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35.xml.rels" ContentType="application/vnd.openxmlformats-package.relationships+xml"/>
  <Override PartName="/xl/worksheets/_rels/sheet23.xml.rels" ContentType="application/vnd.openxmlformats-package.relationships+xml"/>
  <Override PartName="/xl/worksheets/_rels/sheet32.xml.rels" ContentType="application/vnd.openxmlformats-package.relationships+xml"/>
  <Override PartName="/xl/worksheets/_rels/sheet14.xml.rels" ContentType="application/vnd.openxmlformats-package.relationships+xml"/>
  <Override PartName="/xl/worksheets/_rels/sheet26.xml.rels" ContentType="application/vnd.openxmlformats-package.relationships+xml"/>
  <Override PartName="/xl/worksheets/_rels/sheet12.xml.rels" ContentType="application/vnd.openxmlformats-package.relationships+xml"/>
  <Override PartName="/xl/worksheets/_rels/sheet28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0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able of Contents" sheetId="1" state="visible" r:id="rId3"/>
    <sheet name="Scope" sheetId="2" state="visible" r:id="rId4"/>
    <sheet name="Assumptions" sheetId="3" state="visible" r:id="rId5"/>
    <sheet name="Summary" sheetId="4" state="visible" r:id="rId6"/>
    <sheet name="Mob_Estimate" sheetId="5" state="visible" r:id="rId7"/>
    <sheet name="Mob_Schedule" sheetId="6" state="hidden" r:id="rId8"/>
    <sheet name="Mob_Staffing" sheetId="7" state="hidden" r:id="rId9"/>
    <sheet name="Training" sheetId="8" state="hidden" r:id="rId10"/>
    <sheet name="ScopeSplit" sheetId="9" state="hidden" r:id="rId11"/>
    <sheet name="Mob_Backup" sheetId="10" state="hidden" r:id="rId12"/>
    <sheet name="O&amp;M_Estimate" sheetId="11" state="visible" r:id="rId13"/>
    <sheet name="Plant_Staff" sheetId="12" state="hidden" r:id="rId14"/>
    <sheet name="Labor_ Lookup" sheetId="13" state="hidden" r:id="rId15"/>
    <sheet name="O&amp;M Backup_Detail" sheetId="14" state="hidden" r:id="rId16"/>
    <sheet name="Plant Configuration" sheetId="15" state="hidden" r:id="rId17"/>
    <sheet name="Initial_Spares(7EA) " sheetId="16" state="hidden" r:id="rId18"/>
    <sheet name="Initial_Spares(7FA)" sheetId="17" state="hidden" r:id="rId19"/>
    <sheet name="Initial_Spares(W501D5)" sheetId="18" state="hidden" r:id="rId20"/>
    <sheet name="GT sched cost (LM6000)" sheetId="19" state="hidden" r:id="rId21"/>
    <sheet name="GT schd cost(7EA)" sheetId="20" state="hidden" r:id="rId22"/>
    <sheet name="Initial_Spares(W501D5A)" sheetId="21" state="hidden" r:id="rId23"/>
    <sheet name="GT schd cost(W501D5)" sheetId="22" state="hidden" r:id="rId24"/>
    <sheet name="rotation(W501D5)" sheetId="23" state="hidden" r:id="rId25"/>
    <sheet name="GTDB(W501D5)" sheetId="24" state="hidden" r:id="rId26"/>
    <sheet name="GT schd cost(W501D5A)" sheetId="25" state="hidden" r:id="rId27"/>
    <sheet name="rotation(W501D5A)" sheetId="26" state="hidden" r:id="rId28"/>
    <sheet name="GTDB(W501D5A)" sheetId="27" state="hidden" r:id="rId29"/>
    <sheet name="rotation(7EA)" sheetId="28" state="hidden" r:id="rId30"/>
    <sheet name="GTDB(7EA)" sheetId="29" state="hidden" r:id="rId31"/>
    <sheet name="Initial_Spares(6B)" sheetId="30" state="hidden" r:id="rId32"/>
    <sheet name="GT schd cost(6B)" sheetId="31" state="hidden" r:id="rId33"/>
    <sheet name="rotation(6B)" sheetId="32" state="hidden" r:id="rId34"/>
    <sheet name="GTDB(6B)" sheetId="33" state="hidden" r:id="rId35"/>
    <sheet name="GT schd cost(7FA)" sheetId="34" state="visible" r:id="rId36"/>
    <sheet name="rotation(7FA)" sheetId="35" state="hidden" r:id="rId37"/>
    <sheet name="GTDB(7FA)" sheetId="36" state="hidden" r:id="rId38"/>
  </sheets>
  <definedNames>
    <definedName function="false" hidden="false" localSheetId="32" name="_xlnm.Print_Area" vbProcedure="false">'GTDB(6B)'!$A$1:$G$44</definedName>
    <definedName function="false" hidden="false" localSheetId="28" name="_xlnm.Print_Area" vbProcedure="false">'GTDB(7EA)'!$A$1:$F$49</definedName>
    <definedName function="false" hidden="false" localSheetId="35" name="_xlnm.Print_Area" vbProcedure="false">'GTDB(7FA)'!$A$1:$F$49</definedName>
    <definedName function="false" hidden="false" localSheetId="23" name="_xlnm.Print_Area" vbProcedure="false">'GTDB(W501D5)'!$A$1:$F$50</definedName>
    <definedName function="false" hidden="false" localSheetId="26" name="_xlnm.Print_Area" vbProcedure="false">'GTDB(W501D5A)'!$A$1:$F$50</definedName>
    <definedName function="false" hidden="false" localSheetId="29" name="_xlnm.Print_Area" vbProcedure="false">'Initial_Spares(6B)'!$A$1:$C$49</definedName>
    <definedName function="false" hidden="false" localSheetId="15" name="_xlnm.Print_Area" vbProcedure="false">'Initial_Spares(7EA) '!$A$1:$H$50</definedName>
    <definedName function="false" hidden="false" localSheetId="16" name="_xlnm.Print_Area" vbProcedure="false">'Initial_Spares(7FA)'!$A$1:$H$50</definedName>
    <definedName function="false" hidden="false" localSheetId="17" name="_xlnm.Print_Area" vbProcedure="false">'Initial_Spares(W501D5)'!$A$1:$H$49</definedName>
    <definedName function="false" hidden="false" localSheetId="20" name="_xlnm.Print_Area" vbProcedure="false">'Initial_Spares(W501D5A)'!$A$1:$H$49</definedName>
    <definedName function="false" hidden="false" localSheetId="12" name="_xlnm.Print_Area" vbProcedure="false">'Labor_ Lookup'!$B$1:$S$113</definedName>
    <definedName function="false" hidden="false" localSheetId="9" name="_xlnm.Print_Area" vbProcedure="false">Mob_Backup!$E$3:$K$311</definedName>
    <definedName function="false" hidden="false" localSheetId="4" name="_xlnm.Print_Area" vbProcedure="false">Mob_Estimate!$A$1:$D$48</definedName>
    <definedName function="false" hidden="false" localSheetId="5" name="_xlnm.Print_Area" vbProcedure="false">Mob_Schedule!$A$1:$X$55</definedName>
    <definedName function="false" hidden="false" localSheetId="13" name="_xlnm.Print_Area" vbProcedure="false">'O&amp;M Backup_Detail'!$A$7:$L$297</definedName>
    <definedName function="false" hidden="false" localSheetId="10" name="_xlnm.Print_Area" vbProcedure="false">'O&amp;M_Estimate'!$A$1:$H$58</definedName>
    <definedName function="false" hidden="false" localSheetId="14" name="_xlnm.Print_Area" vbProcedure="false">'Plant Configuration'!$B$1:$E$329</definedName>
    <definedName function="false" hidden="false" localSheetId="11" name="_xlnm.Print_Area" vbProcedure="false">Plant_Staff!$A$1:$M$177</definedName>
    <definedName function="false" hidden="false" localSheetId="11" name="_xlnm.Print_Titles" vbProcedure="false">Plant_Staff!$1:$2</definedName>
    <definedName function="false" hidden="false" localSheetId="31" name="_xlnm.Print_Area" vbProcedure="false">'rotation(6B)'!$A$3:$AA$58</definedName>
    <definedName function="false" hidden="false" localSheetId="27" name="_xlnm.Print_Area" vbProcedure="false">'rotation(7EA)'!$A$3:$AA$70</definedName>
    <definedName function="false" hidden="false" localSheetId="34" name="_xlnm.Print_Area" vbProcedure="false">'rotation(7FA)'!$A$3:$AA$70</definedName>
    <definedName function="false" hidden="false" localSheetId="22" name="_xlnm.Print_Area" vbProcedure="false">'rotation(W501D5)'!$A$3:$AA$92</definedName>
    <definedName function="false" hidden="false" localSheetId="25" name="_xlnm.Print_Area" vbProcedure="false">'rotation(W501D5A)'!$A$3:$AA$92</definedName>
    <definedName function="false" hidden="false" localSheetId="1" name="_xlnm.Print_Area" vbProcedure="false">Scope!$A$1:$G$76</definedName>
    <definedName function="false" hidden="false" localSheetId="8" name="_xlnm.Print_Area" vbProcedure="false">ScopeSplit!$A$1:$F$122</definedName>
    <definedName function="false" hidden="false" localSheetId="3" name="_xlnm.Print_Area" vbProcedure="false">Summary!$A$1:$K$56</definedName>
    <definedName function="false" hidden="false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Labor_Salary" vbProcedure="false">'Labor_ Lookup'!$B$4:$AA$44</definedName>
    <definedName function="false" hidden="false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name="Plant_Configuration" vbProcedure="false">'Plant Configuration'!$B$5:$Q$337</definedName>
    <definedName function="false" hidden="false" name="Project_Name" vbProcedure="false">"Project_Name"</definedName>
    <definedName function="false" hidden="false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" name="ACwvu_jjj_" vbProcedure="false">#REF!</definedName>
    <definedName function="false" hidden="false" localSheetId="3" name="Swvu_jjj_" vbProcedure="false">#REF!</definedName>
    <definedName function="false" hidden="false" localSheetId="3" name="wvu_jjj_" vbProcedure="false">{TRUE,TRUE,-1.25,-15.5,484.5,276.75,FALSE,TRUE,TRUE,TRUE,0,1,#N/A,30,#N/A,8.4406779661017,23.7692307692308,1,FALSE,FALSE,3,TRUE,1,FALSE,75,"Swvu.jjj.","ACwvu.jjj.",#N/A,FALSE,FALSE,0.5,0.5,0.71,0.77,1,"","&amp;Lkwpierce&amp;C7/31/96&amp;R&amp;F, Rev.1Page &amp;P",TRUE,FALSE,FALSE,FALSE,1,#N/A,1,1,FALSE,FALSE,#N/A,#N/A,FALSE,FALSE,FALSE,1,65532,65532,FALSE,FALSE,TRUE,TRUE,TRUE}</definedName>
    <definedName function="false" hidden="false" localSheetId="3" name="Z_23858840_75A3_11D3_9B0F_006097CA9A6E__wvu_PrintArea" vbProcedure="false">Summary!$A$1:$I$56</definedName>
    <definedName function="false" hidden="false" localSheetId="3" name="Z_27B46881_0F5B_11D2_8727_00600802E52E__wvu_PrintArea" vbProcedure="false">Summary!$A$1:$I$50</definedName>
    <definedName function="false" hidden="false" localSheetId="3" name="Z_44B1FD93_6C50_11D3_9B06_006097CA9A6E__wvu_PrintArea" vbProcedure="false">Summary!$A$1:$I$56</definedName>
    <definedName function="false" hidden="false" localSheetId="3" name="Z_7B8B4280_75B9_11D3_B354_0050048AD64B__wvu_PrintArea" vbProcedure="false">Summary!$A$1:$I$56</definedName>
    <definedName function="false" hidden="false" localSheetId="3" name="Z_7C8030C1_816E_11D3_9B1F_000064657374__wvu_PrintArea" vbProcedure="false">Summary!$A$1:$I$56</definedName>
    <definedName function="false" hidden="false" localSheetId="3" name="Z_887EA5F3_7E5C_11D3_9B1C_006097CA9A6E__wvu_PrintArea" vbProcedure="false">Summary!$A$1:$I$56</definedName>
    <definedName function="false" hidden="false" localSheetId="3" name="Z_97C9EDC3_809C_11D3_9B1E_006097CA9A6E__wvu_PrintArea" vbProcedure="false">Summary!$A$1:$I$56</definedName>
    <definedName function="false" hidden="false" localSheetId="3" name="Z_ADAAEFB1_7735_11D3_9B11_006097CA9A6E__wvu_PrintArea" vbProcedure="false">Summary!$A$1:$I$56</definedName>
    <definedName function="false" hidden="false" localSheetId="3" name="Z_B14BA500_7FDD_11D3_9B1D_000064657374__wvu_PrintArea" vbProcedure="false">Summary!$A$1:$I$56</definedName>
    <definedName function="false" hidden="false" localSheetId="3" name="Z_DBA7BBC1_C371_11D3_BF15_005004F2CA52__wvu_PrintArea" vbProcedure="false">Summary!$A$1:$I$56</definedName>
    <definedName function="false" hidden="false" localSheetId="3" name="Z_DD4FE528_7357_11D3_9B0D_006097CA9A6E__wvu_PrintArea" vbProcedure="false">Summary!$A$1:$I$56</definedName>
    <definedName function="false" hidden="false" localSheetId="3" name="Z_F8408542_C03D_11D2_9A75_00600802E52E__wvu_PrintArea" vbProcedure="false">Summary!$A$1:$I$50</definedName>
    <definedName function="false" hidden="false" localSheetId="9" name="Excel_BuiltIn__FilterDatabase" vbProcedure="false">Mob_Backup!$A$16:$D$278</definedName>
    <definedName function="false" hidden="false" localSheetId="10" name="UpLt_CommOps" vbProcedure="false">#REF!</definedName>
    <definedName function="false" hidden="false" localSheetId="13" name="CompleteFilterPrint" vbProcedure="false">'O&amp;M Backup_Detail'!$A$7:$L$273</definedName>
    <definedName function="false" hidden="false" localSheetId="13" name="Excel_BuiltIn__FilterDatabase" vbProcedure="false">#REF!</definedName>
    <definedName function="false" hidden="false" localSheetId="15" name="Power_Plant_Name" vbProcedure="false">"Ilijan, Phillipines (1200 MW)"</definedName>
    <definedName function="false" hidden="false" localSheetId="15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6" name="Power_Plant_Name" vbProcedure="false">"Ilijan, Phillipines (1200 MW)"</definedName>
    <definedName function="false" hidden="false" localSheetId="16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7" name="Power_Plant_Name" vbProcedure="false">"Ilijan, Phillipines (1200 MW)"</definedName>
    <definedName function="false" hidden="false" localSheetId="17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SALARY" vbProcedure="false">#REF!</definedName>
    <definedName function="false" hidden="false" localSheetId="18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18" name="Z_42889D47_02B9_43E3_9871_035CE2C6ABFC__wvu_Rows" vbProcedure="false">'GT sched cost (LM6000)'!$35:$68</definedName>
    <definedName function="false" hidden="false" localSheetId="18" name="Z_4E04AEA2_F061_11D3_B354_005004B48B2E__wvu_Rows" vbProcedure="false">'GT sched cost (LM6000)'!$35:$68</definedName>
    <definedName function="false" hidden="false" localSheetId="18" name="Z_7B3B2BED_CD8B_11D3_96CC_0050048E3156__wvu_Rows" vbProcedure="false">'GT sched cost (LM6000)'!$35:$68</definedName>
    <definedName function="false" hidden="false" localSheetId="20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0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0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0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0" name="Power_Plant_Name" vbProcedure="false">"Ilijan, Phillipines (1200 MW)"</definedName>
    <definedName function="false" hidden="false" localSheetId="20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2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2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5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7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7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9" name="guam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9" name="modifiedavailmod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9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9" name="piti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29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1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1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4" name="new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function="false" hidden="false" localSheetId="34" name="wrn_Ilijan___Print_" vbProcedure="false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</definedNames>
  <calcPr iterateCount="100" refMode="A1" iterate="tru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<sst xmlns="http://schemas.openxmlformats.org/spreadsheetml/2006/main" count="3357" uniqueCount="1474">
  <si>
    <t xml:space="preserve">Operations &amp; Maintenance Cost Estimate</t>
  </si>
  <si>
    <t xml:space="preserve">Table of Contents</t>
  </si>
  <si>
    <t xml:space="preserve">Scope</t>
  </si>
  <si>
    <t xml:space="preserve">Project Scope Description</t>
  </si>
  <si>
    <t xml:space="preserve">List of Assumptions</t>
  </si>
  <si>
    <t xml:space="preserve">Map</t>
  </si>
  <si>
    <t xml:space="preserve">Summary - Operations &amp; Maintenance Cost Estimate</t>
  </si>
  <si>
    <t xml:space="preserve">Comparison vs. Other Plants</t>
  </si>
  <si>
    <t xml:space="preserve">O&amp;M Staff Organization Chart</t>
  </si>
  <si>
    <t xml:space="preserve">O&amp;M Pre-Mobilization / Mobilization Cost Estimate</t>
  </si>
  <si>
    <t xml:space="preserve">Commercial Operations O&amp;M Estimate</t>
  </si>
  <si>
    <t xml:space="preserve">Major Maintenance Cost Estimate</t>
  </si>
  <si>
    <t xml:space="preserve">Initial Operating Spares</t>
  </si>
  <si>
    <t xml:space="preserve">GT Scheduled Major Maint. Program (year by year)</t>
  </si>
  <si>
    <t xml:space="preserve">Summary - Housing Colony Operating Cost Estimate</t>
  </si>
  <si>
    <t xml:space="preserve">=IF('O&amp;M Backup_Detail'!O7=1,'GT sched cost (LM6000)'!A1,if('O&amp;M Backup_Detail'!O7=2,'GT schd cost(7EA)'!A2,if('O&amp;M Backup_Detail'!O7=3,'GT schd cost(7FA)'!A2,if('O&amp;M Backup_Detail'!O7=4,'GT schd cost(W501D5)'!A2,if('O&amp;M Backup_Detail'!O7=6,'GT schd cost(6B)'!A2,"")))))</t>
  </si>
  <si>
    <t xml:space="preserve">Mobilization Cost Estimate</t>
  </si>
  <si>
    <t xml:space="preserve">Mobilization Staffing Plan</t>
  </si>
  <si>
    <t xml:space="preserve">Commercial Operations Operating Cost Estimate</t>
  </si>
  <si>
    <t xml:space="preserve">Staffing Plan</t>
  </si>
  <si>
    <t xml:space="preserve">Mobilization Cost Estimate Backup/Detail</t>
  </si>
  <si>
    <t xml:space="preserve">Operating Cost Estimate Backup/ Detail</t>
  </si>
  <si>
    <t xml:space="preserve">Project Name:</t>
  </si>
  <si>
    <t xml:space="preserve">Name</t>
  </si>
  <si>
    <t xml:space="preserve">AES Corp</t>
  </si>
  <si>
    <t xml:space="preserve">Location:</t>
  </si>
  <si>
    <t xml:space="preserve">Nearest City</t>
  </si>
  <si>
    <t xml:space="preserve">Dallas, TX</t>
  </si>
  <si>
    <t xml:space="preserve">Country</t>
  </si>
  <si>
    <t xml:space="preserve">USA</t>
  </si>
  <si>
    <t xml:space="preserve">Capacity:</t>
  </si>
  <si>
    <t xml:space="preserve">Nominal baseload capacity (MW) </t>
  </si>
  <si>
    <t xml:space="preserve">Equipment:</t>
  </si>
  <si>
    <t xml:space="preserve">Gas turbine model</t>
  </si>
  <si>
    <t xml:space="preserve">Each gross gas turbine output (MW)</t>
  </si>
  <si>
    <t xml:space="preserve">Cycle (Simple, Combined)</t>
  </si>
  <si>
    <t xml:space="preserve">Steam Turbine</t>
  </si>
  <si>
    <t xml:space="preserve">Condensing</t>
  </si>
  <si>
    <t xml:space="preserve">Each gross steam turbine output (MW)</t>
  </si>
  <si>
    <t xml:space="preserve">Other fired vessels</t>
  </si>
  <si>
    <t xml:space="preserve">Capacity (KPPH)</t>
  </si>
  <si>
    <t xml:space="preserve">Cooling Tower</t>
  </si>
  <si>
    <t xml:space="preserve">Induced draft/Wet</t>
  </si>
  <si>
    <t xml:space="preserve">Gas Compressors</t>
  </si>
  <si>
    <t xml:space="preserve">Chillers</t>
  </si>
  <si>
    <t xml:space="preserve">Demin System</t>
  </si>
  <si>
    <t xml:space="preserve">Cation/Anion</t>
  </si>
  <si>
    <t xml:space="preserve">Fuel:</t>
  </si>
  <si>
    <t xml:space="preserve">Primary:</t>
  </si>
  <si>
    <t xml:space="preserve">Pipeline Quality Natural Gas</t>
  </si>
  <si>
    <t xml:space="preserve">Secondary:</t>
  </si>
  <si>
    <t xml:space="preserve">None</t>
  </si>
  <si>
    <t xml:space="preserve">Operations Mode:</t>
  </si>
  <si>
    <t xml:space="preserve">Plant load factor (%)</t>
  </si>
  <si>
    <t xml:space="preserve">MWh generated  per year</t>
  </si>
  <si>
    <t xml:space="preserve">Number of operational hours per year</t>
  </si>
  <si>
    <t xml:space="preserve">Number of starts per year</t>
  </si>
  <si>
    <t xml:space="preserve">&lt;100</t>
  </si>
  <si>
    <t xml:space="preserve">Load Profile (Base/Peaker/Intermediate)</t>
  </si>
  <si>
    <t xml:space="preserve">Base</t>
  </si>
  <si>
    <t xml:space="preserve">PPA:</t>
  </si>
  <si>
    <t xml:space="preserve">PPA to be signed with</t>
  </si>
  <si>
    <t xml:space="preserve">TBD</t>
  </si>
  <si>
    <t xml:space="preserve">Tentative schedule:</t>
  </si>
  <si>
    <t xml:space="preserve">Notice to Proceed (EPC)</t>
  </si>
  <si>
    <t xml:space="preserve">Comercial Operations Date</t>
  </si>
  <si>
    <t xml:space="preserve">Housing Colony:</t>
  </si>
  <si>
    <t xml:space="preserve">Employees live in Mumbai.  No housing colony on site.</t>
  </si>
  <si>
    <t xml:space="preserve">Commercial Office:</t>
  </si>
  <si>
    <t xml:space="preserve">Location</t>
  </si>
  <si>
    <t xml:space="preserve">Mumbai</t>
  </si>
  <si>
    <t xml:space="preserve">Other Facilities:</t>
  </si>
  <si>
    <t xml:space="preserve">Barge dock on river for fuel deliveries.</t>
  </si>
  <si>
    <t xml:space="preserve">Owners Engineer:</t>
  </si>
  <si>
    <t xml:space="preserve">Provided by</t>
  </si>
  <si>
    <t xml:space="preserve">Enron</t>
  </si>
  <si>
    <t xml:space="preserve">O&amp;M Estimate:</t>
  </si>
  <si>
    <t xml:space="preserve">Date</t>
  </si>
  <si>
    <t xml:space="preserve">Provided by:</t>
  </si>
  <si>
    <t xml:space="preserve">Rich Bickings / Asset Ops.</t>
  </si>
  <si>
    <t xml:space="preserve">Base year for all costs and prices herein: current 2000 US $ (no escalation or inflation included).</t>
  </si>
  <si>
    <t xml:space="preserve">Prime Mover</t>
  </si>
  <si>
    <t xml:space="preserve">2xGE 7FA with DLN combustor.</t>
  </si>
  <si>
    <t xml:space="preserve">2xCondensing Steam Turbine</t>
  </si>
  <si>
    <t xml:space="preserve">Operations </t>
  </si>
  <si>
    <t xml:space="preserve">Fuel</t>
  </si>
  <si>
    <t xml:space="preserve">Water Treatment</t>
  </si>
  <si>
    <t xml:space="preserve">Raw water make-up provided by Muni</t>
  </si>
  <si>
    <t xml:space="preserve">Pre-treatment to be Anion/Cation Demineralizer</t>
  </si>
  <si>
    <t xml:space="preserve">Inlet Air Cooling</t>
  </si>
  <si>
    <t xml:space="preserve">Each GE LM6000 to be equipment with 2000 tons inlet cooling</t>
  </si>
  <si>
    <t xml:space="preserve">Plant Staff</t>
  </si>
  <si>
    <t xml:space="preserve">Plant is assumed to be staffed year round.</t>
  </si>
  <si>
    <t xml:space="preserve">Labor cost is based regional OEC salary &amp; benefit accuals.</t>
  </si>
  <si>
    <t xml:space="preserve">Contracters</t>
  </si>
  <si>
    <t xml:space="preserve">EPC Contracter unknown.</t>
  </si>
  <si>
    <t xml:space="preserve">Owner's Engineer is unknown</t>
  </si>
  <si>
    <t xml:space="preserve">Scope split between turnkey/startup contractor owwner/operator per enclosed schedule.</t>
  </si>
  <si>
    <t xml:space="preserve">Cost Assumptions</t>
  </si>
  <si>
    <t xml:space="preserve">GT parts discount of 10%.  No LTSA signed.</t>
  </si>
  <si>
    <t xml:space="preserve">All costs are based in US Dollars.</t>
  </si>
  <si>
    <t xml:space="preserve">Project Commercial Office</t>
  </si>
  <si>
    <t xml:space="preserve">Commercial office: Houston Corporate Office.</t>
  </si>
  <si>
    <t xml:space="preserve">Functions of commercial include:</t>
  </si>
  <si>
    <t xml:space="preserve">Revenue and Property Book Accounting including customer and fuel supplier billing</t>
  </si>
  <si>
    <t xml:space="preserve">a)</t>
  </si>
  <si>
    <t xml:space="preserve">Tax Accounting including preparing Local and US tax returns</t>
  </si>
  <si>
    <t xml:space="preserve">b)</t>
  </si>
  <si>
    <t xml:space="preserve">Annual financial audits by outside auditors.</t>
  </si>
  <si>
    <t xml:space="preserve">c)</t>
  </si>
  <si>
    <t xml:space="preserve">Maintaining Bank accounts and treasury functions </t>
  </si>
  <si>
    <t xml:space="preserve">d)</t>
  </si>
  <si>
    <t xml:space="preserve">Commercial contracts and interface with Power Purchasers and Fuel Suppliers</t>
  </si>
  <si>
    <t xml:space="preserve">e)</t>
  </si>
  <si>
    <t xml:space="preserve">Fuel purchasing &amp; supply, logistics and scheduling</t>
  </si>
  <si>
    <t xml:space="preserve">f)</t>
  </si>
  <si>
    <t xml:space="preserve">Government and Public Relations</t>
  </si>
  <si>
    <t xml:space="preserve">g)</t>
  </si>
  <si>
    <t xml:space="preserve">Legal and contractual requirements</t>
  </si>
  <si>
    <t xml:space="preserve">h)</t>
  </si>
  <si>
    <t xml:space="preserve">Project Human resources (compensation and benefits plans)</t>
  </si>
  <si>
    <t xml:space="preserve">i)</t>
  </si>
  <si>
    <t xml:space="preserve">Interface with Lenders and Partners regarding funding and information requests</t>
  </si>
  <si>
    <t xml:space="preserve">j)</t>
  </si>
  <si>
    <t xml:space="preserve">Budgeting, Operating and Capital planning</t>
  </si>
  <si>
    <t xml:space="preserve">k)</t>
  </si>
  <si>
    <t xml:space="preserve">Dealing with Customs authorities with regard to imported goods and services.</t>
  </si>
  <si>
    <t xml:space="preserve">l)</t>
  </si>
  <si>
    <t xml:space="preserve">This O&amp;M Estimate does not include the cost of the following items:</t>
  </si>
  <si>
    <t xml:space="preserve">Fuel </t>
  </si>
  <si>
    <t xml:space="preserve">Raw Water makeup </t>
  </si>
  <si>
    <t xml:space="preserve">Purchased (backfeed) power and other purchased utilities</t>
  </si>
  <si>
    <t xml:space="preserve">Owner's Insurance (Operator to be named as additional insured)</t>
  </si>
  <si>
    <t xml:space="preserve">Buildings:  Administration, Warehouse and Shop facilities</t>
  </si>
  <si>
    <t xml:space="preserve">Operating or Environmental Permits (Operator to assist Owner in obtaining)</t>
  </si>
  <si>
    <t xml:space="preserve">Communications facilities (internal &amp; external)</t>
  </si>
  <si>
    <t xml:space="preserve">Customs duties, Taxes or VAT</t>
  </si>
  <si>
    <t xml:space="preserve">Changes in escalation, inflation or exchange rate</t>
  </si>
  <si>
    <t xml:space="preserve">Expenses before Commercial Operation:</t>
  </si>
  <si>
    <t xml:space="preserve">US $</t>
  </si>
  <si>
    <t xml:space="preserve">O&amp;M Pre-Mobilization / Mobilization Expenses</t>
  </si>
  <si>
    <t xml:space="preserve">Pre-Mobilization Expenses</t>
  </si>
  <si>
    <t xml:space="preserve">Mobilization Payroll and Burden</t>
  </si>
  <si>
    <t xml:space="preserve">Mobilization Operating Expenses</t>
  </si>
  <si>
    <t xml:space="preserve">Mobilization Procurement Expenses</t>
  </si>
  <si>
    <t xml:space="preserve">Total O&amp;M Pre-Mobilization / Mobilization Expenses</t>
  </si>
  <si>
    <t xml:space="preserve">Housing Colony Mobilization Expenses</t>
  </si>
  <si>
    <t xml:space="preserve">Commercial Office Mobilization Expenses</t>
  </si>
  <si>
    <t xml:space="preserve">Owners' Engineer Expenses</t>
  </si>
  <si>
    <t xml:space="preserve">OM&amp;A Mobilization Fee (incl. Comm. Office)</t>
  </si>
  <si>
    <t xml:space="preserve">Operator Overhead Charge (G&amp;A)</t>
  </si>
  <si>
    <t xml:space="preserve">Expenses during Commercial Operation:</t>
  </si>
  <si>
    <t xml:space="preserve">Annual</t>
  </si>
  <si>
    <t xml:space="preserve">20 YEAR</t>
  </si>
  <si>
    <t xml:space="preserve">Year 1</t>
  </si>
  <si>
    <t xml:space="preserve">Year 2</t>
  </si>
  <si>
    <t xml:space="preserve">Year 3</t>
  </si>
  <si>
    <t xml:space="preserve">Years 4+</t>
  </si>
  <si>
    <t xml:space="preserve">Avg. (20 yrs)</t>
  </si>
  <si>
    <t xml:space="preserve">FOM ($/kW-yr)</t>
  </si>
  <si>
    <t xml:space="preserve">VOM ($/mWh)</t>
  </si>
  <si>
    <t xml:space="preserve">O&amp;M Expenses</t>
  </si>
  <si>
    <t xml:space="preserve">Payroll and Burden</t>
  </si>
  <si>
    <t xml:space="preserve">Administration &amp; Operations Expenses</t>
  </si>
  <si>
    <t xml:space="preserve">Chemicals at PLF</t>
  </si>
  <si>
    <t xml:space="preserve">Maintenance Expenses (excl. GT Scheduled Maint. Program)</t>
  </si>
  <si>
    <t xml:space="preserve">Sustaining Capital Expenses</t>
  </si>
  <si>
    <t xml:space="preserve">Total O&amp;M Expenses (excl. GT Scheduled Maint.)</t>
  </si>
  <si>
    <t xml:space="preserve">GT Scheduled Major Maintenance Program</t>
  </si>
  <si>
    <t xml:space="preserve">   20 yr total   </t>
  </si>
  <si>
    <t xml:space="preserve">Annual Avg.  </t>
  </si>
  <si>
    <t xml:space="preserve">Total Plant O&amp;M Expenses (incl. GT Scheduled Maint.)</t>
  </si>
  <si>
    <t xml:space="preserve">Housing Colony Operating Expenses</t>
  </si>
  <si>
    <t xml:space="preserve">Commercial Office Expenses</t>
  </si>
  <si>
    <t xml:space="preserve">Average Annual Operating Expenses (excluding Fee)</t>
  </si>
  <si>
    <t xml:space="preserve">OM&amp;A Annual Fee (incl. Commercial Office)</t>
  </si>
  <si>
    <t xml:space="preserve">* - variable with power generated</t>
  </si>
  <si>
    <t xml:space="preserve">O&amp;M Pre-Mobilization Expenses</t>
  </si>
  <si>
    <t xml:space="preserve">Mobilization Payroll &amp; Burden</t>
  </si>
  <si>
    <t xml:space="preserve">Employee Expenses</t>
  </si>
  <si>
    <t xml:space="preserve">Recruiting Expenses</t>
  </si>
  <si>
    <t xml:space="preserve">Relocation Expenses</t>
  </si>
  <si>
    <t xml:space="preserve">Outside Services</t>
  </si>
  <si>
    <t xml:space="preserve">Other Supplies &amp; Expenses</t>
  </si>
  <si>
    <t xml:space="preserve">Communications</t>
  </si>
  <si>
    <t xml:space="preserve">Temporary Offices/Facilities</t>
  </si>
  <si>
    <t xml:space="preserve">Training</t>
  </si>
  <si>
    <t xml:space="preserve">Manuals &amp; Procedures</t>
  </si>
  <si>
    <t xml:space="preserve">Permits</t>
  </si>
  <si>
    <t xml:space="preserve">Insurance</t>
  </si>
  <si>
    <t xml:space="preserve">Operations Support Personnel</t>
  </si>
  <si>
    <t xml:space="preserve">Total Mobilization Operating Expenses</t>
  </si>
  <si>
    <t xml:space="preserve">Office Furnishings &amp; Equipment</t>
  </si>
  <si>
    <t xml:space="preserve">Safety &amp; Environmental Equipment</t>
  </si>
  <si>
    <t xml:space="preserve">Vehicles &amp; Mobile Equipment (excluding switch engine)</t>
  </si>
  <si>
    <t xml:space="preserve">Warehouse Furnishings &amp; Equipment</t>
  </si>
  <si>
    <t xml:space="preserve">Laboratory Equipment</t>
  </si>
  <si>
    <t xml:space="preserve">Shop Tools &amp; Equipment</t>
  </si>
  <si>
    <t xml:space="preserve">Chemicals, Lubricants, Hydraulic Fluids</t>
  </si>
  <si>
    <t xml:space="preserve">Total Mobilization Procurement Expenses</t>
  </si>
  <si>
    <t xml:space="preserve">OM&amp;A Mobilization Fee (incl. Commercial Office)</t>
  </si>
  <si>
    <t xml:space="preserve">Staff Mobilization Schedule</t>
  </si>
  <si>
    <t xml:space="preserve">Months Prior to COD</t>
  </si>
  <si>
    <t xml:space="preserve">No. of Employees</t>
  </si>
  <si>
    <t xml:space="preserve">No. of Months on Site</t>
  </si>
  <si>
    <t xml:space="preserve">COD</t>
  </si>
  <si>
    <t xml:space="preserve">Employees</t>
  </si>
  <si>
    <t xml:space="preserve">Recruiting/Procedures ----&gt;</t>
  </si>
  <si>
    <t xml:space="preserve">Training/Early Commissioning-------&gt;</t>
  </si>
  <si>
    <t xml:space="preserve">Commissioning/Startup --------&gt;</t>
  </si>
  <si>
    <t xml:space="preserve">Controller</t>
  </si>
  <si>
    <t xml:space="preserve">Operations Staff</t>
  </si>
  <si>
    <t xml:space="preserve">Maintenance Staff</t>
  </si>
  <si>
    <t xml:space="preserve">FACILITY NEEDS</t>
  </si>
  <si>
    <t xml:space="preserve">Administration Facilities</t>
  </si>
  <si>
    <t xml:space="preserve">Office Equipment</t>
  </si>
  <si>
    <t xml:space="preserve">Warehouse Equipment/Shop</t>
  </si>
  <si>
    <t xml:space="preserve">Vehicles</t>
  </si>
  <si>
    <t xml:space="preserve">Training Facilities</t>
  </si>
  <si>
    <t xml:space="preserve">Tools &amp; Equipment</t>
  </si>
  <si>
    <t xml:space="preserve">O&amp;M Staff Mobilization Plan</t>
  </si>
  <si>
    <t xml:space="preserve">of</t>
  </si>
  <si>
    <t xml:space="preserve">Salary</t>
  </si>
  <si>
    <t xml:space="preserve">at 15%</t>
  </si>
  <si>
    <t xml:space="preserve">Benefits</t>
  </si>
  <si>
    <t xml:space="preserve">No. of Expats</t>
  </si>
  <si>
    <t xml:space="preserve">No. of Locals</t>
  </si>
  <si>
    <t xml:space="preserve">Total No. of Employees</t>
  </si>
  <si>
    <t xml:space="preserve">Month on Site Prior to COD</t>
  </si>
  <si>
    <t xml:space="preserve">No. of months on site</t>
  </si>
  <si>
    <t xml:space="preserve">Individual Base Salary USD/Month</t>
  </si>
  <si>
    <t xml:space="preserve">Overtime USD/Month</t>
  </si>
  <si>
    <t xml:space="preserve">Benefits USD/Month</t>
  </si>
  <si>
    <t xml:space="preserve">Total Mobilization Salary</t>
  </si>
  <si>
    <t xml:space="preserve">(negative No.)</t>
  </si>
  <si>
    <t xml:space="preserve">Administration Staff</t>
  </si>
  <si>
    <t xml:space="preserve">TOTAL</t>
  </si>
  <si>
    <t xml:space="preserve">Training Program</t>
  </si>
  <si>
    <t xml:space="preserve">Class</t>
  </si>
  <si>
    <t xml:space="preserve">Weeks</t>
  </si>
  <si>
    <t xml:space="preserve"> Weeks</t>
  </si>
  <si>
    <t xml:space="preserve">$M</t>
  </si>
  <si>
    <t xml:space="preserve">Basic Plant Training (All O&amp;M Personnel) (1sessions)</t>
  </si>
  <si>
    <t xml:space="preserve">New Employee Orientation (1 day) *</t>
  </si>
  <si>
    <t xml:space="preserve">Plant Safety/Environmental/Firefighting (3 days) *</t>
  </si>
  <si>
    <t xml:space="preserve">Power Plant Basic O&amp;M (2 days)</t>
  </si>
  <si>
    <t xml:space="preserve">Introduction to Plant Systems (3 days)</t>
  </si>
  <si>
    <t xml:space="preserve">Major Systems Training (All O&amp;M Personnel) (1 sessions)</t>
  </si>
  <si>
    <r>
      <rPr>
        <sz val="10"/>
        <rFont val="Arial"/>
        <family val="0"/>
      </rPr>
      <t xml:space="preserve">GT&amp;G Operation &amp; Familiarization (equip vendor)</t>
    </r>
    <r>
      <rPr>
        <vertAlign val="superscript"/>
        <sz val="10"/>
        <rFont val="Arial"/>
        <family val="2"/>
      </rPr>
      <t xml:space="preserve">3</t>
    </r>
  </si>
  <si>
    <t xml:space="preserve">Boiler Familiarization &amp; Operation (general vendor)</t>
  </si>
  <si>
    <t xml:space="preserve">Balance of Plant (general vendor)</t>
  </si>
  <si>
    <t xml:space="preserve">Specialized Operator Training (All Operators &amp; Chemist) (1 session)</t>
  </si>
  <si>
    <t xml:space="preserve">Boiler &amp; Cooling Water Chemistry (general vendor)</t>
  </si>
  <si>
    <t xml:space="preserve">Control Room Training (Ctrl Rm Ops, Shft Supvrs, Utl Ops) (1 session)</t>
  </si>
  <si>
    <t xml:space="preserve">GTG controls (equip vendor)</t>
  </si>
  <si>
    <t xml:space="preserve">Boiler controls (general vendor)</t>
  </si>
  <si>
    <t xml:space="preserve">DCS (equip. vendor)</t>
  </si>
  <si>
    <t xml:space="preserve">Basic Maintenance Training (All Mechanics) (1 session)</t>
  </si>
  <si>
    <t xml:space="preserve">GT-G Maintenance (equip. vendor)</t>
  </si>
  <si>
    <t xml:space="preserve">Boiler Maintenance (general vendor)</t>
  </si>
  <si>
    <t xml:space="preserve">Electrical/Controls Maintenance Training (I/C/E Technicians)  (1 session)</t>
  </si>
  <si>
    <t xml:space="preserve">Excitation Maintenance (equip. vendor)</t>
  </si>
  <si>
    <t xml:space="preserve">Electrical System Maintenance (general vendor)</t>
  </si>
  <si>
    <t xml:space="preserve">DCS Maint. (equip. vendor)</t>
  </si>
  <si>
    <t xml:space="preserve">Mark VI</t>
  </si>
  <si>
    <t xml:space="preserve">Total Class Training Cost</t>
  </si>
  <si>
    <t xml:space="preserve">Travel, lodging, facilities, misc.</t>
  </si>
  <si>
    <t xml:space="preserve">Instructor Per diem: # class weeks x 7d/wk x $150/day (1 instructor/class week)  </t>
  </si>
  <si>
    <t xml:space="preserve">Travel: 7 (3 Basic, 4 Vendor) instructors x $1M/trip</t>
  </si>
  <si>
    <t xml:space="preserve">On site Training Coordinator/Instructor (4 wks x $2600/wk incl per diem + $1M travel) *</t>
  </si>
  <si>
    <t xml:space="preserve">Total Training Cost Estimate</t>
  </si>
  <si>
    <t xml:space="preserve">Less Training provided by Turnkey/Startup Contractor</t>
  </si>
  <si>
    <t xml:space="preserve">Net Training Cost Estimate ($M) for Operator/Owner</t>
  </si>
  <si>
    <t xml:space="preserve">Notes:</t>
  </si>
  <si>
    <t xml:space="preserve">1. Assumed cost of training (instructor, training materials, aids, manuals, etc.):</t>
  </si>
  <si>
    <t xml:space="preserve">        </t>
  </si>
  <si>
    <t xml:space="preserve">Equip. Vendor Training - $20M/wk</t>
  </si>
  <si>
    <t xml:space="preserve">Basic Plant Training (developed in-house) - $6M/wk</t>
  </si>
  <si>
    <t xml:space="preserve">General Vendor Training - $8M/wk</t>
  </si>
  <si>
    <t xml:space="preserve">2. The asterisk (*) denotes training and expenses provided by Operator</t>
  </si>
  <si>
    <t xml:space="preserve">Turnkey/O&amp;M/Owner Scope Split</t>
  </si>
  <si>
    <t xml:space="preserve">Turnkey/</t>
  </si>
  <si>
    <t xml:space="preserve">Startup</t>
  </si>
  <si>
    <t xml:space="preserve">O&amp;M</t>
  </si>
  <si>
    <t xml:space="preserve">Owner</t>
  </si>
  <si>
    <t xml:space="preserve">Remarks/Comments</t>
  </si>
  <si>
    <t xml:space="preserve">OPERATING EXPENSES (pre-COD):</t>
  </si>
  <si>
    <t xml:space="preserve">Payroll and Benefits</t>
  </si>
  <si>
    <t xml:space="preserve">    for Owner Personnel</t>
  </si>
  <si>
    <t xml:space="preserve">x</t>
  </si>
  <si>
    <t xml:space="preserve">    for O&amp;M Personnel</t>
  </si>
  <si>
    <t xml:space="preserve">    for Turnkey/Startup Personnel</t>
  </si>
  <si>
    <t xml:space="preserve">Employee Expenses/Recruiting/Relocation</t>
  </si>
  <si>
    <t xml:space="preserve">    Technical Direction of Installation (TD&amp;I)</t>
  </si>
  <si>
    <t xml:space="preserve">    Vendor reps &amp; startup services</t>
  </si>
  <si>
    <t xml:space="preserve">    Security before COD</t>
  </si>
  <si>
    <t xml:space="preserve">    Security after COD</t>
  </si>
  <si>
    <t xml:space="preserve">    O&amp;M related services</t>
  </si>
  <si>
    <t xml:space="preserve">    Reliability Availability Maintainability (RAM) Study</t>
  </si>
  <si>
    <t xml:space="preserve">EPC to assist &amp; participate</t>
  </si>
  <si>
    <t xml:space="preserve">    Process Hazards Analysis (HAZOP)</t>
  </si>
  <si>
    <t xml:space="preserve">O&amp;M to assist &amp; participate</t>
  </si>
  <si>
    <t xml:space="preserve">Communications (phone bills, etc.)</t>
  </si>
  <si>
    <t xml:space="preserve">    for Startup Personnel</t>
  </si>
  <si>
    <t xml:space="preserve">Offices/Buildings/Facilities (temporary)</t>
  </si>
  <si>
    <t xml:space="preserve">    for O&amp;M Personnel (admin, training, etc.)</t>
  </si>
  <si>
    <t xml:space="preserve">    for Startup/Commissioning Personnel</t>
  </si>
  <si>
    <t xml:space="preserve">Training for O&amp;M Personnel *</t>
  </si>
  <si>
    <t xml:space="preserve">    Vendor Familiarization Training (CT, ST, HRSG, WT/Desal)</t>
  </si>
  <si>
    <t xml:space="preserve">Defined scope req'd</t>
  </si>
  <si>
    <t xml:space="preserve">    Add'l Major Equip. Vendor (CT,ST,HRSG, WT/Desal,DCS)</t>
  </si>
  <si>
    <t xml:space="preserve">    OJT during startup/commissioning</t>
  </si>
  <si>
    <t xml:space="preserve">    Basic Power Plant Training (&amp; all other training) </t>
  </si>
  <si>
    <t xml:space="preserve">Permits/Insurance</t>
  </si>
  <si>
    <t xml:space="preserve">    Construction &amp; Startup Contractor's name</t>
  </si>
  <si>
    <t xml:space="preserve">need permit matrix</t>
  </si>
  <si>
    <t xml:space="preserve">    Operator's name</t>
  </si>
  <si>
    <t xml:space="preserve">"</t>
  </si>
  <si>
    <t xml:space="preserve">    Owner's name</t>
  </si>
  <si>
    <t xml:space="preserve">Manuals, Procedures and Plans</t>
  </si>
  <si>
    <t xml:space="preserve">    Startup/Commissioning Plans &amp; Procedures</t>
  </si>
  <si>
    <t xml:space="preserve">    Job Data books</t>
  </si>
  <si>
    <t xml:space="preserve">    Engineering drawings (incl. "as builts")</t>
  </si>
  <si>
    <t xml:space="preserve">AutoCad 14 (or apprvd substitute)</t>
  </si>
  <si>
    <t xml:space="preserve">    Systems Descriptions</t>
  </si>
  <si>
    <t xml:space="preserve">    Test procedures &amp; report</t>
  </si>
  <si>
    <t xml:space="preserve">    O&amp;M Procedures</t>
  </si>
  <si>
    <t xml:space="preserve">    Admin and all other Plant procedures</t>
  </si>
  <si>
    <t xml:space="preserve">Punchlist resolution</t>
  </si>
  <si>
    <t xml:space="preserve">with O&amp;M walkdown</t>
  </si>
  <si>
    <t xml:space="preserve">Purchase and transportation of fuel to plant (startup)</t>
  </si>
  <si>
    <t xml:space="preserve">Allowance in LSTK price</t>
  </si>
  <si>
    <t xml:space="preserve">Schedule fuel deliveries from supplier</t>
  </si>
  <si>
    <t xml:space="preserve">Purchase of turbine generator startup power (backfeed)</t>
  </si>
  <si>
    <t xml:space="preserve">Purchase of construction power (from fence line)</t>
  </si>
  <si>
    <t xml:space="preserve">Purchase and delivery of Process water (hydrotests, etc)</t>
  </si>
  <si>
    <t xml:space="preserve">Steam Blows</t>
  </si>
  <si>
    <t xml:space="preserve">Given power, fuel and water</t>
  </si>
  <si>
    <t xml:space="preserve">Chemical Cleaning (including disposal)</t>
  </si>
  <si>
    <t xml:space="preserve">Oil Flushes</t>
  </si>
  <si>
    <t xml:space="preserve">*  O&amp;M has overall responsibility for training O&amp;M personnel, but Major Equip. Vendor training (for CTs, STs, HRSGs, Water</t>
  </si>
  <si>
    <t xml:space="preserve">   Treatment/Desal, and DCS) will be provided under the major equip. purchase orders (with O&amp;M participation in scoping).</t>
  </si>
  <si>
    <t xml:space="preserve">Warranty Implementation</t>
  </si>
  <si>
    <t xml:space="preserve">O&amp;M/Owner participate</t>
  </si>
  <si>
    <t xml:space="preserve">Pre-Mobilization expenses</t>
  </si>
  <si>
    <t xml:space="preserve">    O&amp;M engineering review/comments</t>
  </si>
  <si>
    <t xml:space="preserve">    Operating plans/budgets/estimates</t>
  </si>
  <si>
    <t xml:space="preserve">    Other Owner directed O&amp;M services</t>
  </si>
  <si>
    <t xml:space="preserve">Fuel/water quality checking (pre-COD)</t>
  </si>
  <si>
    <t xml:space="preserve">Procurement Expenses:</t>
  </si>
  <si>
    <t xml:space="preserve">    Stationary items (built-ins)</t>
  </si>
  <si>
    <t xml:space="preserve">    PABX (internal) telephone system &amp; wiring</t>
  </si>
  <si>
    <t xml:space="preserve">    LAN wiring</t>
  </si>
  <si>
    <t xml:space="preserve">    External communications (satellite dish)</t>
  </si>
  <si>
    <t xml:space="preserve">    Office/Building furniture</t>
  </si>
  <si>
    <t xml:space="preserve">    Office equipment (copiers, fax, etc.)</t>
  </si>
  <si>
    <t xml:space="preserve">    Computer hardware/software</t>
  </si>
  <si>
    <t xml:space="preserve">    CMMS computer system (incl training)</t>
  </si>
  <si>
    <t xml:space="preserve">with Owner approval</t>
  </si>
  <si>
    <t xml:space="preserve">Safety &amp; Environmental equipment</t>
  </si>
  <si>
    <t xml:space="preserve">    Permanent Fire protection</t>
  </si>
  <si>
    <t xml:space="preserve">    Portable fire extinguishers (for offices &amp; buildings)</t>
  </si>
  <si>
    <t xml:space="preserve">    Portable fire extinguishers (exterior)</t>
  </si>
  <si>
    <t xml:space="preserve">    Safety showers/eye washes</t>
  </si>
  <si>
    <t xml:space="preserve">    Permanent Environmental testing equip.</t>
  </si>
  <si>
    <t xml:space="preserve">if required</t>
  </si>
  <si>
    <t xml:space="preserve">    Portable Environmental testing equip.</t>
  </si>
  <si>
    <t xml:space="preserve">    O&amp;M Personnel Safety/First Aid  equip.</t>
  </si>
  <si>
    <t xml:space="preserve">Vehicles &amp; Mobile Equipment</t>
  </si>
  <si>
    <t xml:space="preserve">    Construction/Startup Contractor requirements</t>
  </si>
  <si>
    <t xml:space="preserve">    O&amp;M requirements (@ post Comm. Opns level)</t>
  </si>
  <si>
    <t xml:space="preserve">Warehouse/Shop Furnishings &amp; Equipment</t>
  </si>
  <si>
    <t xml:space="preserve">    Stationary items incl hoists (built-ins)</t>
  </si>
  <si>
    <t xml:space="preserve">    Non-stationary items (bins, furniture, etc.)</t>
  </si>
  <si>
    <t xml:space="preserve">Process Monitoring &amp; Laboratory Equipment</t>
  </si>
  <si>
    <t xml:space="preserve">    Installed analyzers/instruments</t>
  </si>
  <si>
    <t xml:space="preserve">    Stationary lab items (vent hoods, lab benches, etc.) </t>
  </si>
  <si>
    <t xml:space="preserve">    Analytical equipment, glassware, etc.</t>
  </si>
  <si>
    <t xml:space="preserve">Shop Tools and Equipment</t>
  </si>
  <si>
    <t xml:space="preserve">    Machine shop/Instrument shop tools</t>
  </si>
  <si>
    <t xml:space="preserve">    Maint. (incl I/C&amp;E) test equipment</t>
  </si>
  <si>
    <t xml:space="preserve">    Work benches, storage bins</t>
  </si>
  <si>
    <t xml:space="preserve">    Hand tools for O&amp;M personnel</t>
  </si>
  <si>
    <t xml:space="preserve">    Hand tools for Startup personnel</t>
  </si>
  <si>
    <t xml:space="preserve">Special Tools</t>
  </si>
  <si>
    <t xml:space="preserve">    Startup, Std Vendor supply</t>
  </si>
  <si>
    <t xml:space="preserve">    Optional vendor supply</t>
  </si>
  <si>
    <t xml:space="preserve">Incl with Vendor PO </t>
  </si>
  <si>
    <t xml:space="preserve">Chemicals, Lubricants, Fluids</t>
  </si>
  <si>
    <t xml:space="preserve">    Initial equipment/vessel fill</t>
  </si>
  <si>
    <t xml:space="preserve">    Consumption (pre-COD)</t>
  </si>
  <si>
    <t xml:space="preserve">    Consumption (post-COD)</t>
  </si>
  <si>
    <t xml:space="preserve">    Warehouse stock</t>
  </si>
  <si>
    <t xml:space="preserve">Spare parts*</t>
  </si>
  <si>
    <t xml:space="preserve">    Capital (Overhaul) Spares for major equip.</t>
  </si>
  <si>
    <t xml:space="preserve">Incl. with Vendor PO</t>
  </si>
  <si>
    <t xml:space="preserve">    Operating (Initial) Spares for major equip.</t>
  </si>
  <si>
    <t xml:space="preserve">    Warehouse stock &amp; BOP spare parts</t>
  </si>
  <si>
    <t xml:space="preserve">Installed Cranes</t>
  </si>
  <si>
    <t xml:space="preserve">* Turbine spare parts will be purchased based on competitive bids as part of and prior to Turbine vendors selection;</t>
  </si>
  <si>
    <t xml:space="preserve">   actual parts purchased will be approved by Owner.</t>
  </si>
  <si>
    <t xml:space="preserve">O&amp;M Pre-Mobilization / Mobilization Estimate Backup/Detail</t>
  </si>
  <si>
    <t xml:space="preserve">EstimateSummary</t>
  </si>
  <si>
    <t xml:space="preserve">Group Item</t>
  </si>
  <si>
    <t xml:space="preserve">Budget Item</t>
  </si>
  <si>
    <t xml:space="preserve">Line Item</t>
  </si>
  <si>
    <t xml:space="preserve">Detail/Basis</t>
  </si>
  <si>
    <t xml:space="preserve">Total Cost (USD)</t>
  </si>
  <si>
    <t xml:space="preserve">Local Cost %</t>
  </si>
  <si>
    <t xml:space="preserve">LOCAL</t>
  </si>
  <si>
    <t xml:space="preserve">FOREIGN</t>
  </si>
  <si>
    <t xml:space="preserve">Calculation and Note Area</t>
  </si>
  <si>
    <t xml:space="preserve">O&amp;M Mobilization BudgetOperating ExpensesPublic Relations Title</t>
  </si>
  <si>
    <t xml:space="preserve">O&amp;M Mobilization Budget</t>
  </si>
  <si>
    <t xml:space="preserve">Operating Expenses</t>
  </si>
  <si>
    <t xml:space="preserve">Public Relations</t>
  </si>
  <si>
    <t xml:space="preserve">Payroll and Benefits (US)</t>
  </si>
  <si>
    <t xml:space="preserve">Plant Manager - 2 months prior to site mob</t>
  </si>
  <si>
    <t xml:space="preserve">Travel Expenses in Region</t>
  </si>
  <si>
    <t xml:space="preserve">$150/dayperdiem x 60 days</t>
  </si>
  <si>
    <t xml:space="preserve">Travel for Expat To/From Home (UK)</t>
  </si>
  <si>
    <t xml:space="preserve">1 trip/quarter x 3 quarters x $6M/trip</t>
  </si>
  <si>
    <t xml:space="preserve">Temporary Living (Expat) in Houston</t>
  </si>
  <si>
    <t xml:space="preserve">$3000/month x 9 months</t>
  </si>
  <si>
    <t xml:space="preserve">Tech Services/Studies</t>
  </si>
  <si>
    <t xml:space="preserve">15 mandaysx$75/hrx8hrs/d</t>
  </si>
  <si>
    <t xml:space="preserve">Miscellaneous (comms, etc.)</t>
  </si>
  <si>
    <t xml:space="preserve">$1000/month x 12 months</t>
  </si>
  <si>
    <t xml:space="preserve">HAZOP Study (3rd party consultant)</t>
  </si>
  <si>
    <t xml:space="preserve">RAM Study (3rd party consultant)</t>
  </si>
  <si>
    <t xml:space="preserve">O&amp;M Mobilization BudgetOperating ExpensesPublic Relations Total</t>
  </si>
  <si>
    <t xml:space="preserve">Sub-Total</t>
  </si>
  <si>
    <t xml:space="preserve">O&amp;M Mobilization BudgetOperating ExpensesPayroll with burden Title</t>
  </si>
  <si>
    <t xml:space="preserve">Payroll with burden</t>
  </si>
  <si>
    <t xml:space="preserve">Total Company Payroll with benefits and 15% overtime on Opns/Maint. (w/o expats) personnel</t>
  </si>
  <si>
    <t xml:space="preserve">  (See detailed PltMobStaff schedule)</t>
  </si>
  <si>
    <t xml:space="preserve">O&amp;M Mobilization BudgetOperating ExpensesPayroll with burden Total</t>
  </si>
  <si>
    <t xml:space="preserve">Basis: Project Schedule</t>
  </si>
  <si>
    <t xml:space="preserve">O&amp;M Mobilization BudgetOperating ExpensesEmployee Expenses Title</t>
  </si>
  <si>
    <t xml:space="preserve">Trips to US</t>
  </si>
  <si>
    <t xml:space="preserve">5 trips to US x $6M + $150/dayperdiem x 50 days</t>
  </si>
  <si>
    <t xml:space="preserve">Misc. (OT meals, Conferences,etc.)</t>
  </si>
  <si>
    <t xml:space="preserve">Travel Exp./O.T. Meals (33% of Travel)</t>
  </si>
  <si>
    <t xml:space="preserve">Meal Allowance</t>
  </si>
  <si>
    <t xml:space="preserve">$2/day/employee x 200 days x # staff</t>
  </si>
  <si>
    <t xml:space="preserve">O&amp;M Mobilization BudgetOperating ExpensesEmployee Expenses Total</t>
  </si>
  <si>
    <t xml:space="preserve">Basis: HR recommends 1 meal/day subsidized by the company</t>
  </si>
  <si>
    <t xml:space="preserve">O&amp;M Mobilization BudgetOperating ExpensesRecruiting Expenses Title</t>
  </si>
  <si>
    <t xml:space="preserve">HR/Home office support</t>
  </si>
  <si>
    <t xml:space="preserve">2 trips x $1M/trip + $150/day x 10days</t>
  </si>
  <si>
    <t xml:space="preserve">Advertisements</t>
  </si>
  <si>
    <t xml:space="preserve">Local</t>
  </si>
  <si>
    <t xml:space="preserve">Screening Tests</t>
  </si>
  <si>
    <t xml:space="preserve">$200/employee</t>
  </si>
  <si>
    <t xml:space="preserve">Misc expenses</t>
  </si>
  <si>
    <t xml:space="preserve">reproduction, postage, etc</t>
  </si>
  <si>
    <t xml:space="preserve">O&amp;M Mobilization BudgetOperating ExpensesRecruiting Expenses Total</t>
  </si>
  <si>
    <t xml:space="preserve">O&amp;M Mobilization BudgetOperating ExpensesRelocation Expenses Title</t>
  </si>
  <si>
    <t xml:space="preserve">Plant Mgr</t>
  </si>
  <si>
    <t xml:space="preserve">Assumed 25% of base pay to cover goods, house hunt, lump sum</t>
  </si>
  <si>
    <t xml:space="preserve">Technician III (assume 1 needed)</t>
  </si>
  <si>
    <t xml:space="preserve">cover HHG shipment</t>
  </si>
  <si>
    <t xml:space="preserve">Technician II (assume 1 needed)</t>
  </si>
  <si>
    <t xml:space="preserve">Rest of staff assumed obtained locally</t>
  </si>
  <si>
    <t xml:space="preserve">Locals</t>
  </si>
  <si>
    <t xml:space="preserve">25% of Base Salaries + $200/person for examination</t>
  </si>
  <si>
    <t xml:space="preserve">O&amp;M Mobilization BudgetOperating ExpensesRelocation Expenses Total</t>
  </si>
  <si>
    <t xml:space="preserve">O&amp;M Mobilization BudgetOperating ExpensesOutside Services Title</t>
  </si>
  <si>
    <t xml:space="preserve">Guards</t>
  </si>
  <si>
    <t xml:space="preserve">Turnkey responsibility</t>
  </si>
  <si>
    <t xml:space="preserve">Groundskeepers</t>
  </si>
  <si>
    <t xml:space="preserve">Janitors</t>
  </si>
  <si>
    <t xml:space="preserve">contract</t>
  </si>
  <si>
    <t xml:space="preserve">Legal</t>
  </si>
  <si>
    <t xml:space="preserve">Covered in Fee</t>
  </si>
  <si>
    <t xml:space="preserve">Tax</t>
  </si>
  <si>
    <t xml:space="preserve">Accounting</t>
  </si>
  <si>
    <t xml:space="preserve">Safety</t>
  </si>
  <si>
    <t xml:space="preserve">2 trips x $1M/trip + 8 days perdiem x $150/day</t>
  </si>
  <si>
    <t xml:space="preserve">Environmental</t>
  </si>
  <si>
    <t xml:space="preserve">Management</t>
  </si>
  <si>
    <t xml:space="preserve">Technical/Professional</t>
  </si>
  <si>
    <t xml:space="preserve">15 days x $60/hr x 8hrs/day</t>
  </si>
  <si>
    <t xml:space="preserve">Trash/Waste Disposal</t>
  </si>
  <si>
    <t xml:space="preserve">Electrical Testing/Calibration</t>
  </si>
  <si>
    <t xml:space="preserve">Buyer support from other OEC projects</t>
  </si>
  <si>
    <t xml:space="preserve">$40/hr x 500 manhrs</t>
  </si>
  <si>
    <t xml:space="preserve">Uniform services</t>
  </si>
  <si>
    <t xml:space="preserve">Office Equipment Maintenance</t>
  </si>
  <si>
    <t xml:space="preserve">O&amp;M Mobilization BudgetOperating ExpensesOutside Services Total</t>
  </si>
  <si>
    <t xml:space="preserve">Basis: HR Salary &amp; Benefits Survey</t>
  </si>
  <si>
    <t xml:space="preserve">O&amp;M Mobilization BudgetOperating ExpensesOther Supplies &amp; Expenses Title</t>
  </si>
  <si>
    <t xml:space="preserve">Postage &amp; Freight</t>
  </si>
  <si>
    <t xml:space="preserve">$100/month x 6 months</t>
  </si>
  <si>
    <t xml:space="preserve">Office &amp; Misc. Supplies (usage)</t>
  </si>
  <si>
    <t xml:space="preserve">$500/month x 5 months</t>
  </si>
  <si>
    <t xml:space="preserve">Vehicle fuel and maint</t>
  </si>
  <si>
    <t xml:space="preserve">1 vehicles x 5 months x 1000miles/month x $1.5/14 miles + $500</t>
  </si>
  <si>
    <t xml:space="preserve">Janitorial Supplies (usage)</t>
  </si>
  <si>
    <t xml:space="preserve">Bldg. Utilities (water, power, gas)</t>
  </si>
  <si>
    <t xml:space="preserve">5 months x $500/month</t>
  </si>
  <si>
    <t xml:space="preserve">O&amp;M Mobilization BudgetOperating ExpensesOther Supplies &amp; Expenses Total</t>
  </si>
  <si>
    <t xml:space="preserve">O&amp;M Mobilization BudgetOperating ExpensesCommunications Title</t>
  </si>
  <si>
    <t xml:space="preserve">Phone Service </t>
  </si>
  <si>
    <t xml:space="preserve">5 months x $500/month (excludes cellular service)</t>
  </si>
  <si>
    <t xml:space="preserve">Cellular Phones</t>
  </si>
  <si>
    <t xml:space="preserve">2ea. x 6 months x $300/month </t>
  </si>
  <si>
    <t xml:space="preserve">cellular activation fee: 2 ea. $100</t>
  </si>
  <si>
    <t xml:space="preserve">O&amp;M Mobilization BudgetOperating ExpensesCommunications Total</t>
  </si>
  <si>
    <t xml:space="preserve">O&amp;M Mobilization BudgetOperating ExpensesMiscellaneous Office Expenses Title</t>
  </si>
  <si>
    <t xml:space="preserve">Miscellaneous Office Expenses</t>
  </si>
  <si>
    <t xml:space="preserve">Office Bldgs.</t>
  </si>
  <si>
    <t xml:space="preserve">Trailers (admin only, ex training)</t>
  </si>
  <si>
    <t xml:space="preserve">1x2monthsx$1000/month (if available)</t>
  </si>
  <si>
    <t xml:space="preserve">Sanitary facilities</t>
  </si>
  <si>
    <t xml:space="preserve">2x2monthsx$200/month</t>
  </si>
  <si>
    <t xml:space="preserve">Misc. Furnishings</t>
  </si>
  <si>
    <t xml:space="preserve">Temporary Living Quarters</t>
  </si>
  <si>
    <t xml:space="preserve">Assume admin facilties complete COD minus 5 months</t>
  </si>
  <si>
    <t xml:space="preserve">O&amp;M Mobilization BudgetOperating ExpensesMiscellaneous Office Expenses Total</t>
  </si>
  <si>
    <t xml:space="preserve">O&amp;M Mobilization BudgetOperating ExpensesTraining Title</t>
  </si>
  <si>
    <t xml:space="preserve">Basic Plant Training</t>
  </si>
  <si>
    <t xml:space="preserve">See Training sheet</t>
  </si>
  <si>
    <t xml:space="preserve">Major Systems Training</t>
  </si>
  <si>
    <t xml:space="preserve">Plant Chemistry</t>
  </si>
  <si>
    <t xml:space="preserve">Control Room Training</t>
  </si>
  <si>
    <t xml:space="preserve">Basic Maintenance</t>
  </si>
  <si>
    <t xml:space="preserve">Electrical/Controls Maintenance</t>
  </si>
  <si>
    <t xml:space="preserve">Additional Vendor Training</t>
  </si>
  <si>
    <t xml:space="preserve">Per diem for instructors</t>
  </si>
  <si>
    <t xml:space="preserve">Facilities (trailer rental, hall)</t>
  </si>
  <si>
    <t xml:space="preserve">Travel </t>
  </si>
  <si>
    <t xml:space="preserve">Training Coordinator</t>
  </si>
  <si>
    <t xml:space="preserve">Additional Manuals/Documents</t>
  </si>
  <si>
    <t xml:space="preserve">Miscellaneous</t>
  </si>
  <si>
    <t xml:space="preserve">Translation</t>
  </si>
  <si>
    <t xml:space="preserve">O&amp;M Mobilization BudgetOperating ExpensesTraining Total</t>
  </si>
  <si>
    <t xml:space="preserve">O&amp;M Mobilization BudgetOperating ExpensesManuals/Operating Procedures Title</t>
  </si>
  <si>
    <t xml:space="preserve">Manuals/Operating Procedures</t>
  </si>
  <si>
    <t xml:space="preserve">Administration</t>
  </si>
  <si>
    <t xml:space="preserve">5 mandays x $400/day</t>
  </si>
  <si>
    <t xml:space="preserve">Operations check lists</t>
  </si>
  <si>
    <t xml:space="preserve">5P&amp;IDsx 2 mandays each x $400/day</t>
  </si>
  <si>
    <t xml:space="preserve">Maintenance </t>
  </si>
  <si>
    <t xml:space="preserve">1/2 of Operating procedures</t>
  </si>
  <si>
    <t xml:space="preserve">Maintenance/CMMS (excluding data)</t>
  </si>
  <si>
    <t xml:space="preserve">5 mandays @$400/manday</t>
  </si>
  <si>
    <t xml:space="preserve">Warehouse/Inventory</t>
  </si>
  <si>
    <t xml:space="preserve">Emergency Plans</t>
  </si>
  <si>
    <t xml:space="preserve">40 mandays @$400/manday</t>
  </si>
  <si>
    <t xml:space="preserve">Safety and Health</t>
  </si>
  <si>
    <t xml:space="preserve">Environmental Compliance</t>
  </si>
  <si>
    <t xml:space="preserve">20 mandays @$400/manday</t>
  </si>
  <si>
    <t xml:space="preserve">Utility dispatch</t>
  </si>
  <si>
    <t xml:space="preserve">10 mandays @$400/manday</t>
  </si>
  <si>
    <t xml:space="preserve">Government Reporting</t>
  </si>
  <si>
    <t xml:space="preserve">Owner Reports</t>
  </si>
  <si>
    <t xml:space="preserve">Houston Reports</t>
  </si>
  <si>
    <t xml:space="preserve">Reproduction/Printing</t>
  </si>
  <si>
    <t xml:space="preserve">Freight</t>
  </si>
  <si>
    <t xml:space="preserve">5% of Reproduction cost</t>
  </si>
  <si>
    <t xml:space="preserve">O&amp;M Mobilization BudgetOperating ExpensesManuals/Operating Procedures Total</t>
  </si>
  <si>
    <t xml:space="preserve">O&amp;M Mobilization BudgetOperating ExpensesPermits Title</t>
  </si>
  <si>
    <t xml:space="preserve">Owner's Scope of Supply</t>
  </si>
  <si>
    <t xml:space="preserve">O&amp;M Mobilization BudgetOperating ExpensesPermits Total</t>
  </si>
  <si>
    <t xml:space="preserve">O&amp;M Mobilization BudgetOperating ExpensesInsurance Title</t>
  </si>
  <si>
    <t xml:space="preserve">Operator's Insurance</t>
  </si>
  <si>
    <t xml:space="preserve">O&amp;M Mobilization BudgetOperating ExpensesInsurance Total</t>
  </si>
  <si>
    <t xml:space="preserve">1ea.x$350/dayx30days (includes benefits)</t>
  </si>
  <si>
    <t xml:space="preserve">    Per diem </t>
  </si>
  <si>
    <t xml:space="preserve">1ea.x$125/dayx30days</t>
  </si>
  <si>
    <t xml:space="preserve">    Home leave, travel</t>
  </si>
  <si>
    <t xml:space="preserve">1ea.x$1000 tripx1trips (coach class)</t>
  </si>
  <si>
    <t xml:space="preserve">O&amp;M Mobilization BudgetProcurement ExpensesOffice Furnishings, Equipment, Supplies Title</t>
  </si>
  <si>
    <t xml:space="preserve">Procurement Expenses</t>
  </si>
  <si>
    <t xml:space="preserve">Office Furnishings, Equipment, Supplies</t>
  </si>
  <si>
    <t xml:space="preserve">Offices (desk, chair, table, misc)</t>
  </si>
  <si>
    <t xml:space="preserve">4ea @ $800/set</t>
  </si>
  <si>
    <t xml:space="preserve">Chairs - misc.</t>
  </si>
  <si>
    <t xml:space="preserve">10ea @ $150</t>
  </si>
  <si>
    <t xml:space="preserve">Bookshelves</t>
  </si>
  <si>
    <t xml:space="preserve">10ea @ $75</t>
  </si>
  <si>
    <t xml:space="preserve">File Cabinets</t>
  </si>
  <si>
    <t xml:space="preserve">4ea @ $200</t>
  </si>
  <si>
    <t xml:space="preserve">Storage Shelves/Cabinets</t>
  </si>
  <si>
    <t xml:space="preserve">10ea @ $50</t>
  </si>
  <si>
    <t xml:space="preserve">Conference Room (table &amp; chairs)</t>
  </si>
  <si>
    <t xml:space="preserve">1ea @ $150 + $1500</t>
  </si>
  <si>
    <t xml:space="preserve">Lunch Room - Tables</t>
  </si>
  <si>
    <t xml:space="preserve">1ea @ $150</t>
  </si>
  <si>
    <t xml:space="preserve">Lunch Room - Chairs</t>
  </si>
  <si>
    <t xml:space="preserve">6ea @ $75</t>
  </si>
  <si>
    <t xml:space="preserve">Lunch Room - Microwave</t>
  </si>
  <si>
    <t xml:space="preserve">1 ea @ $300</t>
  </si>
  <si>
    <t xml:space="preserve">Lunch Room - Coffee Pot</t>
  </si>
  <si>
    <t xml:space="preserve">1 ea. @ $150</t>
  </si>
  <si>
    <t xml:space="preserve">Lunch Room - Refrig.</t>
  </si>
  <si>
    <t xml:space="preserve">1 ea @ $750</t>
  </si>
  <si>
    <t xml:space="preserve">Lunch Room - Misc</t>
  </si>
  <si>
    <t xml:space="preserve">Computer Tables</t>
  </si>
  <si>
    <t xml:space="preserve">5ea @ $200</t>
  </si>
  <si>
    <t xml:space="preserve">Computers w printers</t>
  </si>
  <si>
    <t xml:space="preserve">5ea @ $3000</t>
  </si>
  <si>
    <t xml:space="preserve">Systems Software</t>
  </si>
  <si>
    <t xml:space="preserve">5ea @ $500</t>
  </si>
  <si>
    <t xml:space="preserve">CMMS software/installation</t>
  </si>
  <si>
    <t xml:space="preserve">$10M License + $10M installation/training</t>
  </si>
  <si>
    <t xml:space="preserve">CMMS hardware, equipment</t>
  </si>
  <si>
    <t xml:space="preserve">1 PC's ($2500), printer</t>
  </si>
  <si>
    <t xml:space="preserve">SAP Acctg System</t>
  </si>
  <si>
    <t xml:space="preserve">Software &amp; License</t>
  </si>
  <si>
    <t xml:space="preserve">Training &amp; Implementation</t>
  </si>
  <si>
    <t xml:space="preserve">Copiers</t>
  </si>
  <si>
    <t xml:space="preserve">1ea @ $8000</t>
  </si>
  <si>
    <t xml:space="preserve">Typewriters</t>
  </si>
  <si>
    <t xml:space="preserve">1ea @ $250</t>
  </si>
  <si>
    <t xml:space="preserve">Local Area Network</t>
  </si>
  <si>
    <t xml:space="preserve">LAN $2M + Installation $1,000</t>
  </si>
  <si>
    <t xml:space="preserve">Calculators</t>
  </si>
  <si>
    <t xml:space="preserve">5ea @ $20</t>
  </si>
  <si>
    <t xml:space="preserve">Projectors (overhead)</t>
  </si>
  <si>
    <t xml:space="preserve">1ea @ $400</t>
  </si>
  <si>
    <t xml:space="preserve">TV/VCR/Camcorders</t>
  </si>
  <si>
    <t xml:space="preserve">1ea @ $750/$500/$750</t>
  </si>
  <si>
    <t xml:space="preserve">White Boards</t>
  </si>
  <si>
    <t xml:space="preserve">5ea @ $80</t>
  </si>
  <si>
    <t xml:space="preserve">FAX machine</t>
  </si>
  <si>
    <t xml:space="preserve">2ea @ $400</t>
  </si>
  <si>
    <t xml:space="preserve">Misc Supplies</t>
  </si>
  <si>
    <t xml:space="preserve">pens, paper, staplers, envelopes, etc.</t>
  </si>
  <si>
    <t xml:space="preserve">Phones</t>
  </si>
  <si>
    <t xml:space="preserve">6ea @ $200</t>
  </si>
  <si>
    <t xml:space="preserve">Office Misc, pictures, plants, rugs, boards</t>
  </si>
  <si>
    <t xml:space="preserve">Janitorial supplies</t>
  </si>
  <si>
    <t xml:space="preserve">5% of cost</t>
  </si>
  <si>
    <t xml:space="preserve">O&amp;M Mobilization BudgetProcurement ExpensesOffice Furnishings, Equipment, Supplies Total</t>
  </si>
  <si>
    <t xml:space="preserve">O&amp;M Mobilization BudgetProcurement ExpensesSafety Equipment &amp; Supplies Title</t>
  </si>
  <si>
    <t xml:space="preserve">Safety Equipment &amp; Supplies</t>
  </si>
  <si>
    <t xml:space="preserve">Safety &amp; Environmental Equipment &amp; Supplies</t>
  </si>
  <si>
    <t xml:space="preserve">Personnel Safety equipment</t>
  </si>
  <si>
    <t xml:space="preserve">Safety glasses, Hard hats, goggles, face shields, gloves,</t>
  </si>
  <si>
    <t xml:space="preserve">locks, acid suits, SCBA respirators, safety shoes, etc.</t>
  </si>
  <si>
    <t xml:space="preserve">Portable Fire Extinguishers</t>
  </si>
  <si>
    <t xml:space="preserve">10ea. @ $120</t>
  </si>
  <si>
    <t xml:space="preserve">Firehose Cabinet Accessories</t>
  </si>
  <si>
    <t xml:space="preserve">First Aid equipment</t>
  </si>
  <si>
    <t xml:space="preserve">First Aid kit, stretcher, water jell blanket</t>
  </si>
  <si>
    <t xml:space="preserve">Safety test Equipment</t>
  </si>
  <si>
    <t xml:space="preserve">Biosystem unit, LEL &amp; O2 meter</t>
  </si>
  <si>
    <t xml:space="preserve">Environmental Test Equipment</t>
  </si>
  <si>
    <t xml:space="preserve">Noise level meter</t>
  </si>
  <si>
    <t xml:space="preserve">6" and 12" containment booms</t>
  </si>
  <si>
    <t xml:space="preserve">30 ton/hr skimmer </t>
  </si>
  <si>
    <t xml:space="preserve">Misc. anchors, tow bridles, buoys, etc.</t>
  </si>
  <si>
    <t xml:space="preserve">O&amp;M Mobilization BudgetProcurement ExpensesSafety Equipment &amp; Supplies Total</t>
  </si>
  <si>
    <t xml:space="preserve">O&amp;M Mobilization BudgetProcurement ExpensesVehicles &amp; Mobile Equipment Title</t>
  </si>
  <si>
    <t xml:space="preserve">Cars 4 WD w AC</t>
  </si>
  <si>
    <t xml:space="preserve">$26M</t>
  </si>
  <si>
    <t xml:space="preserve">1/2 ton Pickup Trucks</t>
  </si>
  <si>
    <t xml:space="preserve">1ea leased $2000 down &amp; lease</t>
  </si>
  <si>
    <t xml:space="preserve">700/mnth</t>
  </si>
  <si>
    <t xml:space="preserve">2 1/2 ton flat bed truck w winch</t>
  </si>
  <si>
    <t xml:space="preserve">$32M</t>
  </si>
  <si>
    <t xml:space="preserve">6 ton Forklift (outside)</t>
  </si>
  <si>
    <t xml:space="preserve">$38M</t>
  </si>
  <si>
    <t xml:space="preserve">3 ton Forklift (warehouse)</t>
  </si>
  <si>
    <t xml:space="preserve">1ea leased $1000 down &amp; lease</t>
  </si>
  <si>
    <t xml:space="preserve">500/mnth</t>
  </si>
  <si>
    <t xml:space="preserve">12 passenger Van w/o AC</t>
  </si>
  <si>
    <t xml:space="preserve">$24M</t>
  </si>
  <si>
    <t xml:space="preserve">18 passenger Van w/o AC</t>
  </si>
  <si>
    <t xml:space="preserve">$30M</t>
  </si>
  <si>
    <t xml:space="preserve">Firefighting equipment</t>
  </si>
  <si>
    <t xml:space="preserve">1ea. extinguisher cart</t>
  </si>
  <si>
    <t xml:space="preserve">$1M per</t>
  </si>
  <si>
    <t xml:space="preserve">Backhoe/heavy equipment</t>
  </si>
  <si>
    <t xml:space="preserve">Compressor water wash cart</t>
  </si>
  <si>
    <t xml:space="preserve">$10M</t>
  </si>
  <si>
    <t xml:space="preserve">250 cfm Air Compressor (trailer mtd)</t>
  </si>
  <si>
    <t xml:space="preserve">$16M</t>
  </si>
  <si>
    <t xml:space="preserve">400 amp welder(diesel drvr, trailer)</t>
  </si>
  <si>
    <t xml:space="preserve">$11M</t>
  </si>
  <si>
    <t xml:space="preserve">8 ton Crane</t>
  </si>
  <si>
    <t xml:space="preserve">$30M (used)</t>
  </si>
  <si>
    <t xml:space="preserve">Crew Boats</t>
  </si>
  <si>
    <t xml:space="preserve">$60M (used)</t>
  </si>
  <si>
    <t xml:space="preserve">Switch engine</t>
  </si>
  <si>
    <t xml:space="preserve">$300M</t>
  </si>
  <si>
    <t xml:space="preserve">Maintenance cart</t>
  </si>
  <si>
    <t xml:space="preserve">O&amp;M Mobilization BudgetProcurement ExpensesVehicles &amp; Mobile Equipment Total</t>
  </si>
  <si>
    <t xml:space="preserve">Basis: Purchasing Dept.</t>
  </si>
  <si>
    <t xml:space="preserve">O&amp;M Mobilization BudgetProcurement ExpensesWarehouse Furnishings &amp; Equipment Title</t>
  </si>
  <si>
    <t xml:space="preserve">Bins/Racks/shelves</t>
  </si>
  <si>
    <t xml:space="preserve">includes Lumber, nails, materials (to construct)</t>
  </si>
  <si>
    <t xml:space="preserve">Equipment/Tools</t>
  </si>
  <si>
    <t xml:space="preserve">dollies, scales, carpenter tools, banding &amp; labeling machines</t>
  </si>
  <si>
    <t xml:space="preserve">Furniture</t>
  </si>
  <si>
    <t xml:space="preserve">tables, desks, chairs, file cabinets</t>
  </si>
  <si>
    <t xml:space="preserve">Miscellaneous Supplies</t>
  </si>
  <si>
    <t xml:space="preserve">O&amp;M Mobilization BudgetProcurement ExpensesWarehouse Furnishings &amp; Equipment Total</t>
  </si>
  <si>
    <t xml:space="preserve">O&amp;M Mobilization BudgetProcurement ExpensesLaboratory Equipment Title</t>
  </si>
  <si>
    <t xml:space="preserve">Laboratory Analyzers (pH, conductivity, spectrophotometer)</t>
  </si>
  <si>
    <t xml:space="preserve">Glassware/Misc. Equipment (centrifuge, vacuum pump, PC,scale,oven)</t>
  </si>
  <si>
    <t xml:space="preserve">Furniture, cabinets, benches, tables, refrigerator</t>
  </si>
  <si>
    <t xml:space="preserve">Fuel Testing equipment</t>
  </si>
  <si>
    <t xml:space="preserve">Gas Chromatogragh/Atomic Absorption</t>
  </si>
  <si>
    <t xml:space="preserve">O&amp;M Mobilization BudgetProcurement ExpensesLaboratory Equipment Total</t>
  </si>
  <si>
    <t xml:space="preserve">O&amp;M Mobilization BudgetProcurement ExpensesShop Tools &amp; Equipment Title</t>
  </si>
  <si>
    <t xml:space="preserve">Mechanic Hand Tools</t>
  </si>
  <si>
    <t xml:space="preserve">tool boxes</t>
  </si>
  <si>
    <t xml:space="preserve">$1200 each</t>
  </si>
  <si>
    <t xml:space="preserve">I/E Tech Hand Tools</t>
  </si>
  <si>
    <t xml:space="preserve">$1500 each</t>
  </si>
  <si>
    <t xml:space="preserve">Consumables (Cleaning, Mech. supplies, compounds, I&amp;E supplies, hoses)</t>
  </si>
  <si>
    <t xml:space="preserve">Radios  (Basis: Houston 2-way Radio - Motorola HC1000, 2 channels)</t>
  </si>
  <si>
    <t xml:space="preserve">$1000 each</t>
  </si>
  <si>
    <t xml:space="preserve">Radio Base</t>
  </si>
  <si>
    <t xml:space="preserve">Mechanical Shop Tools &amp; Equip.</t>
  </si>
  <si>
    <t xml:space="preserve">High Pressure Hand Pump</t>
  </si>
  <si>
    <t xml:space="preserve">Nordstrom Hyper Grease Gun 5 gal.</t>
  </si>
  <si>
    <t xml:space="preserve">$3015 each</t>
  </si>
  <si>
    <t xml:space="preserve">Rockwell Hand Held High Pressure Grease Gun</t>
  </si>
  <si>
    <t xml:space="preserve">$960 each</t>
  </si>
  <si>
    <t xml:space="preserve">Hydraulic Torque Wrench</t>
  </si>
  <si>
    <t xml:space="preserve">$4000 each</t>
  </si>
  <si>
    <t xml:space="preserve">Centrifugal Pump</t>
  </si>
  <si>
    <t xml:space="preserve">$2500 each</t>
  </si>
  <si>
    <t xml:space="preserve">Pneumatic diaphram pump</t>
  </si>
  <si>
    <t xml:space="preserve">Bead Blaster</t>
  </si>
  <si>
    <t xml:space="preserve">$1800 each</t>
  </si>
  <si>
    <t xml:space="preserve">Sand Blaster</t>
  </si>
  <si>
    <t xml:space="preserve">$900 each</t>
  </si>
  <si>
    <t xml:space="preserve">Portable Air Compressor</t>
  </si>
  <si>
    <t xml:space="preserve">$600 each</t>
  </si>
  <si>
    <t xml:space="preserve">Hydraulic Press - 25 ton</t>
  </si>
  <si>
    <t xml:space="preserve">$1400 each</t>
  </si>
  <si>
    <t xml:space="preserve">O&amp;M Mobilization BudgetProcurement ExpensesShop Tools &amp; Equipment Total</t>
  </si>
  <si>
    <t xml:space="preserve">Post Hole Digger</t>
  </si>
  <si>
    <t xml:space="preserve">O&amp;M Mobilization BudgetProcurement ExpensesChemicals, Lubricants, Hydraulic Fluids Title</t>
  </si>
  <si>
    <t xml:space="preserve">Steel Work Bench</t>
  </si>
  <si>
    <t xml:space="preserve">$160 each</t>
  </si>
  <si>
    <t xml:space="preserve">Employee Lockers x 6</t>
  </si>
  <si>
    <t xml:space="preserve">$250 each</t>
  </si>
  <si>
    <t xml:space="preserve">Storage Cabinets</t>
  </si>
  <si>
    <t xml:space="preserve">$300 each</t>
  </si>
  <si>
    <t xml:space="preserve">Parts Washer</t>
  </si>
  <si>
    <t xml:space="preserve">Bench Grinder</t>
  </si>
  <si>
    <t xml:space="preserve">$400 each</t>
  </si>
  <si>
    <t xml:space="preserve">O&amp;M Mobilization BudgetProcurement ExpensesChemicals, Lubricants, Hydraulic Fluids Total</t>
  </si>
  <si>
    <t xml:space="preserve">Drill Press</t>
  </si>
  <si>
    <t xml:space="preserve">$2375 each</t>
  </si>
  <si>
    <t xml:space="preserve">O&amp;M Mobilization BudgetO&amp;M Mobilization Fee Title</t>
  </si>
  <si>
    <t xml:space="preserve">O&amp;M Mobilization Fee</t>
  </si>
  <si>
    <t xml:space="preserve">AC/DC Welder Generator</t>
  </si>
  <si>
    <t xml:space="preserve">$3100 each</t>
  </si>
  <si>
    <t xml:space="preserve">Assortment Hammer Wrenches</t>
  </si>
  <si>
    <t xml:space="preserve">$5000 each</t>
  </si>
  <si>
    <t xml:space="preserve">Flange Spreader</t>
  </si>
  <si>
    <t xml:space="preserve">Hoists /Come-a-longs</t>
  </si>
  <si>
    <t xml:space="preserve">Miscellaneous small hand tools</t>
  </si>
  <si>
    <t xml:space="preserve">$5000 set</t>
  </si>
  <si>
    <t xml:space="preserve">O&amp;M Mobilization BudgetO&amp;M Mobilization Fee Total</t>
  </si>
  <si>
    <t xml:space="preserve">I/E Shop Tools &amp; Test Equipment</t>
  </si>
  <si>
    <t xml:space="preserve">Gas Detector Calibration Kit</t>
  </si>
  <si>
    <t xml:space="preserve">$500 each</t>
  </si>
  <si>
    <t xml:space="preserve">O&amp;M Mobilization BudgetOwner Optional Items Title</t>
  </si>
  <si>
    <t xml:space="preserve">Owner Optional Items</t>
  </si>
  <si>
    <t xml:space="preserve">Flow, Press, &amp; Temp Transmitter Communicators</t>
  </si>
  <si>
    <t xml:space="preserve">Digital Thickness Gauge</t>
  </si>
  <si>
    <t xml:space="preserve">UV IR Portable Test Kit</t>
  </si>
  <si>
    <t xml:space="preserve">IRD Vibration Meter</t>
  </si>
  <si>
    <t xml:space="preserve">$8000 each</t>
  </si>
  <si>
    <t xml:space="preserve">Fluke Digital Multimeter</t>
  </si>
  <si>
    <t xml:space="preserve">$350 each</t>
  </si>
  <si>
    <t xml:space="preserve">O&amp;M Mobilization BudgetOwner Optional Items Total</t>
  </si>
  <si>
    <t xml:space="preserve">Thermocoupler Calibrator</t>
  </si>
  <si>
    <t xml:space="preserve">$950 each</t>
  </si>
  <si>
    <t xml:space="preserve">Precision Pressure Calibrator</t>
  </si>
  <si>
    <t xml:space="preserve">$5700 each</t>
  </si>
  <si>
    <t xml:space="preserve">Simpson Multimeter</t>
  </si>
  <si>
    <t xml:space="preserve">RTD Calibrator</t>
  </si>
  <si>
    <t xml:space="preserve">$700 each</t>
  </si>
  <si>
    <t xml:space="preserve">Test Gauges 0 -1500 psig.</t>
  </si>
  <si>
    <t xml:space="preserve">$1000 set</t>
  </si>
  <si>
    <t xml:space="preserve">Gravitometer</t>
  </si>
  <si>
    <t xml:space="preserve">$5850 each</t>
  </si>
  <si>
    <t xml:space="preserve">PK Tester</t>
  </si>
  <si>
    <t xml:space="preserve">$4065 each</t>
  </si>
  <si>
    <t xml:space="preserve">Pipeline Locator</t>
  </si>
  <si>
    <t xml:space="preserve">$3900 each</t>
  </si>
  <si>
    <t xml:space="preserve">Test/Troubleshooting Equipment </t>
  </si>
  <si>
    <t xml:space="preserve">Beta Engine Analyzer</t>
  </si>
  <si>
    <t xml:space="preserve">$60,000 each</t>
  </si>
  <si>
    <t xml:space="preserve">O&amp;M Mobilization BudgetCapital, Operating and BOP Spares (1998$) Title</t>
  </si>
  <si>
    <t xml:space="preserve">Capital, Operating and BOP Spares (1996$)</t>
  </si>
  <si>
    <t xml:space="preserve">Oscilloscope</t>
  </si>
  <si>
    <t xml:space="preserve">$3000 each</t>
  </si>
  <si>
    <t xml:space="preserve">Capital, Operating and BOP Spares (1998$)</t>
  </si>
  <si>
    <t xml:space="preserve">Bore Scope (probe, light source and photo)</t>
  </si>
  <si>
    <t xml:space="preserve">$15,000 each</t>
  </si>
  <si>
    <t xml:space="preserve">Combustible Gas Detector</t>
  </si>
  <si>
    <t xml:space="preserve">$1795 each</t>
  </si>
  <si>
    <t xml:space="preserve">O&amp;M Mobilization BudgetCapital, Operating and BOP Spares (1998$) Total</t>
  </si>
  <si>
    <t xml:space="preserve">Warehouse Stock</t>
  </si>
  <si>
    <t xml:space="preserve">1month's worth x chemicals </t>
  </si>
  <si>
    <t xml:space="preserve">5% of cost (included above)</t>
  </si>
  <si>
    <t xml:space="preserve">Basis/Justification:</t>
  </si>
  <si>
    <t xml:space="preserve">Dabhol (745 MW)                     $0.81/MW</t>
  </si>
  <si>
    <t xml:space="preserve">$600M</t>
  </si>
  <si>
    <t xml:space="preserve">10% of mob. money managed excluding</t>
  </si>
  <si>
    <t xml:space="preserve">East Java (500 MW)                 $1.10/MW</t>
  </si>
  <si>
    <t xml:space="preserve">$550M</t>
  </si>
  <si>
    <t xml:space="preserve">Spares, OE and G&amp;A</t>
  </si>
  <si>
    <t xml:space="preserve">Multan (800 MW)                       $1.22/MW  </t>
  </si>
  <si>
    <t xml:space="preserve">$975M</t>
  </si>
  <si>
    <t xml:space="preserve">Tapal (Wartsila) (126MW)   $2.85/MW (18 mo.)</t>
  </si>
  <si>
    <t xml:space="preserve">$360M</t>
  </si>
  <si>
    <t xml:space="preserve">US, UK and like</t>
  </si>
  <si>
    <t xml:space="preserve">Annual % of Payroll &amp; Burden based </t>
  </si>
  <si>
    <t xml:space="preserve">India, Brazil, Argentina and like</t>
  </si>
  <si>
    <t xml:space="preserve">on country type</t>
  </si>
  <si>
    <t xml:space="preserve">Bangladesh and like</t>
  </si>
  <si>
    <t xml:space="preserve">Commercial Office Mobilization</t>
  </si>
  <si>
    <t xml:space="preserve">See Comm Office Mob detail sheet</t>
  </si>
  <si>
    <t xml:space="preserve">Basis: Eval Team Consensus</t>
  </si>
  <si>
    <t xml:space="preserve">Owners' Engineer</t>
  </si>
  <si>
    <t xml:space="preserve">EECC provides Turnkey Contract</t>
  </si>
  <si>
    <t xml:space="preserve">See Owners' Engineer detail sheet</t>
  </si>
  <si>
    <t xml:space="preserve">Basis: Jonathan Ago estimate</t>
  </si>
  <si>
    <t xml:space="preserve">Capital, Operating and BOP Spares</t>
  </si>
  <si>
    <t xml:space="preserve"> (See Capital/Operating Spares)</t>
  </si>
  <si>
    <t xml:space="preserve">Required Initial Spares</t>
  </si>
  <si>
    <t xml:space="preserve">LM6000 recommended spares </t>
  </si>
  <si>
    <t xml:space="preserve">$899,329 engine spares + $100,000 package spares</t>
  </si>
  <si>
    <t xml:space="preserve">1% of cost </t>
  </si>
  <si>
    <t xml:space="preserve">0.25% of cost</t>
  </si>
  <si>
    <t xml:space="preserve"> Avg. (20yrs)</t>
  </si>
  <si>
    <t xml:space="preserve">Payroll &amp; Burden</t>
  </si>
  <si>
    <t xml:space="preserve">Administration and Operations Expenses</t>
  </si>
  <si>
    <t xml:space="preserve">Total Administration &amp; Operations Expenses</t>
  </si>
  <si>
    <t xml:space="preserve">Chemicals @ Plant Load Factor (PLF) </t>
  </si>
  <si>
    <t xml:space="preserve">Maintenance Expenses (excl. GT ScheduIed Maint. Program)</t>
  </si>
  <si>
    <t xml:space="preserve">Total Maintenance</t>
  </si>
  <si>
    <t xml:space="preserve">Total O&amp;M Expenses (excl. GT Scheduled Maint. Program)</t>
  </si>
  <si>
    <t xml:space="preserve">GT Scheduled Maintenance Program</t>
  </si>
  <si>
    <t xml:space="preserve">20 yr total</t>
  </si>
  <si>
    <t xml:space="preserve">Annual Avg.</t>
  </si>
  <si>
    <t xml:space="preserve">            $/Mwh @PLF</t>
  </si>
  <si>
    <t xml:space="preserve">Total Plant O&amp;M Expenses (incl. GT Scheduled Maint.) </t>
  </si>
  <si>
    <t xml:space="preserve">            $/Mwh @ PLF</t>
  </si>
  <si>
    <t xml:space="preserve">Total Project Operating Expenses (excl Fee)</t>
  </si>
  <si>
    <t xml:space="preserve">OM&amp;A Annual Fee</t>
  </si>
  <si>
    <t xml:space="preserve">Labor Sheet</t>
  </si>
  <si>
    <t xml:space="preserve">Annual Labor Escalation Factor</t>
  </si>
  <si>
    <t xml:space="preserve">Region Used for Labor Rates</t>
  </si>
  <si>
    <t xml:space="preserve">Drop Down Box</t>
  </si>
  <si>
    <t xml:space="preserve">Months on Site per Year (Expat)</t>
  </si>
  <si>
    <t xml:space="preserve">Months on Site per Year (Local)</t>
  </si>
  <si>
    <t xml:space="preserve">Total Employees per Year</t>
  </si>
  <si>
    <t xml:space="preserve">Annual Base Salary per Employee</t>
  </si>
  <si>
    <t xml:space="preserve">Annual Overtime %</t>
  </si>
  <si>
    <t xml:space="preserve">Benefits % on Base</t>
  </si>
  <si>
    <t xml:space="preserve">Benefits % on Overtime</t>
  </si>
  <si>
    <t xml:space="preserve">Total Expat Salary</t>
  </si>
  <si>
    <t xml:space="preserve">Total Local Salary </t>
  </si>
  <si>
    <t xml:space="preserve">Totals</t>
  </si>
  <si>
    <t xml:space="preserve">Total Labor for Year 1</t>
  </si>
  <si>
    <t xml:space="preserve">Total Labor for Year 2</t>
  </si>
  <si>
    <t xml:space="preserve">Total Labor for Year 3</t>
  </si>
  <si>
    <t xml:space="preserve">Year 4</t>
  </si>
  <si>
    <t xml:space="preserve">Total Labor for Year 4</t>
  </si>
  <si>
    <t xml:space="preserve">Labor / Benefits Lookup Sheet</t>
  </si>
  <si>
    <t xml:space="preserve">Regional Salaries in U.S. Dollars</t>
  </si>
  <si>
    <t xml:space="preserve">US - North-East</t>
  </si>
  <si>
    <t xml:space="preserve">US - South-East</t>
  </si>
  <si>
    <t xml:space="preserve">US - Central</t>
  </si>
  <si>
    <t xml:space="preserve">US - South</t>
  </si>
  <si>
    <t xml:space="preserve">US - North-West</t>
  </si>
  <si>
    <t xml:space="preserve">US - California</t>
  </si>
  <si>
    <t xml:space="preserve">India</t>
  </si>
  <si>
    <t xml:space="preserve">Annual Base Salary (USD)</t>
  </si>
  <si>
    <t xml:space="preserve">Annual Base Wage to calculate benefits </t>
  </si>
  <si>
    <t xml:space="preserve">Standard Enron Benefits on Base (%)</t>
  </si>
  <si>
    <t xml:space="preserve">Payroll Tax Burdens</t>
  </si>
  <si>
    <t xml:space="preserve">Workers Compensation Ins.</t>
  </si>
  <si>
    <t xml:space="preserve">Overhead Allocation</t>
  </si>
  <si>
    <t xml:space="preserve">Group Insurance Premium</t>
  </si>
  <si>
    <t xml:space="preserve">General Liability</t>
  </si>
  <si>
    <t xml:space="preserve">Pension</t>
  </si>
  <si>
    <t xml:space="preserve">ESOP</t>
  </si>
  <si>
    <t xml:space="preserve">401K</t>
  </si>
  <si>
    <t xml:space="preserve">Total Enron Benefits on Base (%)</t>
  </si>
  <si>
    <t xml:space="preserve">Standard Enron Benefits on Overtime (%)</t>
  </si>
  <si>
    <t xml:space="preserve">Country Mandated Benefits</t>
  </si>
  <si>
    <t xml:space="preserve">Health Insurance (%)</t>
  </si>
  <si>
    <t xml:space="preserve">Social Security Provident Fund (%)</t>
  </si>
  <si>
    <t xml:space="preserve">Super Annuization (%)</t>
  </si>
  <si>
    <t xml:space="preserve">Mandatory Medical</t>
  </si>
  <si>
    <t xml:space="preserve">Bonus (%)</t>
  </si>
  <si>
    <t xml:space="preserve">Terminal Benefit for Years of Service (In Months)</t>
  </si>
  <si>
    <t xml:space="preserve">Vacation/Leave</t>
  </si>
  <si>
    <t xml:space="preserve">Housing</t>
  </si>
  <si>
    <t xml:space="preserve">Wedding, Sick Leave, Seniority</t>
  </si>
  <si>
    <t xml:space="preserve">Mandatory Profit Sharing</t>
  </si>
  <si>
    <t xml:space="preserve">Training Funding</t>
  </si>
  <si>
    <t xml:space="preserve">Other Benefits</t>
  </si>
  <si>
    <t xml:space="preserve">Taxes, Exemptions, Deductions</t>
  </si>
  <si>
    <t xml:space="preserve">Host Country (National + Local) Tax Rate (%)</t>
  </si>
  <si>
    <t xml:space="preserve">Host Country Standard Deduction</t>
  </si>
  <si>
    <t xml:space="preserve">Retained Employee Tax Payment</t>
  </si>
  <si>
    <t xml:space="preserve">Retained Employee Housing Payment</t>
  </si>
  <si>
    <t xml:space="preserve">USA Exemptions (Dependents, Housing, Deductions)</t>
  </si>
  <si>
    <t xml:space="preserve">Federal Tax Rate (USA)</t>
  </si>
  <si>
    <t xml:space="preserve">State Tax Rate (USA)</t>
  </si>
  <si>
    <t xml:space="preserve">Max Overtime Rate</t>
  </si>
  <si>
    <t xml:space="preserve">Max Hours in a Shift (8 or 12)</t>
  </si>
  <si>
    <t xml:space="preserve">Expatriate Benefits</t>
  </si>
  <si>
    <t xml:space="preserve">Uplift &amp; Danger Pay (%)</t>
  </si>
  <si>
    <t xml:space="preserve">Goods &amp; Services Uplift</t>
  </si>
  <si>
    <t xml:space="preserve">Lodging (House rent / Hotel)</t>
  </si>
  <si>
    <t xml:space="preserve">Home Leave</t>
  </si>
  <si>
    <t xml:space="preserve">Dependent Schools</t>
  </si>
  <si>
    <t xml:space="preserve">Transportation for Employees</t>
  </si>
  <si>
    <t xml:space="preserve">Utility</t>
  </si>
  <si>
    <t xml:space="preserve">Food </t>
  </si>
  <si>
    <t xml:space="preserve">Laundry/Cleaning Service</t>
  </si>
  <si>
    <t xml:space="preserve">Travel from Base to Site (Roundtrip)</t>
  </si>
  <si>
    <t xml:space="preserve">Family (Spouse + two)</t>
  </si>
  <si>
    <t xml:space="preserve">Operations Manager</t>
  </si>
  <si>
    <t xml:space="preserve">Plant Manager</t>
  </si>
  <si>
    <t xml:space="preserve">from Phillipines</t>
  </si>
  <si>
    <t xml:space="preserve">from USA</t>
  </si>
  <si>
    <t xml:space="preserve">from UK</t>
  </si>
  <si>
    <t xml:space="preserve">Bonus</t>
  </si>
  <si>
    <t xml:space="preserve">5% of Base</t>
  </si>
  <si>
    <t xml:space="preserve">8% of Base</t>
  </si>
  <si>
    <t xml:space="preserve">Foreign Service Premium</t>
  </si>
  <si>
    <t xml:space="preserve">15% of Base</t>
  </si>
  <si>
    <t xml:space="preserve">45% of Base</t>
  </si>
  <si>
    <t xml:space="preserve">40% of Base</t>
  </si>
  <si>
    <t xml:space="preserve">Tax Protection/Equalization</t>
  </si>
  <si>
    <t xml:space="preserve">188 % of Base</t>
  </si>
  <si>
    <t xml:space="preserve">185 % of Base</t>
  </si>
  <si>
    <t xml:space="preserve">55 % of Base</t>
  </si>
  <si>
    <t xml:space="preserve">C&amp;S Allowance</t>
  </si>
  <si>
    <r>
      <rPr>
        <b val="true"/>
        <sz val="10"/>
        <rFont val="Arial"/>
        <family val="0"/>
      </rPr>
      <t xml:space="preserve">Housing &amp; Utilities</t>
    </r>
    <r>
      <rPr>
        <b val="true"/>
        <vertAlign val="superscript"/>
        <sz val="10"/>
        <rFont val="Arial"/>
        <family val="2"/>
      </rPr>
      <t xml:space="preserve">2</t>
    </r>
  </si>
  <si>
    <t xml:space="preserve">Educational Assistance</t>
  </si>
  <si>
    <t xml:space="preserve">R&amp;R Leave</t>
  </si>
  <si>
    <t xml:space="preserve">$3,900 x 4 = $15,600</t>
  </si>
  <si>
    <r>
      <rPr>
        <b val="true"/>
        <sz val="10"/>
        <rFont val="Arial"/>
        <family val="0"/>
      </rPr>
      <t xml:space="preserve">Relocation Expenses</t>
    </r>
    <r>
      <rPr>
        <b val="true"/>
        <vertAlign val="superscript"/>
        <sz val="10"/>
        <rFont val="Arial"/>
        <family val="2"/>
      </rPr>
      <t xml:space="preserve">1</t>
    </r>
  </si>
  <si>
    <t xml:space="preserve">Foreign Duty Allowance</t>
  </si>
  <si>
    <t xml:space="preserve">                Total</t>
  </si>
  <si>
    <t xml:space="preserve">191% of Base +  $34,018</t>
  </si>
  <si>
    <t xml:space="preserve">235% of Base +  $115,800</t>
  </si>
  <si>
    <t xml:space="preserve">103% of Base +  $130,333</t>
  </si>
  <si>
    <t xml:space="preserve">Benefits Loading Factor (of Base)</t>
  </si>
  <si>
    <t xml:space="preserve">Without Housing Colony</t>
  </si>
  <si>
    <t xml:space="preserve">With Housing Colony</t>
  </si>
  <si>
    <t xml:space="preserve">Source:  Enron HR</t>
  </si>
  <si>
    <t xml:space="preserve">these in red need to be replaced. Awaiting update from HR</t>
  </si>
  <si>
    <t xml:space="preserve">1/ Relocation expenses is an annual average over a 3 yr period.</t>
  </si>
  <si>
    <t xml:space="preserve">2/ Housing and Utilities assumed to be paid for the plant manager, but required for the commercial manager, if an Expat.</t>
  </si>
  <si>
    <t xml:space="preserve">O&amp;M Estimate Backup/Detail Sheet</t>
  </si>
  <si>
    <t xml:space="preserve">Plant Configuration Lookup</t>
  </si>
  <si>
    <t xml:space="preserve">Total (US $)</t>
  </si>
  <si>
    <t xml:space="preserve">% Variable</t>
  </si>
  <si>
    <t xml:space="preserve">% Local</t>
  </si>
  <si>
    <t xml:space="preserve">Fixed (USD)</t>
  </si>
  <si>
    <t xml:space="preserve">Variable (USD)</t>
  </si>
  <si>
    <t xml:space="preserve">Foreign</t>
  </si>
  <si>
    <t xml:space="preserve">Payroll &amp; Burden </t>
  </si>
  <si>
    <t xml:space="preserve">Expats:  Salaries &amp; Benefits</t>
  </si>
  <si>
    <t xml:space="preserve">Local:    Salaries &amp; Benefits</t>
  </si>
  <si>
    <t xml:space="preserve">Basis: HR data</t>
  </si>
  <si>
    <t xml:space="preserve">scaled by Subic: $33,000 x 51people/110people</t>
  </si>
  <si>
    <t xml:space="preserve">scaled by Subic: $42,000 x 51people/110people</t>
  </si>
  <si>
    <t xml:space="preserve">scaled by Subic: $25,000 x 51people/110people</t>
  </si>
  <si>
    <t xml:space="preserve">same as Subic</t>
  </si>
  <si>
    <t xml:space="preserve">scaled by Subic: $5,600 x 51people/110peoplex</t>
  </si>
  <si>
    <t xml:space="preserve">$2/day/employee x 235 days x # staff</t>
  </si>
  <si>
    <t xml:space="preserve">Basis: Subic 1996 Budget </t>
  </si>
  <si>
    <t xml:space="preserve">Permanent Contract Labor</t>
  </si>
  <si>
    <t xml:space="preserve">see Contract Labor page</t>
  </si>
  <si>
    <t xml:space="preserve">Basis:</t>
  </si>
  <si>
    <t xml:space="preserve">Environmental Expense (including permit fees)</t>
  </si>
  <si>
    <t xml:space="preserve">Scaled on Ilijan (500/1200) x $11,700</t>
  </si>
  <si>
    <t xml:space="preserve">simple</t>
  </si>
  <si>
    <t xml:space="preserve">Scaled on Ilijan (500/1200) x $38,500</t>
  </si>
  <si>
    <t xml:space="preserve">combined</t>
  </si>
  <si>
    <t xml:space="preserve">Scaled on Ilijan (500/1200) x $13,650</t>
  </si>
  <si>
    <t xml:space="preserve">simple/Cogen</t>
  </si>
  <si>
    <t xml:space="preserve">1 trip x $3M/trip + 7 days perdiem x $25/day (guesthouse)</t>
  </si>
  <si>
    <t xml:space="preserve">80 manhrs x $75/hr (audit)</t>
  </si>
  <si>
    <t xml:space="preserve">Stack Testing/Modeling - Scaled on Ilijan $14,000 x 500/1200</t>
  </si>
  <si>
    <t xml:space="preserve">Basis: Memo from Bal Wong dtd 7/29/96</t>
  </si>
  <si>
    <t xml:space="preserve">Safety Expense</t>
  </si>
  <si>
    <t xml:space="preserve">17,520x51/62 (50% scaled from Ilijan personnel)</t>
  </si>
  <si>
    <t xml:space="preserve">38,500x500/1200 (scaled from Ilijan)</t>
  </si>
  <si>
    <t xml:space="preserve">27,985x51/62 (scaled from Ilijan personnel)</t>
  </si>
  <si>
    <t xml:space="preserve">Buildings &amp; Grounds</t>
  </si>
  <si>
    <t xml:space="preserve">Gas Turbines</t>
  </si>
  <si>
    <t xml:space="preserve">Quantity</t>
  </si>
  <si>
    <t xml:space="preserve">Cycle</t>
  </si>
  <si>
    <t xml:space="preserve">80 manhrs x $100/hr Crisis response training (audit)</t>
  </si>
  <si>
    <t xml:space="preserve">$22,900 x 75%</t>
  </si>
  <si>
    <t xml:space="preserve">#1</t>
  </si>
  <si>
    <t xml:space="preserve">(Same as ClearLk/TxCity Avg Actuals x 75% labor factor)</t>
  </si>
  <si>
    <t xml:space="preserve"> </t>
  </si>
  <si>
    <t xml:space="preserve">1 trip x $6M/trip + 7 days perdiems x $25/day (guest house)</t>
  </si>
  <si>
    <t xml:space="preserve">#2</t>
  </si>
  <si>
    <t xml:space="preserve">#3</t>
  </si>
  <si>
    <t xml:space="preserve">Scaled from Subic personnel: $30,000 x 51/110</t>
  </si>
  <si>
    <t xml:space="preserve">Scaled from Subic personnel: $15,000 x 51/110</t>
  </si>
  <si>
    <t xml:space="preserve">Scaled from Subic personnel: $6,000 x 51/110</t>
  </si>
  <si>
    <t xml:space="preserve">80 manhrs x $125/hr</t>
  </si>
  <si>
    <t xml:space="preserve">160 manhrs x $75/hr + 1 trip x $6M/trip + 14 days perdiem x $25/day</t>
  </si>
  <si>
    <t xml:space="preserve">80 manhrs x $75/hr</t>
  </si>
  <si>
    <t xml:space="preserve">80 manhrs x $75/hr + 2 trips x $3M/trip + 14 days perdiem x $25/day</t>
  </si>
  <si>
    <t xml:space="preserve">Garbage &amp; Trash</t>
  </si>
  <si>
    <t xml:space="preserve">$200/month</t>
  </si>
  <si>
    <t xml:space="preserve">50% of Subic</t>
  </si>
  <si>
    <t xml:space="preserve">Same as Subic for items &lt; $1000, otherwise in Sus. Capital</t>
  </si>
  <si>
    <t xml:space="preserve">4 licenses x $500 ea.</t>
  </si>
  <si>
    <t xml:space="preserve">33% Subic</t>
  </si>
  <si>
    <t xml:space="preserve">Assumed in Plant's House Load</t>
  </si>
  <si>
    <t xml:space="preserve">(covered in Commercial office)</t>
  </si>
  <si>
    <t xml:space="preserve">$500/vehicle/year</t>
  </si>
  <si>
    <t xml:space="preserve">see detail below</t>
  </si>
  <si>
    <t xml:space="preserve">Basis: Subic 1996 Budget &amp; Rino Manzano ccMail dtd 8/8/96</t>
  </si>
  <si>
    <t xml:space="preserve">12x$4M/month</t>
  </si>
  <si>
    <t xml:space="preserve">5 phones x $300/month</t>
  </si>
  <si>
    <t xml:space="preserve">none assumed for this project</t>
  </si>
  <si>
    <t xml:space="preserve">Basis: Hainan Plant actuals (Overseas experience)</t>
  </si>
  <si>
    <t xml:space="preserve">Operating Insurance</t>
  </si>
  <si>
    <t xml:space="preserve">Estimated by Risk Management</t>
  </si>
  <si>
    <t xml:space="preserve">It will add incrementally to the Enron Pool of insured assets</t>
  </si>
  <si>
    <t xml:space="preserve">Control Room/Laboratory Expenses</t>
  </si>
  <si>
    <t xml:space="preserve">75% of US CCPP costs</t>
  </si>
  <si>
    <t xml:space="preserve">5% of 75% of total</t>
  </si>
  <si>
    <t xml:space="preserve">Basis: 13 years of Actuals from Tx City/Clear Lake Plants</t>
  </si>
  <si>
    <t xml:space="preserve">Operations Support (Year 1 Only)</t>
  </si>
  <si>
    <t xml:space="preserve">2ea.x$350/dayx180days (includes benefits)</t>
  </si>
  <si>
    <t xml:space="preserve">2ea.x$25/dayx180days (stay in Guest House)</t>
  </si>
  <si>
    <t xml:space="preserve">2ea.x$3000 trip x 2trips (coach class)</t>
  </si>
  <si>
    <t xml:space="preserve">66% of wages</t>
  </si>
  <si>
    <t xml:space="preserve">2 US Expats for 6 months to aid in Initial Operating Period</t>
  </si>
  <si>
    <t xml:space="preserve">Chemicals (including Water treatment &amp; Lubricity Agent)</t>
  </si>
  <si>
    <t xml:space="preserve">1 trip x $3M</t>
  </si>
  <si>
    <t xml:space="preserve">Chlorine/Clarifier/filter</t>
  </si>
  <si>
    <t xml:space="preserve">Boiler/Steam Cycle Treatment</t>
  </si>
  <si>
    <t xml:space="preserve">Assume air cooled</t>
  </si>
  <si>
    <t xml:space="preserve">n/a with PCFD installed on GTs (GTs will have PCFD per Dev. Eng.)</t>
  </si>
  <si>
    <t xml:space="preserve">10% of total</t>
  </si>
  <si>
    <t xml:space="preserve">Basis: Water model estimate using Hyundai Water Balance @ 80% PLF</t>
  </si>
  <si>
    <t xml:space="preserve">Painting</t>
  </si>
  <si>
    <t xml:space="preserve">Scaled on MW</t>
  </si>
  <si>
    <t xml:space="preserve">$70,000 x (500MW/414MW)^0.6*.75</t>
  </si>
  <si>
    <t xml:space="preserve">75% factor for lower local labor</t>
  </si>
  <si>
    <t xml:space="preserve">Electrical &amp; Controls</t>
  </si>
  <si>
    <t xml:space="preserve">Scaled on MW and # Generators</t>
  </si>
  <si>
    <t xml:space="preserve">$30,000 x (4gens/4.5gens) x (500MW/414MW)^0.6 x 75%</t>
  </si>
  <si>
    <t xml:space="preserve">Water Treatment System</t>
  </si>
  <si>
    <t xml:space="preserve">Scaled on Steam Turbine MW</t>
  </si>
  <si>
    <t xml:space="preserve">$140,000 x (1ST/1ST) x (178MW/140MW)^0.6 x 75%</t>
  </si>
  <si>
    <t xml:space="preserve">Basis: 7 years of Actuals from Tx City Plant</t>
  </si>
  <si>
    <t xml:space="preserve">Cooling System</t>
  </si>
  <si>
    <t xml:space="preserve">scaled: $179,000 x (500MW/414MW)^0.6*75%labor</t>
  </si>
  <si>
    <t xml:space="preserve">Substation/Interconnects</t>
  </si>
  <si>
    <t xml:space="preserve">Scaled on genrator MW and # generators</t>
  </si>
  <si>
    <t xml:space="preserve">Scaled cost = Labor Cost + Materials Cost</t>
  </si>
  <si>
    <t xml:space="preserve">Labor cost (50% of total) = 50% x $94,000 x 50% </t>
  </si>
  <si>
    <t xml:space="preserve">Material Cost (50% of total) = 50% x $94,000 x (4gens/4.5gens) </t>
  </si>
  <si>
    <t xml:space="preserve">                                           x (112MW/104MW)^0.6  </t>
  </si>
  <si>
    <t xml:space="preserve">5% of 11% of total</t>
  </si>
  <si>
    <t xml:space="preserve">Basis: 12 years of Actuals from Tx City/Clear Lake Plants</t>
  </si>
  <si>
    <t xml:space="preserve">Gas Turbines (excluding scheduled maint.)</t>
  </si>
  <si>
    <t xml:space="preserve">Scaled on # turbines and turbine MW</t>
  </si>
  <si>
    <t xml:space="preserve">$554,000 x (3 GTs/3 GTs) x (112MW/104MW)^0.6 x 75% labor factor</t>
  </si>
  <si>
    <t xml:space="preserve">Boilers</t>
  </si>
  <si>
    <t xml:space="preserve">Scaled on Gas Turbine MW.</t>
  </si>
  <si>
    <t xml:space="preserve">$337,000 x (3GTs/3GTs) x (112MW/104MW)^0.6 x 75% x 75%</t>
  </si>
  <si>
    <t xml:space="preserve">75% factor due to Tx City/Clear Lk were cogen plants &amp; suppl. fired</t>
  </si>
  <si>
    <t xml:space="preserve">Triple pressure boilers</t>
  </si>
  <si>
    <t xml:space="preserve">Assume non-local manufacturer</t>
  </si>
  <si>
    <t xml:space="preserve">Steam Turbine (including Scheduled Maint.)</t>
  </si>
  <si>
    <t xml:space="preserve">$460,000x(178MW/140MW)^.6x75% labor factor</t>
  </si>
  <si>
    <t xml:space="preserve">this includes annualized cost for Major Maint Program</t>
  </si>
  <si>
    <t xml:space="preserve">This is an ANNUALIZED FIGURE for ST MMR planning</t>
  </si>
  <si>
    <t xml:space="preserve">1% of 75% of total</t>
  </si>
  <si>
    <t xml:space="preserve">Basis: 7 yrs of TX City Plant actuals on 140MW steam turbine including Schedule Maint.</t>
  </si>
  <si>
    <t xml:space="preserve">Water Supply Pipeline and Booster Station</t>
  </si>
  <si>
    <t xml:space="preserve">1.5% of TIC ($6,000,000)</t>
  </si>
  <si>
    <t xml:space="preserve">ROW maint., pigging, pump repair, cathodic protection</t>
  </si>
  <si>
    <t xml:space="preserve">61 kms of 16" cast iron pipe</t>
  </si>
  <si>
    <t xml:space="preserve">Deleted from scope</t>
  </si>
  <si>
    <t xml:space="preserve">Fuel Facility</t>
  </si>
  <si>
    <t xml:space="preserve">Misc. repairs (yearly average)</t>
  </si>
  <si>
    <t xml:space="preserve">plus Dredging cost ($200M every 2 years)</t>
  </si>
  <si>
    <t xml:space="preserve">Deleted from Scope</t>
  </si>
  <si>
    <t xml:space="preserve">Miscellaneous Maintenance Expense</t>
  </si>
  <si>
    <t xml:space="preserve">Scaled on plant MW</t>
  </si>
  <si>
    <t xml:space="preserve">scaled: $416,000 x (500MW/414MW)^0.6 x 75% labor factor</t>
  </si>
  <si>
    <t xml:space="preserve">included in chemicals</t>
  </si>
  <si>
    <t xml:space="preserve">Basis: 11 years of Actuals from Tx City/Clear Lake Plants</t>
  </si>
  <si>
    <t xml:space="preserve">O&amp;M Annual Fee</t>
  </si>
  <si>
    <t xml:space="preserve">Raiwind (BC Hydro) (120MW)      $3.67/MW</t>
  </si>
  <si>
    <t xml:space="preserve">Dabhol (2150 MW)                          $1.72/MW</t>
  </si>
  <si>
    <t xml:space="preserve">Use 10% of O&amp;M costs managed</t>
  </si>
  <si>
    <t xml:space="preserve">East Java (500 MW)(GE quote)     $2.00/MW</t>
  </si>
  <si>
    <t xml:space="preserve">including Comm. Office and GT</t>
  </si>
  <si>
    <t xml:space="preserve">Multan (800 MW)                           $2.50/MW</t>
  </si>
  <si>
    <t xml:space="preserve">Scheduled Maint.</t>
  </si>
  <si>
    <t xml:space="preserve">Hainan (150 MW)                           $4.40/MW</t>
  </si>
  <si>
    <t xml:space="preserve">Guam (88 MW)                               $6.81/MW   </t>
  </si>
  <si>
    <t xml:space="preserve">Tapal (Wartsila) (126 MW)   $1.90/MW (18 mo.)</t>
  </si>
  <si>
    <t xml:space="preserve">Basis: Eval team concensus</t>
  </si>
  <si>
    <t xml:space="preserve">Major Equipment Maintenance Program (20 year total)</t>
  </si>
  <si>
    <t xml:space="preserve">Labor &amp; Engineering</t>
  </si>
  <si>
    <t xml:space="preserve">1.0 x Labor &amp; Engineering</t>
  </si>
  <si>
    <t xml:space="preserve">Repairs</t>
  </si>
  <si>
    <t xml:space="preserve">1.0 x Repairs</t>
  </si>
  <si>
    <t xml:space="preserve">New parts</t>
  </si>
  <si>
    <t xml:space="preserve">1.0 x (New parts)</t>
  </si>
  <si>
    <t xml:space="preserve">Sustaining Project Expenses</t>
  </si>
  <si>
    <t xml:space="preserve">10% of procurement items</t>
  </si>
  <si>
    <t xml:space="preserve">Vehicular Fuel Usage</t>
  </si>
  <si>
    <t xml:space="preserve">Basis: </t>
  </si>
  <si>
    <t xml:space="preserve">Note:</t>
  </si>
  <si>
    <t xml:space="preserve">1/ Fixed Maintenance costs are assumed to be 50% parts, 25% labor, 25% consumables.</t>
  </si>
  <si>
    <t xml:space="preserve">2/ The 75% labor and parts factor is computed as follows:</t>
  </si>
  <si>
    <t xml:space="preserve">     - 25% component of the fixed maintenance costs are discounted 75% due to low labor rates in country --&gt; .25 X .25= .0625</t>
  </si>
  <si>
    <t xml:space="preserve">     - 25% component of the fixed maintenance costs are discounted 25% due to the assumed lower consumables cost in country --&gt; .25 X .75 = .1875</t>
  </si>
  <si>
    <t xml:space="preserve">     - 50% component of the fixed maintenance costs are not discounted and assumed imported or local full price --&gt; .5 X 1.0 = .5</t>
  </si>
  <si>
    <t xml:space="preserve">     - Therefore, total discount factor off full costs equals 75%.</t>
  </si>
  <si>
    <t xml:space="preserve">3/ Customs duty rate of 49.75% is not applied to all foreign imported parts and consumables (assumed to be 75% of total "foreign" amount).</t>
  </si>
  <si>
    <t xml:space="preserve">4/ Customer duty for various types of equipment needs to be confirmed by EI tax specialists.</t>
  </si>
  <si>
    <t xml:space="preserve">Plant Configuration Lookup Table</t>
  </si>
  <si>
    <t xml:space="preserve">Assumes United States location and gas fuel</t>
  </si>
  <si>
    <t xml:space="preserve">Plant Configuration</t>
  </si>
  <si>
    <t xml:space="preserve"> GE LM6000</t>
  </si>
  <si>
    <t xml:space="preserve">GE 7EA</t>
  </si>
  <si>
    <t xml:space="preserve">GE 7FA</t>
  </si>
  <si>
    <t xml:space="preserve">W501D5</t>
  </si>
  <si>
    <t xml:space="preserve">W501D5A</t>
  </si>
  <si>
    <t xml:space="preserve">GE 6B</t>
  </si>
  <si>
    <t xml:space="preserve">BOILERS</t>
  </si>
  <si>
    <t xml:space="preserve">Number of Units</t>
  </si>
  <si>
    <t xml:space="preserve">Capacity</t>
  </si>
  <si>
    <t xml:space="preserve">Operational Hours per year</t>
  </si>
  <si>
    <t xml:space="preserve">Plant Labor (Number of personnel)</t>
  </si>
  <si>
    <t xml:space="preserve">Assistant Plant Manager</t>
  </si>
  <si>
    <t xml:space="preserve">Plant Engineer</t>
  </si>
  <si>
    <t xml:space="preserve">Administration Manager</t>
  </si>
  <si>
    <t xml:space="preserve">Accountant</t>
  </si>
  <si>
    <t xml:space="preserve">Administrative Assistant</t>
  </si>
  <si>
    <t xml:space="preserve">Warehouse Supervisor</t>
  </si>
  <si>
    <t xml:space="preserve">Other</t>
  </si>
  <si>
    <t xml:space="preserve">Operations Shift Supervisors</t>
  </si>
  <si>
    <t xml:space="preserve">Control Room Operators</t>
  </si>
  <si>
    <t xml:space="preserve">Turbine Operators</t>
  </si>
  <si>
    <t xml:space="preserve">Water System Opertors</t>
  </si>
  <si>
    <t xml:space="preserve">Fuel Storage/Handling Operators</t>
  </si>
  <si>
    <t xml:space="preserve">Utility Operators</t>
  </si>
  <si>
    <t xml:space="preserve">Chemist</t>
  </si>
  <si>
    <t xml:space="preserve">Tech III</t>
  </si>
  <si>
    <t xml:space="preserve">Tech II</t>
  </si>
  <si>
    <t xml:space="preserve">Maintenance Manager</t>
  </si>
  <si>
    <t xml:space="preserve">Mechanical Engineer</t>
  </si>
  <si>
    <t xml:space="preserve">Maintenance Planner</t>
  </si>
  <si>
    <t xml:space="preserve">Mechanic</t>
  </si>
  <si>
    <t xml:space="preserve">I&amp;C Engineer</t>
  </si>
  <si>
    <t xml:space="preserve">I&amp;C Technician</t>
  </si>
  <si>
    <t xml:space="preserve">Electrical Technician</t>
  </si>
  <si>
    <t xml:space="preserve">Operations &amp; Maintenance (Annual)</t>
  </si>
  <si>
    <t xml:space="preserve">Travel Expenses/Overtime Meals</t>
  </si>
  <si>
    <t xml:space="preserve">Conferences/Training</t>
  </si>
  <si>
    <t xml:space="preserve">Employees Expense</t>
  </si>
  <si>
    <t xml:space="preserve">Interviews/Relocations</t>
  </si>
  <si>
    <t xml:space="preserve">Professional Dues</t>
  </si>
  <si>
    <t xml:space="preserve">Entertainment Expense</t>
  </si>
  <si>
    <t xml:space="preserve">Daily Meal Allowance</t>
  </si>
  <si>
    <t xml:space="preserve">Contract Labor</t>
  </si>
  <si>
    <t xml:space="preserve">Environmental Expense (inc. permit fees)</t>
  </si>
  <si>
    <t xml:space="preserve">Training/Awards</t>
  </si>
  <si>
    <t xml:space="preserve">Materials &amp; Supplies</t>
  </si>
  <si>
    <t xml:space="preserve">Technical/Professional Services</t>
  </si>
  <si>
    <t xml:space="preserve">Other Outside Services (RATA)</t>
  </si>
  <si>
    <t xml:space="preserve">Non-Hazardous Waste Handling</t>
  </si>
  <si>
    <t xml:space="preserve">Company Membership &amp; Dues</t>
  </si>
  <si>
    <t xml:space="preserve">Routine Safety Supplies</t>
  </si>
  <si>
    <t xml:space="preserve">Safety Equipment Rentals</t>
  </si>
  <si>
    <t xml:space="preserve">Security training and facilities</t>
  </si>
  <si>
    <t xml:space="preserve">Building repairs &amp; painting</t>
  </si>
  <si>
    <t xml:space="preserve">Road repairs</t>
  </si>
  <si>
    <t xml:space="preserve">Outside services Contract labor</t>
  </si>
  <si>
    <t xml:space="preserve">Equipment Rentals</t>
  </si>
  <si>
    <t xml:space="preserve">Other Rents</t>
  </si>
  <si>
    <t xml:space="preserve">Supplies</t>
  </si>
  <si>
    <t xml:space="preserve">Office Supplies &amp; Expenses</t>
  </si>
  <si>
    <t xml:space="preserve">Outside Services Contract Labor</t>
  </si>
  <si>
    <t xml:space="preserve">Office Equipment Maint.</t>
  </si>
  <si>
    <t xml:space="preserve">Regional Technical Support</t>
  </si>
  <si>
    <t xml:space="preserve">Customs</t>
  </si>
  <si>
    <t xml:space="preserve">Regulatory</t>
  </si>
  <si>
    <t xml:space="preserve">Other Outside Services</t>
  </si>
  <si>
    <t xml:space="preserve">Office Equipment Rental</t>
  </si>
  <si>
    <t xml:space="preserve">Radio parts/repair</t>
  </si>
  <si>
    <t xml:space="preserve">PC Hardware (purchase)</t>
  </si>
  <si>
    <t xml:space="preserve">PC Software</t>
  </si>
  <si>
    <t xml:space="preserve">PC Hardware Rental/Lease</t>
  </si>
  <si>
    <t xml:space="preserve">PC Maintenance</t>
  </si>
  <si>
    <t xml:space="preserve">Postage &amp; Freight Expenses</t>
  </si>
  <si>
    <t xml:space="preserve">Utilities (office water, power, gas)</t>
  </si>
  <si>
    <t xml:space="preserve">Public relations/Contributions</t>
  </si>
  <si>
    <t xml:space="preserve">Boat maintenance/repair</t>
  </si>
  <si>
    <t xml:space="preserve">Vehicle maintenance/repair</t>
  </si>
  <si>
    <t xml:space="preserve">Vehicle fuel</t>
  </si>
  <si>
    <t xml:space="preserve">Boat fuel</t>
  </si>
  <si>
    <t xml:space="preserve">Phone service</t>
  </si>
  <si>
    <t xml:space="preserve">Cellular phone service</t>
  </si>
  <si>
    <t xml:space="preserve">VSAT</t>
  </si>
  <si>
    <t xml:space="preserve">Reagents &amp; Supplies</t>
  </si>
  <si>
    <t xml:space="preserve">Rental Equipment</t>
  </si>
  <si>
    <t xml:space="preserve">Analyzer Repairs</t>
  </si>
  <si>
    <t xml:space="preserve">Contract Labor/Temporaries</t>
  </si>
  <si>
    <t xml:space="preserve">   Tax Protection (over 6 months)</t>
  </si>
  <si>
    <t xml:space="preserve">Pretreatment chemicals</t>
  </si>
  <si>
    <t xml:space="preserve">Demin Acid/Caustic</t>
  </si>
  <si>
    <t xml:space="preserve">Resin Replacement</t>
  </si>
  <si>
    <t xml:space="preserve">CT Chemicals</t>
  </si>
  <si>
    <t xml:space="preserve">Boiler Chemicals</t>
  </si>
  <si>
    <t xml:space="preserve">SCR Ammonia </t>
  </si>
  <si>
    <t xml:space="preserve">Potable Water Chemicals</t>
  </si>
  <si>
    <t xml:space="preserve">Hydrogen (generators)</t>
  </si>
  <si>
    <t xml:space="preserve">Waste Water Treatment</t>
  </si>
  <si>
    <t xml:space="preserve">Lubricity Agent</t>
  </si>
  <si>
    <t xml:space="preserve">Taxes/freight</t>
  </si>
  <si>
    <t xml:space="preserve">Paint &amp; Materials</t>
  </si>
  <si>
    <t xml:space="preserve">Outside Contract Services</t>
  </si>
  <si>
    <t xml:space="preserve">Equipment rental</t>
  </si>
  <si>
    <t xml:space="preserve">Repair Parts</t>
  </si>
  <si>
    <t xml:space="preserve">Outside Repair Services</t>
  </si>
  <si>
    <t xml:space="preserve">Outside Contract Labor</t>
  </si>
  <si>
    <t xml:space="preserve">Miscellaneous (chillers)</t>
  </si>
  <si>
    <t xml:space="preserve">Electric Meter Calibration &amp; Testing</t>
  </si>
  <si>
    <t xml:space="preserve">Equipment rental </t>
  </si>
  <si>
    <t xml:space="preserve">Non-scheduled maint. parts/repairs</t>
  </si>
  <si>
    <t xml:space="preserve">Auxiliary Parts</t>
  </si>
  <si>
    <t xml:space="preserve">Fuel Facility (Gas Compression)</t>
  </si>
  <si>
    <t xml:space="preserve">Warehouse Supplies</t>
  </si>
  <si>
    <t xml:space="preserve">Vehicle Fuel/Gasoline</t>
  </si>
  <si>
    <t xml:space="preserve">Vehicle Repairs &amp; Maintenance</t>
  </si>
  <si>
    <t xml:space="preserve">Vehicle Lease</t>
  </si>
  <si>
    <t xml:space="preserve">Equipment rent/lease</t>
  </si>
  <si>
    <t xml:space="preserve">Lubricants/Turbine Oil/Grease/Compounds</t>
  </si>
  <si>
    <t xml:space="preserve">Tools &amp; Tool Repair</t>
  </si>
  <si>
    <t xml:space="preserve">Maint. Materials &amp; Supplies</t>
  </si>
  <si>
    <t xml:space="preserve">Contact Labor/Temporaries</t>
  </si>
  <si>
    <t xml:space="preserve">Radio Parts and repairs</t>
  </si>
  <si>
    <t xml:space="preserve">BOP Repairs</t>
  </si>
  <si>
    <t xml:space="preserve">Hydrogen</t>
  </si>
  <si>
    <t xml:space="preserve">(Use 10% of O&amp;M costs managed) </t>
  </si>
  <si>
    <t xml:space="preserve">on country type (10%, 15%, 20%)</t>
  </si>
  <si>
    <t xml:space="preserve">Major Equipment Maintenance (20 year total)</t>
  </si>
  <si>
    <t xml:space="preserve">total cost (LM 6000)</t>
  </si>
  <si>
    <t xml:space="preserve">Administrative/Technical</t>
  </si>
  <si>
    <t xml:space="preserve">Project Expenses</t>
  </si>
  <si>
    <t xml:space="preserve">3 Trucks:</t>
  </si>
  <si>
    <t xml:space="preserve">3 x gal/15 miles x $1.5/gal x 20000 miles/yr</t>
  </si>
  <si>
    <t xml:space="preserve">1 Van &amp; 1 Flat-bed Truck:</t>
  </si>
  <si>
    <t xml:space="preserve">2 x gal/ 10 miles x $1.5/gal x 20 miles/day x 365 days/year</t>
  </si>
  <si>
    <t xml:space="preserve">2 Forklifts:</t>
  </si>
  <si>
    <t xml:space="preserve">2 x 2 gal/hr x $1.5/gal x 2 hr/day x 365 days/yr</t>
  </si>
  <si>
    <t xml:space="preserve">1 Crane:</t>
  </si>
  <si>
    <t xml:space="preserve">5 gal/hr x $1.5/gal x 40 days/yr x 8 hours/day</t>
  </si>
  <si>
    <t xml:space="preserve">1 Crew Boats:</t>
  </si>
  <si>
    <t xml:space="preserve">20 gal/hr x 1hr/30 miles x 30 miles x 2rd trips/d x365 days/yr x $1.5/gal x 2.0 (idle factor)</t>
  </si>
  <si>
    <t xml:space="preserve">GT MW @ ISO</t>
  </si>
  <si>
    <t xml:space="preserve">Parts Discount =</t>
  </si>
  <si>
    <t xml:space="preserve">COMBUSTION TURBINES &amp; GENERATORS</t>
  </si>
  <si>
    <t xml:space="preserve">Sets</t>
  </si>
  <si>
    <t xml:space="preserve">EXTENDER KITS </t>
  </si>
  <si>
    <t xml:space="preserve">OPERATIONAL SPARES (INCLUDES MKV CONTROL &amp; EX 2000 SPARES)</t>
  </si>
  <si>
    <t xml:space="preserve">GAS TURBINE BEARING LINERS</t>
  </si>
  <si>
    <t xml:space="preserve">CI CONSUMABLES</t>
  </si>
  <si>
    <t xml:space="preserve">HGP INSPECTION CONSUMABLES</t>
  </si>
  <si>
    <t xml:space="preserve">MI CONSUMABLES</t>
  </si>
  <si>
    <t xml:space="preserve">GT GENERATOR SPARES</t>
  </si>
  <si>
    <t xml:space="preserve">GENERATOR INSPECTION CONSUMABLES </t>
  </si>
  <si>
    <t xml:space="preserve">                          SUB-TOTAL</t>
  </si>
  <si>
    <t xml:space="preserve">STEAM TURBINE &amp; GENERATOR</t>
  </si>
  <si>
    <t xml:space="preserve">RECOMMENDED OPERATIONAL SPARES</t>
  </si>
  <si>
    <t xml:space="preserve">Sub-Total </t>
  </si>
  <si>
    <t xml:space="preserve">BALANCE OF PLANT</t>
  </si>
  <si>
    <t xml:space="preserve">SUB-TOTAL</t>
  </si>
  <si>
    <t xml:space="preserve">INSURANCE @ 0.25%</t>
  </si>
  <si>
    <t xml:space="preserve">FREIGHT @ 1%</t>
  </si>
  <si>
    <t xml:space="preserve">Gas Fired Operation</t>
  </si>
  <si>
    <t xml:space="preserve">Project Life</t>
  </si>
  <si>
    <t xml:space="preserve">Years</t>
  </si>
  <si>
    <t xml:space="preserve">Lease Club Membership Fees Not Included</t>
  </si>
  <si>
    <t xml:space="preserve">total cost</t>
  </si>
  <si>
    <t xml:space="preserve">cost per engine</t>
  </si>
  <si>
    <t xml:space="preserve">Total Number of Installed Units</t>
  </si>
  <si>
    <t xml:space="preserve">cost per year</t>
  </si>
  <si>
    <t xml:space="preserve">cost per FIRED hour</t>
  </si>
  <si>
    <t xml:space="preserve">Inputs</t>
  </si>
  <si>
    <t xml:space="preserve">Annual Lease Club Fees</t>
  </si>
  <si>
    <t xml:space="preserve">per engine</t>
  </si>
  <si>
    <t xml:space="preserve">$201,368 for LM6000 DLE (PD) &amp; 20% increase for liquid fuel operation</t>
  </si>
  <si>
    <t xml:space="preserve">Lease Engine Usage Fee </t>
  </si>
  <si>
    <t xml:space="preserve">per week (1-26 weeks)</t>
  </si>
  <si>
    <t xml:space="preserve">50,000 hour engine refurbishment assumes assumes 12 week usage of lease engine</t>
  </si>
  <si>
    <t xml:space="preserve">Preventative Maintenance</t>
  </si>
  <si>
    <t xml:space="preserve">per year</t>
  </si>
  <si>
    <t xml:space="preserve">Semi-Annual Preventative Maintenance</t>
  </si>
  <si>
    <t xml:space="preserve">Hot Section Refurbishment / 24,000 hrs</t>
  </si>
  <si>
    <t xml:space="preserve">per GT</t>
  </si>
  <si>
    <t xml:space="preserve">(rotable exchange)</t>
  </si>
  <si>
    <t xml:space="preserve">excludes DLE adder</t>
  </si>
  <si>
    <t xml:space="preserve">Engine Refurbishment / 48,000 hrs</t>
  </si>
  <si>
    <t xml:space="preserve">excluding 20% adder for DLN</t>
  </si>
  <si>
    <t xml:space="preserve">Labor &amp; Engineering / Hot Section</t>
  </si>
  <si>
    <t xml:space="preserve">Travel &amp; diem for GE personnel</t>
  </si>
  <si>
    <t xml:space="preserve">Labor &amp; Engineering / Major</t>
  </si>
  <si>
    <t xml:space="preserve">Dispatch</t>
  </si>
  <si>
    <t xml:space="preserve">Fired hrs/yr</t>
  </si>
  <si>
    <t xml:space="preserve">Year</t>
  </si>
  <si>
    <t xml:space="preserve">Hours (EOY)</t>
  </si>
  <si>
    <t xml:space="preserve">Maint Inspection (C, H or M)</t>
  </si>
  <si>
    <t xml:space="preserve">h</t>
  </si>
  <si>
    <t xml:space="preserve">m</t>
  </si>
  <si>
    <t xml:space="preserve">Comb., Hot Sec &amp; Major Maint. Cost</t>
  </si>
  <si>
    <t xml:space="preserve">Preventative Miantenance</t>
  </si>
  <si>
    <t xml:space="preserve">Lease Program</t>
  </si>
  <si>
    <t xml:space="preserve">Lease Engine Usage Fee</t>
  </si>
  <si>
    <t xml:space="preserve">Yearly Totals</t>
  </si>
  <si>
    <t xml:space="preserve">Assumptions:</t>
  </si>
  <si>
    <t xml:space="preserve">1. Hot Gas Path inspection conducted at 25,000 fired hour intervals and Major at 50,000 hour intervals.</t>
  </si>
  <si>
    <t xml:space="preserve">2. Pricing in 1999 USD and escalated by 3% to arrive at 2000 USD. Does not include escalation beyond that.</t>
  </si>
  <si>
    <t xml:space="preserve">3. Maintenance and lease costs from George Graham/Stewart &amp; Stevenson 12/10/99 e-mail.</t>
  </si>
  <si>
    <t xml:space="preserve">BASE LOAD CASE</t>
  </si>
  <si>
    <t xml:space="preserve">Lease Club Membership Fees Included</t>
  </si>
  <si>
    <t xml:space="preserve">48,000 hour engine refurbishment assumes assumes 12 week usage of lease engine</t>
  </si>
  <si>
    <t xml:space="preserve">(rotable exchnage)</t>
  </si>
  <si>
    <t xml:space="preserve">Maint Inspection (H or M)</t>
  </si>
  <si>
    <t xml:space="preserve">H</t>
  </si>
  <si>
    <t xml:space="preserve">M</t>
  </si>
  <si>
    <t xml:space="preserve">Hot Sec &amp; Major Maint.</t>
  </si>
  <si>
    <t xml:space="preserve">1. Hot Gas Path inspection conducted at 25,000 fired hour intervals.</t>
  </si>
  <si>
    <t xml:space="preserve">2. Major inspection conducted at 50,000 fired hour intervals.</t>
  </si>
  <si>
    <t xml:space="preserve">YEAR</t>
  </si>
  <si>
    <t xml:space="preserve">Subtotal</t>
  </si>
  <si>
    <t xml:space="preserve">UNIT 1</t>
  </si>
  <si>
    <t xml:space="preserve">UNIT 2</t>
  </si>
  <si>
    <t xml:space="preserve">UNIT 3</t>
  </si>
  <si>
    <t xml:space="preserve">UNIT 4</t>
  </si>
  <si>
    <t xml:space="preserve">LABOR</t>
  </si>
  <si>
    <t xml:space="preserve">NEW PARTS</t>
  </si>
  <si>
    <t xml:space="preserve">GAS TURBINE</t>
  </si>
  <si>
    <t xml:space="preserve">Unit Price</t>
  </si>
  <si>
    <t xml:space="preserve">Initial SP</t>
  </si>
  <si>
    <t xml:space="preserve">Renewables--CI</t>
  </si>
  <si>
    <t xml:space="preserve">Renewables--HGP</t>
  </si>
  <si>
    <t xml:space="preserve">Renewables--Major</t>
  </si>
  <si>
    <t xml:space="preserve">Sub-Total Parts</t>
  </si>
  <si>
    <t xml:space="preserve">Parts Discount</t>
  </si>
  <si>
    <t xml:space="preserve">Total Parts(w freight)</t>
  </si>
  <si>
    <t xml:space="preserve">REPAIR COST</t>
  </si>
  <si>
    <t xml:space="preserve">Repair Price</t>
  </si>
  <si>
    <t xml:space="preserve">Repairs (w discunt)</t>
  </si>
  <si>
    <t xml:space="preserve">Total Repairs (w freight)</t>
  </si>
  <si>
    <t xml:space="preserve">GRAND TOTAL (Parts,labor,&amp; Repairs)</t>
  </si>
  <si>
    <t xml:space="preserve">Parts wiscount</t>
  </si>
  <si>
    <t xml:space="preserve">Information Enter</t>
  </si>
  <si>
    <t xml:space="preserve">Spare Parts Rotation Plan</t>
  </si>
  <si>
    <t xml:space="preserve">Phase 1</t>
  </si>
  <si>
    <t xml:space="preserve">Phase2</t>
  </si>
  <si>
    <t xml:space="preserve">Base On</t>
  </si>
  <si>
    <t xml:space="preserve">Operating  Years</t>
  </si>
  <si>
    <t xml:space="preserve">Hours</t>
  </si>
  <si>
    <t xml:space="preserve">EOH or EOS per year</t>
  </si>
  <si>
    <t xml:space="preserve">Number of units</t>
  </si>
  <si>
    <t xml:space="preserve">minor</t>
  </si>
  <si>
    <t xml:space="preserve">minor interval</t>
  </si>
  <si>
    <t xml:space="preserve">HGP</t>
  </si>
  <si>
    <t xml:space="preserve">HGP interval</t>
  </si>
  <si>
    <t xml:space="preserve">Major</t>
  </si>
  <si>
    <t xml:space="preserve">Major interval</t>
  </si>
  <si>
    <t xml:space="preserve">Parts' Name</t>
  </si>
  <si>
    <t xml:space="preserve">Repair Interval</t>
  </si>
  <si>
    <t xml:space="preserve">Replace / Repair Interval</t>
  </si>
  <si>
    <t xml:space="preserve"> Spare part Sets for rotation</t>
  </si>
  <si>
    <t xml:space="preserve">Initial Spare part sets</t>
  </si>
  <si>
    <t xml:space="preserve">Maint. Cost</t>
  </si>
  <si>
    <t xml:space="preserve">Round of Buy</t>
  </si>
  <si>
    <t xml:space="preserve">REPAIR</t>
  </si>
  <si>
    <t xml:space="preserve">BUY</t>
  </si>
  <si>
    <t xml:space="preserve">Gas Turbine Scheduled Maintenance Data Base</t>
  </si>
  <si>
    <t xml:space="preserve">Data Base ID  </t>
  </si>
  <si>
    <t xml:space="preserve">GT TYPE   </t>
  </si>
  <si>
    <t xml:space="preserve"> Date of Data Base Updated   </t>
  </si>
  <si>
    <t xml:space="preserve">Updated By   </t>
  </si>
  <si>
    <t xml:space="preserve">RB</t>
  </si>
  <si>
    <t xml:space="preserve">Interval (EOH)</t>
  </si>
  <si>
    <t xml:space="preserve">Labor Cost (k$)</t>
  </si>
  <si>
    <t xml:space="preserve">Consumables (K$)</t>
  </si>
  <si>
    <t xml:space="preserve">Interval (EOS)</t>
  </si>
  <si>
    <t xml:space="preserve">Combustion Inspection</t>
  </si>
  <si>
    <t xml:space="preserve">HGP Inspection</t>
  </si>
  <si>
    <t xml:space="preserve">Major maintenance</t>
  </si>
  <si>
    <t xml:space="preserve">Name of Parts</t>
  </si>
  <si>
    <t xml:space="preserve">Repair Interval (H)</t>
  </si>
  <si>
    <t xml:space="preserve">Replace interval</t>
  </si>
  <si>
    <t xml:space="preserve">price of repair (K$)</t>
  </si>
  <si>
    <t xml:space="preserve">Price of Replace (K$)</t>
  </si>
  <si>
    <t xml:space="preserve">Repare on starts</t>
  </si>
  <si>
    <t xml:space="preserve">Replace/Repair </t>
  </si>
  <si>
    <t xml:space="preserve">Baskets</t>
  </si>
  <si>
    <t xml:space="preserve">Transition Pieces</t>
  </si>
  <si>
    <t xml:space="preserve">Transition Seals</t>
  </si>
  <si>
    <t xml:space="preserve">Fuel Nozzles</t>
  </si>
  <si>
    <t xml:space="preserve">Clamshells</t>
  </si>
  <si>
    <t xml:space="preserve">Row 1 Blades</t>
  </si>
  <si>
    <t xml:space="preserve">Row 2 Blades</t>
  </si>
  <si>
    <t xml:space="preserve">Row 3 Blades</t>
  </si>
  <si>
    <t xml:space="preserve">Row 4 Blades</t>
  </si>
  <si>
    <t xml:space="preserve">Row 1 Vanes </t>
  </si>
  <si>
    <t xml:space="preserve">Row 2 Vanes</t>
  </si>
  <si>
    <t xml:space="preserve">Row 3 Vanes</t>
  </si>
  <si>
    <t xml:space="preserve">Row 4 Vanes</t>
  </si>
  <si>
    <t xml:space="preserve">Row 1 ring segments</t>
  </si>
  <si>
    <t xml:space="preserve">Row 2 ring segments</t>
  </si>
  <si>
    <t xml:space="preserve">Row 3 rings segments</t>
  </si>
  <si>
    <t xml:space="preserve">Row 4 rings segments</t>
  </si>
  <si>
    <t xml:space="preserve">Comp Rotor Blades</t>
  </si>
  <si>
    <t xml:space="preserve">Comp Diaphragms</t>
  </si>
  <si>
    <t xml:space="preserve">Remark:</t>
  </si>
  <si>
    <t xml:space="preserve">Pricing provided by fax sent by Stacie Carter on 5/15/00.</t>
  </si>
  <si>
    <t xml:space="preserve">GE-7EA-H-V0</t>
  </si>
  <si>
    <t xml:space="preserve">GE-Frame 7EA</t>
  </si>
  <si>
    <t xml:space="preserve">Combustion Liners</t>
  </si>
  <si>
    <t xml:space="preserve">Stage 1 Nozzles</t>
  </si>
  <si>
    <t xml:space="preserve">Stage 2 Nozzles</t>
  </si>
  <si>
    <t xml:space="preserve">Stage 3 Nozzles</t>
  </si>
  <si>
    <t xml:space="preserve">Stage 1 Buckets</t>
  </si>
  <si>
    <t xml:space="preserve">Stage 2 Buckets</t>
  </si>
  <si>
    <t xml:space="preserve">Stage 3 Buckets</t>
  </si>
  <si>
    <t xml:space="preserve">Row 1 Support Ring</t>
  </si>
  <si>
    <t xml:space="preserve">1st Stage Shroud Blocks </t>
  </si>
  <si>
    <t xml:space="preserve">2nd Stage Shroud Blocks</t>
  </si>
  <si>
    <t xml:space="preserve">3rd Stage Shroud Blocks</t>
  </si>
  <si>
    <t xml:space="preserve">Initial Operating Spares (GE 6B)</t>
  </si>
  <si>
    <t xml:space="preserve">GENERATOR INSPECTION CONSUMABLES</t>
  </si>
  <si>
    <t xml:space="preserve">GE-Frame 6B</t>
  </si>
  <si>
    <t xml:space="preserve">FUEL NOZZLES</t>
  </si>
  <si>
    <t xml:space="preserve">CROSSFIRE TUBES</t>
  </si>
  <si>
    <t xml:space="preserve">COMBUSTION LINERS</t>
  </si>
  <si>
    <t xml:space="preserve">TRANSITION PIECES</t>
  </si>
  <si>
    <t xml:space="preserve">1ST STAGE BUCKETS</t>
  </si>
  <si>
    <t xml:space="preserve">2ND STAGE BUCKETS</t>
  </si>
  <si>
    <t xml:space="preserve">3RD STAGE BUCKETS</t>
  </si>
  <si>
    <t xml:space="preserve">1ST STAGE SHROUDS</t>
  </si>
  <si>
    <t xml:space="preserve">2ND STAGE SHROUDS</t>
  </si>
  <si>
    <t xml:space="preserve">3RD STAGE SHROUDS</t>
  </si>
  <si>
    <t xml:space="preserve">1ST STAGE NOZZLES</t>
  </si>
  <si>
    <t xml:space="preserve">2ND STAGE NOZZLES</t>
  </si>
  <si>
    <t xml:space="preserve">3RD STAGE NOZZLES</t>
  </si>
  <si>
    <t xml:space="preserve">COMB. CONSUMABLES</t>
  </si>
  <si>
    <t xml:space="preserve">HGP CONSUMABLES</t>
  </si>
  <si>
    <t xml:space="preserve">MAJOR CONSUMABLES</t>
  </si>
  <si>
    <t xml:space="preserve">GEN CONSUMABLES</t>
  </si>
  <si>
    <t xml:space="preserve">GE-7FA-H-V0</t>
  </si>
  <si>
    <t xml:space="preserve">GE-Frame 7FA</t>
  </si>
</sst>
</file>

<file path=xl/styles.xml><?xml version="1.0" encoding="utf-8"?>
<styleSheet xmlns="http://schemas.openxmlformats.org/spreadsheetml/2006/main">
  <numFmts count="32">
    <numFmt numFmtId="164" formatCode="General"/>
    <numFmt numFmtId="165" formatCode="_(* #,##0_);_(* \(#,##0\);_(* \-_);_(@_)"/>
    <numFmt numFmtId="166" formatCode="_-* #,##0_-;\-* #,##0_-;_-* \-_-;_-@_-"/>
    <numFmt numFmtId="167" formatCode="[$-409]#,##0_);[RED]\(#,##0\)"/>
    <numFmt numFmtId="168" formatCode="0"/>
    <numFmt numFmtId="169" formatCode="_(* #,##0.00_);_(* \(#,##0.00\);_(* \-??_);_(@_)"/>
    <numFmt numFmtId="170" formatCode="_-* #,##0.00_-;\-* #,##0.00_-;_-* \-??_-;_-@_-"/>
    <numFmt numFmtId="171" formatCode="[$-409]#,##0.00_);[RED]\(#,##0.00\)"/>
    <numFmt numFmtId="172" formatCode="_-\£* #,##0_-;&quot;-£&quot;* #,##0_-;_-\£* \-_-;_-@_-"/>
    <numFmt numFmtId="173" formatCode="_(\$* #,##0_);_(\$* \(#,##0\);_(\$* \-_);_(@_)"/>
    <numFmt numFmtId="174" formatCode="_-\£* #,##0.00_-;&quot;-£&quot;* #,##0.00_-;_-\£* \-??_-;_-@_-"/>
    <numFmt numFmtId="175" formatCode="_(\$* #,##0.00_);_(\$* \(#,##0.00\);_(\$* \-??_);_(@_)"/>
    <numFmt numFmtId="176" formatCode="[$-409]#,##0_);\(#,##0\)"/>
    <numFmt numFmtId="177" formatCode="#,##0.00"/>
    <numFmt numFmtId="178" formatCode="#,##0"/>
    <numFmt numFmtId="179" formatCode="@"/>
    <numFmt numFmtId="180" formatCode="0%"/>
    <numFmt numFmtId="181" formatCode="[$-409]m/d/yyyy"/>
    <numFmt numFmtId="182" formatCode="[$-409]d\-mmm\-yy"/>
    <numFmt numFmtId="183" formatCode="_(* #,##0_);_(* \(#,##0\);_(* \-??_);_(@_)"/>
    <numFmt numFmtId="184" formatCode="0.00"/>
    <numFmt numFmtId="185" formatCode="\$#,##0"/>
    <numFmt numFmtId="186" formatCode="0.0"/>
    <numFmt numFmtId="187" formatCode="[$-409]m/d/yyyy\ h:mm"/>
    <numFmt numFmtId="188" formatCode="\$#,##0_);[RED]&quot;($&quot;#,##0\)"/>
    <numFmt numFmtId="189" formatCode="\$#,##0_);&quot;($&quot;#,##0\)"/>
    <numFmt numFmtId="190" formatCode="0.00%"/>
    <numFmt numFmtId="191" formatCode="0.0%"/>
    <numFmt numFmtId="192" formatCode="0&quot; MW&quot;"/>
    <numFmt numFmtId="193" formatCode="0&quot; KPPH&quot;"/>
    <numFmt numFmtId="194" formatCode="\$#,##0.00"/>
    <numFmt numFmtId="195" formatCode="[$-409]d\-mmm"/>
  </numFmts>
  <fonts count="6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color rgb="FF0000FF"/>
      <name val="Arial"/>
      <family val="0"/>
    </font>
    <font>
      <sz val="10"/>
      <name val="Times New Roman"/>
      <family val="0"/>
    </font>
    <font>
      <sz val="12"/>
      <name val="Arial"/>
      <family val="0"/>
    </font>
    <font>
      <sz val="12"/>
      <name val="Arial MT"/>
      <family val="0"/>
    </font>
    <font>
      <sz val="12"/>
      <name val="SWISS"/>
      <family val="0"/>
    </font>
    <font>
      <sz val="14"/>
      <name val="Arial"/>
      <family val="0"/>
    </font>
    <font>
      <sz val="8"/>
      <name val="Arial"/>
      <family val="0"/>
    </font>
    <font>
      <b val="true"/>
      <sz val="11"/>
      <color rgb="FF000000"/>
      <name val="Arial"/>
      <family val="2"/>
    </font>
    <font>
      <b val="true"/>
      <sz val="12"/>
      <name val="Arial"/>
      <family val="0"/>
    </font>
    <font>
      <b val="true"/>
      <sz val="10"/>
      <name val="Arial"/>
      <family val="0"/>
    </font>
    <font>
      <b val="true"/>
      <sz val="10"/>
      <name val="Arial"/>
      <family val="2"/>
    </font>
    <font>
      <sz val="9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sz val="10"/>
      <color rgb="FF0000FF"/>
      <name val="Arial"/>
      <family val="2"/>
    </font>
    <font>
      <u val="single"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 val="true"/>
      <sz val="10"/>
      <color rgb="FF000000"/>
      <name val="Arial"/>
      <family val="2"/>
    </font>
    <font>
      <b val="true"/>
      <sz val="12"/>
      <color rgb="FF000000"/>
      <name val="Arial"/>
      <family val="2"/>
    </font>
    <font>
      <b val="true"/>
      <u val="single"/>
      <sz val="12"/>
      <name val="Arial"/>
      <family val="2"/>
    </font>
    <font>
      <b val="true"/>
      <i val="true"/>
      <sz val="10"/>
      <name val="Arial"/>
      <family val="0"/>
    </font>
    <font>
      <i val="true"/>
      <sz val="10"/>
      <name val="Arial"/>
      <family val="0"/>
    </font>
    <font>
      <b val="true"/>
      <sz val="16"/>
      <name val="Arial"/>
      <family val="2"/>
    </font>
    <font>
      <sz val="16"/>
      <name val="Arial"/>
      <family val="2"/>
    </font>
    <font>
      <sz val="12"/>
      <name val="Arial"/>
      <family val="2"/>
    </font>
    <font>
      <b val="true"/>
      <sz val="12"/>
      <name val="Arial"/>
      <family val="2"/>
    </font>
    <font>
      <b val="true"/>
      <sz val="12"/>
      <color rgb="FFFF0000"/>
      <name val="Arial"/>
      <family val="2"/>
    </font>
    <font>
      <b val="true"/>
      <sz val="10"/>
      <color rgb="FFFF0000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b val="true"/>
      <sz val="10"/>
      <color rgb="FF0000FF"/>
      <name val="Arial"/>
      <family val="2"/>
    </font>
    <font>
      <b val="true"/>
      <i val="true"/>
      <u val="single"/>
      <sz val="10"/>
      <name val="Arial"/>
      <family val="2"/>
    </font>
    <font>
      <vertAlign val="superscript"/>
      <sz val="10"/>
      <name val="Arial"/>
      <family val="2"/>
    </font>
    <font>
      <b val="true"/>
      <u val="single"/>
      <sz val="10"/>
      <color rgb="FF0000FF"/>
      <name val="Arial"/>
      <family val="2"/>
    </font>
    <font>
      <b val="true"/>
      <i val="true"/>
      <sz val="12"/>
      <name val="Arial"/>
      <family val="2"/>
    </font>
    <font>
      <b val="true"/>
      <i val="true"/>
      <sz val="10"/>
      <name val="Arial"/>
      <family val="2"/>
    </font>
    <font>
      <b val="true"/>
      <sz val="14"/>
      <name val="Arial"/>
      <family val="0"/>
    </font>
    <font>
      <sz val="14"/>
      <name val="Arial"/>
      <family val="2"/>
    </font>
    <font>
      <b val="true"/>
      <i val="true"/>
      <sz val="10"/>
      <color rgb="FF000000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color rgb="FF000000"/>
      <name val="Arial"/>
      <family val="2"/>
    </font>
    <font>
      <b val="true"/>
      <sz val="12"/>
      <color rgb="FF000000"/>
      <name val="Arial"/>
      <family val="0"/>
    </font>
    <font>
      <b val="true"/>
      <sz val="11"/>
      <name val="Arial"/>
      <family val="2"/>
    </font>
    <font>
      <sz val="12"/>
      <color rgb="FF0000FF"/>
      <name val="Arial"/>
      <family val="2"/>
    </font>
    <font>
      <sz val="11"/>
      <name val="Arial"/>
      <family val="2"/>
    </font>
    <font>
      <sz val="10"/>
      <color rgb="FF996666"/>
      <name val="Arial"/>
      <family val="2"/>
    </font>
    <font>
      <b val="true"/>
      <sz val="10"/>
      <color rgb="FF996666"/>
      <name val="Arial"/>
      <family val="2"/>
    </font>
    <font>
      <b val="true"/>
      <vertAlign val="superscript"/>
      <sz val="10"/>
      <name val="Arial"/>
      <family val="2"/>
    </font>
    <font>
      <b val="true"/>
      <sz val="14"/>
      <color rgb="FF000000"/>
      <name val="Arial"/>
      <family val="2"/>
    </font>
    <font>
      <sz val="10"/>
      <color rgb="FF996633"/>
      <name val="Arial"/>
      <family val="2"/>
    </font>
    <font>
      <b val="true"/>
      <sz val="10"/>
      <color rgb="FF996633"/>
      <name val="Arial"/>
      <family val="2"/>
    </font>
    <font>
      <b val="true"/>
      <sz val="14"/>
      <name val="Arial Narrow"/>
      <family val="2"/>
    </font>
    <font>
      <b val="true"/>
      <sz val="12"/>
      <name val="Arial Narrow"/>
      <family val="2"/>
    </font>
    <font>
      <sz val="12"/>
      <name val="Arial Narrow"/>
      <family val="2"/>
    </font>
    <font>
      <b val="true"/>
      <sz val="10"/>
      <name val="Arial"/>
      <family val="2"/>
      <charset val="134"/>
    </font>
    <font>
      <sz val="10"/>
      <name val="Arial"/>
      <family val="2"/>
      <charset val="134"/>
    </font>
  </fonts>
  <fills count="9">
    <fill>
      <patternFill patternType="none"/>
    </fill>
    <fill>
      <patternFill patternType="gray125"/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69FFFF"/>
        <bgColor rgb="FF33CCCC"/>
      </patternFill>
    </fill>
  </fills>
  <borders count="71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dashed"/>
      <top style="medium"/>
      <bottom/>
      <diagonal/>
    </border>
    <border diagonalUp="false" diagonalDown="false">
      <left/>
      <right style="dashed"/>
      <top style="medium"/>
      <bottom style="thin"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dashed"/>
      <top style="thin"/>
      <bottom style="thin"/>
      <diagonal/>
    </border>
    <border diagonalUp="false" diagonalDown="false">
      <left/>
      <right style="dashed"/>
      <top style="thin"/>
      <bottom style="thin"/>
      <diagonal/>
    </border>
    <border diagonalUp="false" diagonalDown="false">
      <left style="dashed"/>
      <right style="dashed"/>
      <top style="thin"/>
      <bottom style="thin"/>
      <diagonal/>
    </border>
    <border diagonalUp="false" diagonalDown="false">
      <left style="dashed"/>
      <right style="medium"/>
      <top style="thin"/>
      <bottom style="thin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dashed"/>
      <top/>
      <bottom/>
      <diagonal/>
    </border>
    <border diagonalUp="false" diagonalDown="false">
      <left style="dashed"/>
      <right style="dashed"/>
      <top/>
      <bottom/>
      <diagonal/>
    </border>
    <border diagonalUp="false" diagonalDown="false">
      <left style="dashed"/>
      <right style="medium"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/>
      <bottom style="thin"/>
      <diagonal/>
    </border>
  </borders>
  <cellStyleXfs count="11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164" fontId="26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0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7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1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17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8" fontId="12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1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20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0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1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1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3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21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78" fontId="2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2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0" fontId="21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8" fontId="21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8" fontId="2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true">
      <alignment horizontal="left" vertical="top" textRotation="0" wrapText="false" indent="0" shrinkToFit="false"/>
      <protection locked="fals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1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78" fontId="12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7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0" fillId="0" borderId="4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0" fillId="0" borderId="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20" fillId="0" borderId="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0" fillId="0" borderId="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0" fillId="0" borderId="1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0" fillId="0" borderId="6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0" fillId="0" borderId="10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84" fontId="0" fillId="2" borderId="3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12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1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1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8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9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2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8" fontId="2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7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7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0" fillId="0" borderId="1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0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9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5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3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32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8" fontId="1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1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1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true">
      <alignment horizontal="general" vertical="bottom" textRotation="0" wrapText="true" indent="0" shrinkToFit="false"/>
      <protection locked="false" hidden="false"/>
    </xf>
    <xf numFmtId="164" fontId="14" fillId="0" borderId="3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0" fillId="0" borderId="7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33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3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3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3" fontId="0" fillId="0" borderId="34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3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8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3" fontId="0" fillId="0" borderId="3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1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35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20" fillId="0" borderId="3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5" fontId="0" fillId="0" borderId="3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9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37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0" fillId="0" borderId="38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0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20" fillId="0" borderId="37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5" fontId="0" fillId="0" borderId="3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1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5" fontId="14" fillId="0" borderId="3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6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86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6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6" fontId="2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2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86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2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20" fillId="0" borderId="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2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78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5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5" fillId="0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8" fontId="12" fillId="2" borderId="1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9" fillId="2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0" fillId="2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1" fillId="2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9" fillId="2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9" fillId="4" borderId="4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9" fillId="4" borderId="4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9" fillId="4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4" borderId="3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2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40" fillId="2" borderId="43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5" fillId="2" borderId="4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4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5" fillId="2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25" fillId="2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20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6" fillId="0" borderId="0" xfId="3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18" fillId="0" borderId="19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19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4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5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25" fillId="0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0" fillId="2" borderId="45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5" fillId="2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6" fillId="2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20" fillId="2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0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40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40" fillId="0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19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5" fillId="2" borderId="45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6" fillId="2" borderId="2" xfId="3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5" fillId="2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5" fillId="2" borderId="46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8" fillId="0" borderId="21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0" fillId="0" borderId="4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1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0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3" fillId="4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43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43" fillId="0" borderId="19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8" fillId="0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18" fillId="0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2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8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0" fillId="0" borderId="0" xfId="11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0" fillId="0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0" fillId="0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20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4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0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40" fillId="4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0" fontId="18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4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25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25" fillId="0" borderId="19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5" borderId="3" xfId="0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0" fillId="5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90" fontId="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9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5" fillId="4" borderId="49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6" fillId="0" borderId="0" xfId="3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1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1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5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0" fillId="0" borderId="1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0" borderId="3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0" fillId="0" borderId="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83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8" fontId="0" fillId="0" borderId="6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8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34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5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5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5" fontId="14" fillId="0" borderId="5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5" fontId="14" fillId="0" borderId="4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5" fontId="14" fillId="0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83" fontId="20" fillId="0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5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0" fillId="0" borderId="1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20" fillId="0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34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8" fillId="0" borderId="3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0" fillId="0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2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8" fillId="0" borderId="5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8" fillId="0" borderId="5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8" fillId="0" borderId="5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4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8" fillId="0" borderId="5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8" fillId="0" borderId="5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5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48" fillId="0" borderId="5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8" fillId="0" borderId="5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5" fontId="4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4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16" fillId="0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8" fillId="0" borderId="3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0" fillId="0" borderId="1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0" fillId="0" borderId="3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0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20" fillId="0" borderId="5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0" fillId="0" borderId="4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8" fillId="0" borderId="5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48" fillId="0" borderId="5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0" fillId="0" borderId="1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6" fillId="0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50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85" fontId="4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5" fontId="4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85" fontId="48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83" fontId="51" fillId="0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9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1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85" fontId="35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85" fontId="14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5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18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1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2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90" fontId="21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1" fontId="18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8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0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2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52" fillId="0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91" fontId="14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35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4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35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2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1" fontId="22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21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21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5" fontId="30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0" fillId="0" borderId="5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5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3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0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2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3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3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0" fillId="0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8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0" fontId="18" fillId="0" borderId="0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8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54" fillId="0" borderId="14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8" fontId="54" fillId="0" borderId="1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0" borderId="14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80" fontId="35" fillId="0" borderId="0" xfId="1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80" fontId="35" fillId="0" borderId="0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21" fillId="0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3" fontId="14" fillId="0" borderId="0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54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0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3" fillId="0" borderId="2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2" fillId="0" borderId="1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80" fontId="32" fillId="0" borderId="19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23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3" fillId="4" borderId="4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3" fillId="4" borderId="5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3" fillId="4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0" fontId="14" fillId="4" borderId="3" xfId="19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80" fontId="14" fillId="4" borderId="3" xfId="19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83" fontId="14" fillId="4" borderId="3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4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2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22" fillId="2" borderId="43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2" borderId="44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2" fillId="2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63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43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4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22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22" fillId="2" borderId="63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7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21" fillId="0" borderId="8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3" fontId="21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8" fillId="0" borderId="63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3" fontId="20" fillId="0" borderId="1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21" fillId="0" borderId="11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3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4" fillId="4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2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0" borderId="63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2" borderId="45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32" fillId="2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2" fillId="2" borderId="2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45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34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18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21" fillId="0" borderId="1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7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4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18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5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1" fillId="0" borderId="6" xfId="3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0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21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2" borderId="23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2" borderId="2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23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2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14" fillId="0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8" fontId="3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8" fontId="21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2" borderId="54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22" fillId="2" borderId="55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78" fontId="22" fillId="2" borderId="56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56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0" fontId="35" fillId="2" borderId="57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21" fillId="2" borderId="54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14" fillId="2" borderId="19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21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3" fontId="20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2" fillId="2" borderId="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2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2" fillId="2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92" fontId="22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92" fontId="22" fillId="2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93" fontId="22" fillId="0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1" fillId="0" borderId="1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21" fillId="2" borderId="10" xfId="15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3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8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5" fontId="18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18" fillId="2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5" fontId="14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5" fontId="14" fillId="2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35" fillId="0" borderId="0" xfId="3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5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20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20" fillId="2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18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5" fontId="18" fillId="2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5" fontId="18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2" fillId="0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5" fontId="22" fillId="2" borderId="19" xf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20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0" fontId="18" fillId="2" borderId="19" xfId="19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0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8" fontId="18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5" fontId="21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5" fontId="21" fillId="2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8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0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0" fontId="14" fillId="0" borderId="0" xfId="19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8" fontId="13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18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5" borderId="65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5" borderId="66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5" borderId="6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0" borderId="6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5" borderId="6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3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5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5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94" fontId="57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30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8" xfId="8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8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8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14" fillId="6" borderId="19" xfId="8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0" borderId="0" xfId="8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8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8" fontId="32" fillId="6" borderId="19" xfId="81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0" fillId="0" borderId="0" xfId="8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0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8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5" fontId="5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1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9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57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3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7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6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61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6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60" fillId="2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5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7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5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3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7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4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4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8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0" fillId="0" borderId="1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8" fontId="0" fillId="4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4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7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7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8" fontId="0" fillId="7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8" fontId="0" fillId="7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4" borderId="19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4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6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4" borderId="0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78" fontId="0" fillId="5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4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5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8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8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4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4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8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6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0" borderId="7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9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7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5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8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8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9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9FA MR x 2" xfId="20"/>
    <cellStyle name="Comma [0]_9FA MR x 2 " xfId="21"/>
    <cellStyle name="Comma [0]_AvailModl" xfId="22"/>
    <cellStyle name="Comma [0]_Data" xfId="23"/>
    <cellStyle name="Comma [0]_GE9EMR" xfId="24"/>
    <cellStyle name="Comma [0]_MR" xfId="25"/>
    <cellStyle name="Comma [0]_MR_AvailModl" xfId="26"/>
    <cellStyle name="Comma [0]_MR_GE9EMR" xfId="27"/>
    <cellStyle name="Comma [0]_MR_Rotation" xfId="28"/>
    <cellStyle name="Comma [0]_MR_Rotation_1" xfId="29"/>
    <cellStyle name="Comma [0]_MR_~0045569" xfId="30"/>
    <cellStyle name="Comma [0]_OWNCOST" xfId="31"/>
    <cellStyle name="Comma [0]_Rotation" xfId="32"/>
    <cellStyle name="Comma [0]_Rotation 9E" xfId="33"/>
    <cellStyle name="Comma [0]_Rotation x 2" xfId="34"/>
    <cellStyle name="Comma [0]_Rotation_1" xfId="35"/>
    <cellStyle name="Comma [0]_Salary &amp; Benefits ADWEA" xfId="36"/>
    <cellStyle name="Comma [0]_Staffing Costs" xfId="37"/>
    <cellStyle name="Comma [0]_~0048147" xfId="38"/>
    <cellStyle name="Comma_13e2_MR_2off_staggered_15yearsrev1" xfId="39"/>
    <cellStyle name="Comma_5encl1-5" xfId="40"/>
    <cellStyle name="Comma_9FA MR x 2" xfId="41"/>
    <cellStyle name="Comma_9FA MR x 2 " xfId="42"/>
    <cellStyle name="Comma_Avail Mod" xfId="43"/>
    <cellStyle name="Comma_AvailModl" xfId="44"/>
    <cellStyle name="Comma_Bick Brewer est" xfId="45"/>
    <cellStyle name="Comma_ComStaff(1-3)" xfId="46"/>
    <cellStyle name="Comma_ComStaff(4+)" xfId="47"/>
    <cellStyle name="Comma_CRO_O&amp;M4(V94.3A)" xfId="48"/>
    <cellStyle name="Comma_CROO&amp;MSUMMARYV94.2" xfId="49"/>
    <cellStyle name="Comma_CTG-MR" xfId="50"/>
    <cellStyle name="Comma_Data" xfId="51"/>
    <cellStyle name="Comma_DemirorenO&amp;M_rev1" xfId="52"/>
    <cellStyle name="Comma_MR" xfId="53"/>
    <cellStyle name="Comma_MR_1" xfId="54"/>
    <cellStyle name="Comma_MR_AvailModl" xfId="55"/>
    <cellStyle name="Comma_MR_Rotation" xfId="56"/>
    <cellStyle name="Comma_MR_Rotation_1" xfId="57"/>
    <cellStyle name="Comma_Rotation" xfId="58"/>
    <cellStyle name="Comma_Rotation (2)" xfId="59"/>
    <cellStyle name="Comma_Rotation_1" xfId="60"/>
    <cellStyle name="Comma_~0045569" xfId="61"/>
    <cellStyle name="Comma_~0048147" xfId="62"/>
    <cellStyle name="Currency [0]_9FA MR x 2 " xfId="63"/>
    <cellStyle name="Currency [0]_AvailModl" xfId="64"/>
    <cellStyle name="Currency [0]_MR" xfId="65"/>
    <cellStyle name="Currency [0]_MR_AvailModl" xfId="66"/>
    <cellStyle name="Currency [0]_MR_Rotation" xfId="67"/>
    <cellStyle name="Currency [0]_MR_Rotation_1" xfId="68"/>
    <cellStyle name="Currency [0]_Rotation" xfId="69"/>
    <cellStyle name="Currency [0]_Rotation_1" xfId="70"/>
    <cellStyle name="Currency_9FA MR x 2 " xfId="71"/>
    <cellStyle name="Currency_AvailModl" xfId="72"/>
    <cellStyle name="Currency_MR" xfId="73"/>
    <cellStyle name="Currency_MR_AvailModl" xfId="74"/>
    <cellStyle name="Currency_MR_Rotation" xfId="75"/>
    <cellStyle name="Currency_MR_Rotation_1" xfId="76"/>
    <cellStyle name="Currency_Rotation" xfId="77"/>
    <cellStyle name="Currency_Rotation_1" xfId="78"/>
    <cellStyle name="Hyperlink 1" xfId="79"/>
    <cellStyle name="Normal_093097e6" xfId="80"/>
    <cellStyle name="Normal_9FA MR x 2" xfId="81"/>
    <cellStyle name="Normal_CTG Maint Res" xfId="82"/>
    <cellStyle name="Normal_CTG Maint Res_MobBackup" xfId="83"/>
    <cellStyle name="Normal_CTG Maint Res_MobStaff" xfId="84"/>
    <cellStyle name="Normal_CTG Maint Res_ScopeSplit" xfId="85"/>
    <cellStyle name="Normal_CTG Maint Res_Training" xfId="86"/>
    <cellStyle name="Normal_D" xfId="87"/>
    <cellStyle name="Normal_DEBT" xfId="88"/>
    <cellStyle name="Normal_E" xfId="89"/>
    <cellStyle name="Normal_E_CommOpnsBackup " xfId="90"/>
    <cellStyle name="Normal_E_Data 9E" xfId="91"/>
    <cellStyle name="Normal_E_MobBackup (2)" xfId="92"/>
    <cellStyle name="Normal_E_MR" xfId="93"/>
    <cellStyle name="Normal_E_MR 9E" xfId="94"/>
    <cellStyle name="Normal_E_Rotation 9E" xfId="95"/>
    <cellStyle name="Normal_E_Rotation 9E_ST MR GE" xfId="96"/>
    <cellStyle name="Normal_E_ST MR GE" xfId="97"/>
    <cellStyle name="Normal_MobWiltonCenter_Rev1" xfId="98"/>
    <cellStyle name="Normal_Proforma" xfId="99"/>
    <cellStyle name="Normal_rtmprofor" xfId="100"/>
    <cellStyle name="Normal_Salary &amp; Benefits ADWEA" xfId="101"/>
    <cellStyle name="Normal_Sheet1 (2)" xfId="102"/>
    <cellStyle name="Normal_Sheet10" xfId="103"/>
    <cellStyle name="Normal_Sheet10_MobBackup" xfId="104"/>
    <cellStyle name="Normal_Sheet10_MobStaff" xfId="105"/>
    <cellStyle name="Normal_Sheet10_ScopeSplit" xfId="106"/>
    <cellStyle name="Normal_Sheet10_Training" xfId="107"/>
    <cellStyle name="Normal_ST #1" xfId="108"/>
    <cellStyle name="Normal_ST #2" xfId="109"/>
    <cellStyle name="Normal_YUCATAN5" xfId="110"/>
    <cellStyle name="Normal_~0048147" xfId="111"/>
    <cellStyle name="*unknown*" xfId="3" builtinId="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96633"/>
      <rgbColor rgb="FF800080"/>
      <rgbColor rgb="FF008080"/>
      <rgbColor rgb="FFC0C0C0"/>
      <rgbColor rgb="FF996666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69FF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160920</xdr:colOff>
          <xdr:row>4</xdr:row>
          <xdr:rowOff>28440</xdr:rowOff>
        </xdr:from>
        <xdr:to>
          <xdr:col>5</xdr:col>
          <xdr:colOff>806400</xdr:colOff>
          <xdr:row>5</xdr:row>
          <xdr:rowOff>9720</xdr:rowOff>
        </xdr:to>
        <xdr:sp>
          <xdr:nvSpPr>
            <xdr:cNvPr id="0" name="Drop Down 1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45</xdr:row>
          <xdr:rowOff>133560</xdr:rowOff>
        </xdr:from>
        <xdr:to>
          <xdr:col>16</xdr:col>
          <xdr:colOff>130320</xdr:colOff>
          <xdr:row>47</xdr:row>
          <xdr:rowOff>9360</xdr:rowOff>
        </xdr:to>
        <xdr:sp>
          <xdr:nvSpPr>
            <xdr:cNvPr id="0" name="Drop Down 2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458640</xdr:colOff>
          <xdr:row>45</xdr:row>
          <xdr:rowOff>124200</xdr:rowOff>
        </xdr:from>
        <xdr:to>
          <xdr:col>18</xdr:col>
          <xdr:colOff>222840</xdr:colOff>
          <xdr:row>46</xdr:row>
          <xdr:rowOff>162000</xdr:rowOff>
        </xdr:to>
        <xdr:sp>
          <xdr:nvSpPr>
            <xdr:cNvPr id="0" name="Drop Down 28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463320</xdr:colOff>
          <xdr:row>45</xdr:row>
          <xdr:rowOff>124200</xdr:rowOff>
        </xdr:from>
        <xdr:to>
          <xdr:col>19</xdr:col>
          <xdr:colOff>469440</xdr:colOff>
          <xdr:row>46</xdr:row>
          <xdr:rowOff>162000</xdr:rowOff>
        </xdr:to>
        <xdr:sp>
          <xdr:nvSpPr>
            <xdr:cNvPr id="0" name="Drop Down 2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48</xdr:row>
          <xdr:rowOff>0</xdr:rowOff>
        </xdr:from>
        <xdr:to>
          <xdr:col>16</xdr:col>
          <xdr:colOff>130320</xdr:colOff>
          <xdr:row>49</xdr:row>
          <xdr:rowOff>38160</xdr:rowOff>
        </xdr:to>
        <xdr:sp>
          <xdr:nvSpPr>
            <xdr:cNvPr id="0" name="Drop Down 3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448920</xdr:colOff>
          <xdr:row>48</xdr:row>
          <xdr:rowOff>0</xdr:rowOff>
        </xdr:from>
        <xdr:to>
          <xdr:col>18</xdr:col>
          <xdr:colOff>212400</xdr:colOff>
          <xdr:row>49</xdr:row>
          <xdr:rowOff>38160</xdr:rowOff>
        </xdr:to>
        <xdr:sp>
          <xdr:nvSpPr>
            <xdr:cNvPr id="0" name="Drop Down 3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452880</xdr:colOff>
          <xdr:row>48</xdr:row>
          <xdr:rowOff>0</xdr:rowOff>
        </xdr:from>
        <xdr:to>
          <xdr:col>19</xdr:col>
          <xdr:colOff>459360</xdr:colOff>
          <xdr:row>49</xdr:row>
          <xdr:rowOff>38160</xdr:rowOff>
        </xdr:to>
        <xdr:sp>
          <xdr:nvSpPr>
            <xdr:cNvPr id="0" name="Drop Down 3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50</xdr:row>
          <xdr:rowOff>0</xdr:rowOff>
        </xdr:from>
        <xdr:to>
          <xdr:col>16</xdr:col>
          <xdr:colOff>130320</xdr:colOff>
          <xdr:row>51</xdr:row>
          <xdr:rowOff>37800</xdr:rowOff>
        </xdr:to>
        <xdr:sp>
          <xdr:nvSpPr>
            <xdr:cNvPr id="0" name="Drop Down 3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458640</xdr:colOff>
          <xdr:row>50</xdr:row>
          <xdr:rowOff>0</xdr:rowOff>
        </xdr:from>
        <xdr:to>
          <xdr:col>18</xdr:col>
          <xdr:colOff>222840</xdr:colOff>
          <xdr:row>51</xdr:row>
          <xdr:rowOff>37800</xdr:rowOff>
        </xdr:to>
        <xdr:sp>
          <xdr:nvSpPr>
            <xdr:cNvPr id="0" name="Drop Down 3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463320</xdr:colOff>
          <xdr:row>50</xdr:row>
          <xdr:rowOff>0</xdr:rowOff>
        </xdr:from>
        <xdr:to>
          <xdr:col>19</xdr:col>
          <xdr:colOff>469440</xdr:colOff>
          <xdr:row>51</xdr:row>
          <xdr:rowOff>37800</xdr:rowOff>
        </xdr:to>
        <xdr:sp>
          <xdr:nvSpPr>
            <xdr:cNvPr id="0" name="Drop Down 3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129600</xdr:colOff>
          <xdr:row>4</xdr:row>
          <xdr:rowOff>75960</xdr:rowOff>
        </xdr:from>
        <xdr:to>
          <xdr:col>27</xdr:col>
          <xdr:colOff>684360</xdr:colOff>
          <xdr:row>5</xdr:row>
          <xdr:rowOff>142560</xdr:rowOff>
        </xdr:to>
        <xdr:sp>
          <xdr:nvSpPr>
            <xdr:cNvPr id="0" name="Option Button 1" descr="EO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EOH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149400</xdr:colOff>
          <xdr:row>5</xdr:row>
          <xdr:rowOff>162000</xdr:rowOff>
        </xdr:from>
        <xdr:to>
          <xdr:col>27</xdr:col>
          <xdr:colOff>554040</xdr:colOff>
          <xdr:row>7</xdr:row>
          <xdr:rowOff>18720</xdr:rowOff>
        </xdr:to>
        <xdr:sp>
          <xdr:nvSpPr>
            <xdr:cNvPr id="0" name="Option Button 2" descr="EO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EOS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35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23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0" width="12.99"/>
  </cols>
  <sheetData>
    <row r="1" customFormat="false" ht="18" hidden="false" customHeight="true" outlineLevel="0" collapsed="false">
      <c r="A1" s="1" t="str">
        <f aca="false">Scope!A1</f>
        <v>AES Corp, Dallas, TX (640 MW)</v>
      </c>
      <c r="B1" s="1"/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customFormat="false" ht="18" hidden="false" customHeight="true" outlineLevel="0" collapsed="false">
      <c r="A2" s="1"/>
      <c r="B2" s="1"/>
      <c r="C2" s="1"/>
      <c r="D2" s="1"/>
      <c r="E2" s="1"/>
      <c r="F2" s="1"/>
      <c r="G2" s="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customFormat="false" ht="15.75" hidden="false" customHeight="false" outlineLevel="0" collapsed="false">
      <c r="A3" s="3" t="s">
        <v>0</v>
      </c>
      <c r="B3" s="3"/>
      <c r="C3" s="3"/>
      <c r="D3" s="3"/>
      <c r="E3" s="3"/>
      <c r="F3" s="3"/>
      <c r="G3" s="3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customFormat="false" ht="15.75" hidden="false" customHeight="false" outlineLevel="0" collapsed="false">
      <c r="A4" s="3" t="s">
        <v>1</v>
      </c>
      <c r="B4" s="3"/>
      <c r="C4" s="3"/>
      <c r="D4" s="3"/>
      <c r="E4" s="3"/>
      <c r="F4" s="3"/>
      <c r="G4" s="3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customFormat="false" ht="12.75" hidden="false" customHeight="false" outlineLevel="0" collapsed="false">
      <c r="A5" s="4"/>
      <c r="B5" s="4"/>
      <c r="C5" s="4"/>
      <c r="D5" s="4"/>
      <c r="E5" s="4"/>
      <c r="F5" s="4"/>
      <c r="G5" s="4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customFormat="false" ht="12.75" hidden="false" customHeight="false" outlineLevel="0" collapsed="false">
      <c r="A6" s="4"/>
      <c r="B6" s="4"/>
      <c r="C6" s="4"/>
      <c r="D6" s="4"/>
      <c r="E6" s="4"/>
      <c r="F6" s="4"/>
      <c r="G6" s="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customFormat="false" ht="12.75" hidden="false" customHeight="false" outlineLevel="0" collapsed="false"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customFormat="false" ht="12.75" hidden="false" customHeight="false" outlineLevel="0" collapsed="false">
      <c r="A8" s="5" t="s">
        <v>1</v>
      </c>
      <c r="B8" s="4"/>
      <c r="C8" s="4"/>
      <c r="D8" s="4"/>
      <c r="F8" s="4"/>
      <c r="G8" s="6" t="n">
        <v>1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customFormat="false" ht="12.75" hidden="false" customHeight="false" outlineLevel="0" collapsed="false">
      <c r="A9" s="4"/>
      <c r="B9" s="4"/>
      <c r="C9" s="4"/>
      <c r="D9" s="4"/>
      <c r="E9" s="4"/>
      <c r="F9" s="4"/>
      <c r="G9" s="6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customFormat="false" ht="12.75" hidden="false" customHeight="false" outlineLevel="0" collapsed="false">
      <c r="A10" s="5" t="s">
        <v>2</v>
      </c>
      <c r="B10" s="4"/>
      <c r="C10" s="4"/>
      <c r="D10" s="4"/>
      <c r="E10" s="4"/>
      <c r="F10" s="4"/>
      <c r="G10" s="6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customFormat="false" ht="12.75" hidden="false" customHeight="false" outlineLevel="0" collapsed="false">
      <c r="B11" s="7" t="s">
        <v>3</v>
      </c>
      <c r="C11" s="4"/>
      <c r="D11" s="4"/>
      <c r="F11" s="4"/>
      <c r="G11" s="6" t="n">
        <v>2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customFormat="false" ht="12.75" hidden="false" customHeight="false" outlineLevel="0" collapsed="false">
      <c r="A12" s="5"/>
      <c r="B12" s="7" t="s">
        <v>4</v>
      </c>
      <c r="C12" s="4"/>
      <c r="D12" s="4"/>
      <c r="F12" s="4"/>
      <c r="G12" s="6" t="n">
        <v>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customFormat="false" ht="12.75" hidden="true" customHeight="false" outlineLevel="0" collapsed="false">
      <c r="A13" s="5"/>
      <c r="B13" s="7" t="s">
        <v>5</v>
      </c>
      <c r="C13" s="4"/>
      <c r="D13" s="4"/>
      <c r="F13" s="4"/>
      <c r="G13" s="6" t="n">
        <v>4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customFormat="false" ht="12.75" hidden="false" customHeight="false" outlineLevel="0" collapsed="false">
      <c r="A14" s="5"/>
      <c r="B14" s="5"/>
      <c r="C14" s="4"/>
      <c r="D14" s="4"/>
      <c r="F14" s="4"/>
      <c r="G14" s="6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customFormat="false" ht="12.75" hidden="false" customHeight="false" outlineLevel="0" collapsed="false">
      <c r="A15" s="5" t="s">
        <v>6</v>
      </c>
      <c r="B15" s="5"/>
      <c r="C15" s="4"/>
      <c r="D15" s="4"/>
      <c r="E15" s="4"/>
      <c r="F15" s="4"/>
      <c r="G15" s="6" t="n">
        <v>4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customFormat="false" ht="12.75" hidden="true" customHeight="false" outlineLevel="0" collapsed="false">
      <c r="A16" s="5"/>
      <c r="B16" s="5" t="s">
        <v>7</v>
      </c>
      <c r="C16" s="4"/>
      <c r="D16" s="4"/>
      <c r="E16" s="4"/>
      <c r="F16" s="4"/>
      <c r="G16" s="6" t="n">
        <v>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customFormat="false" ht="12.75" hidden="false" customHeight="false" outlineLevel="0" collapsed="false">
      <c r="A17" s="5"/>
      <c r="B17" s="5"/>
      <c r="C17" s="4"/>
      <c r="D17" s="4"/>
      <c r="E17" s="4"/>
      <c r="F17" s="4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customFormat="false" ht="12.75" hidden="true" customHeight="false" outlineLevel="0" collapsed="false">
      <c r="A18" s="5" t="s">
        <v>8</v>
      </c>
      <c r="C18" s="4"/>
      <c r="D18" s="4"/>
      <c r="E18" s="4"/>
      <c r="F18" s="4"/>
      <c r="G18" s="6" t="n">
        <v>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customFormat="false" ht="12.75" hidden="true" customHeight="false" outlineLevel="0" collapsed="false">
      <c r="A19" s="4"/>
      <c r="C19" s="4"/>
      <c r="D19" s="4"/>
      <c r="E19" s="4"/>
      <c r="F19" s="4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customFormat="false" ht="12.75" hidden="false" customHeight="false" outlineLevel="0" collapsed="false">
      <c r="A20" s="5" t="s">
        <v>9</v>
      </c>
      <c r="C20" s="4"/>
      <c r="D20" s="4"/>
      <c r="E20" s="4"/>
      <c r="F20" s="4"/>
      <c r="G20" s="6" t="n">
        <v>5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customFormat="false" ht="12.75" hidden="false" customHeight="false" outlineLevel="0" collapsed="false">
      <c r="A21" s="4"/>
      <c r="C21" s="4"/>
      <c r="D21" s="4"/>
      <c r="E21" s="4"/>
      <c r="F21" s="4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customFormat="false" ht="12.75" hidden="false" customHeight="false" outlineLevel="0" collapsed="false">
      <c r="A22" s="5" t="s">
        <v>10</v>
      </c>
      <c r="C22" s="4"/>
      <c r="D22" s="4"/>
      <c r="E22" s="4"/>
      <c r="F22" s="4"/>
      <c r="G22" s="6" t="n">
        <v>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customFormat="false" ht="12.75" hidden="false" customHeight="false" outlineLevel="0" collapsed="false">
      <c r="A23" s="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customFormat="false" ht="12.75" hidden="false" customHeight="false" outlineLevel="0" collapsed="false">
      <c r="A24" s="5" t="s">
        <v>11</v>
      </c>
      <c r="C24" s="4"/>
      <c r="D24" s="4"/>
      <c r="E24" s="4"/>
      <c r="F24" s="4"/>
      <c r="G24" s="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customFormat="false" ht="12.75" hidden="true" customHeight="false" outlineLevel="0" collapsed="false">
      <c r="A25" s="5"/>
      <c r="B25" s="8" t="s">
        <v>12</v>
      </c>
      <c r="C25" s="4"/>
      <c r="D25" s="4"/>
      <c r="E25" s="4"/>
      <c r="F25" s="4"/>
      <c r="G25" s="6" t="n">
        <v>7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customFormat="false" ht="12.75" hidden="false" customHeight="false" outlineLevel="0" collapsed="false">
      <c r="A26" s="4"/>
      <c r="B26" s="5" t="s">
        <v>13</v>
      </c>
      <c r="C26" s="4"/>
      <c r="D26" s="4"/>
      <c r="E26" s="4"/>
      <c r="F26" s="4"/>
      <c r="G26" s="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customFormat="false" ht="12.75" hidden="false" customHeight="false" outlineLevel="0" collapsed="false">
      <c r="A27" s="4"/>
      <c r="B27" s="5"/>
      <c r="C27" s="9" t="str">
        <f aca="false">IF('O&amp;M Backup_Detail'!O7=1,'GT sched cost (LM6000)'!A1,IF('O&amp;M Backup_Detail'!O7=2,'GT schd cost(7EA)'!A2,IF('O&amp;M Backup_Detail'!O7=3,'GT schd cost(7FA)'!A2,IF('O&amp;M Backup_Detail'!O7=4,'GT schd cost(W501D5)'!A2,IF('O&amp;M Backup_Detail'!O7=5,'GT schd cost(W501D5A)'!A2,IF('O&amp;M Backup_Detail'!O7=7,'GT schd cost(6B)'!A2,""))))))</f>
        <v>2xGE-Frame 7FA GT Scheduled Maintenance  Cost</v>
      </c>
      <c r="G27" s="0" t="n">
        <f aca="false">IF(C27="","",MAX(G8,G11,G12,G15,G20,G22)+1)</f>
        <v>7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customFormat="false" ht="18" hidden="true" customHeight="false" outlineLevel="0" collapsed="false">
      <c r="A28" s="5" t="s">
        <v>14</v>
      </c>
      <c r="B28" s="4"/>
      <c r="C28" s="10" t="s">
        <v>15</v>
      </c>
      <c r="D28" s="11"/>
      <c r="G28" s="0" t="n">
        <f aca="false">IF(C28="","",MAX(G9:G27)+1)</f>
        <v>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customFormat="false" ht="12.75" hidden="true" customHeight="false" outlineLevel="0" collapsed="false">
      <c r="A29" s="5"/>
      <c r="B29" s="7" t="s">
        <v>16</v>
      </c>
      <c r="C29" s="10" t="s">
        <v>15</v>
      </c>
      <c r="D29" s="4"/>
      <c r="E29" s="4"/>
      <c r="F29" s="4"/>
      <c r="G29" s="0" t="n">
        <f aca="false">IF(C29="","",MAX(G10:G28)+1)</f>
        <v>9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customFormat="false" ht="12.75" hidden="true" customHeight="false" outlineLevel="0" collapsed="false">
      <c r="A30" s="5"/>
      <c r="B30" s="7" t="s">
        <v>17</v>
      </c>
      <c r="C30" s="10" t="s">
        <v>15</v>
      </c>
      <c r="D30" s="4"/>
      <c r="E30" s="4"/>
      <c r="F30" s="4"/>
      <c r="G30" s="0" t="n">
        <f aca="false">IF(C30="","",MAX(G11:G29)+1)</f>
        <v>10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customFormat="false" ht="12.75" hidden="true" customHeight="false" outlineLevel="0" collapsed="false">
      <c r="A31" s="5"/>
      <c r="B31" s="7" t="s">
        <v>18</v>
      </c>
      <c r="C31" s="10" t="s">
        <v>15</v>
      </c>
      <c r="D31" s="4"/>
      <c r="E31" s="4"/>
      <c r="F31" s="4"/>
      <c r="G31" s="0" t="n">
        <f aca="false">IF(C31="","",MAX(G12:G30)+1)</f>
        <v>11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customFormat="false" ht="12.75" hidden="true" customHeight="false" outlineLevel="0" collapsed="false">
      <c r="A32" s="5"/>
      <c r="B32" s="7" t="s">
        <v>19</v>
      </c>
      <c r="C32" s="10" t="s">
        <v>15</v>
      </c>
      <c r="D32" s="4"/>
      <c r="E32" s="4"/>
      <c r="F32" s="4"/>
      <c r="G32" s="0" t="n">
        <f aca="false">IF(C32="","",MAX(G13:G31)+1)</f>
        <v>12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customFormat="false" ht="12.75" hidden="true" customHeight="false" outlineLevel="0" collapsed="false">
      <c r="A33" s="4"/>
      <c r="B33" s="7" t="s">
        <v>20</v>
      </c>
      <c r="C33" s="10" t="s">
        <v>15</v>
      </c>
      <c r="D33" s="4"/>
      <c r="E33" s="4"/>
      <c r="F33" s="4"/>
      <c r="G33" s="0" t="n">
        <f aca="false">IF(C33="","",MAX(G14:G32)+1)</f>
        <v>13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customFormat="false" ht="12.75" hidden="true" customHeight="false" outlineLevel="0" collapsed="false">
      <c r="A34" s="4"/>
      <c r="B34" s="7" t="s">
        <v>21</v>
      </c>
      <c r="C34" s="10" t="s">
        <v>15</v>
      </c>
      <c r="D34" s="4"/>
      <c r="E34" s="4"/>
      <c r="F34" s="4"/>
      <c r="G34" s="0" t="n">
        <f aca="false">IF(C34="","",MAX(G15:G33)+1)</f>
        <v>14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customFormat="false" ht="12.75" hidden="true" customHeight="false" outlineLevel="0" collapsed="false">
      <c r="A35" s="2"/>
      <c r="B35" s="2"/>
      <c r="C35" s="10" t="s">
        <v>15</v>
      </c>
      <c r="D35" s="2"/>
      <c r="E35" s="2"/>
      <c r="F35" s="2"/>
      <c r="G35" s="0" t="n">
        <f aca="false">IF(C35="","",MAX(G16:G34)+1)</f>
        <v>15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customFormat="false" ht="12.75" hidden="true" customHeight="false" outlineLevel="0" collapsed="false">
      <c r="A36" s="2"/>
      <c r="B36" s="2"/>
      <c r="C36" s="10" t="s">
        <v>15</v>
      </c>
      <c r="D36" s="2"/>
      <c r="E36" s="2"/>
      <c r="F36" s="2"/>
      <c r="G36" s="0" t="n">
        <f aca="false">IF(C36="","",MAX(G17:G35)+1)</f>
        <v>16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customFormat="false" ht="12.75" hidden="false" customHeight="false" outlineLevel="0" collapsed="false">
      <c r="A37" s="2"/>
      <c r="B37" s="2"/>
      <c r="C37" s="9" t="str">
        <f aca="false">IF('O&amp;M Backup_Detail'!R7=1,'GT sched cost (LM6000)'!A1,IF('O&amp;M Backup_Detail'!R7=2,'GT schd cost(7EA)'!A2,IF('O&amp;M Backup_Detail'!R7=3,'GT schd cost(7FA)'!A2,IF('O&amp;M Backup_Detail'!R7=4,'GT schd cost(W501D5)'!A2,IF('O&amp;M Backup_Detail'!R7=5,'GT schd cost(W501D5A)'!A2,IF('O&amp;M Backup_Detail'!R7=7,'GT schd cost(6B)'!A2,""))))))</f>
        <v/>
      </c>
      <c r="D37" s="2"/>
      <c r="E37" s="2"/>
      <c r="F37" s="2"/>
      <c r="G37" s="0" t="str">
        <f aca="false">IF(C37="","",MAX(G8,G11,G12,G15,G20,G22,G27)+1)</f>
        <v/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customFormat="false" ht="12.75" hidden="false" customHeight="false" outlineLevel="0" collapsed="false">
      <c r="A38" s="2"/>
      <c r="B38" s="2"/>
      <c r="C38" s="9" t="str">
        <f aca="false">IF('O&amp;M Backup_Detail'!U7=1,'GT sched cost (LM6000)'!A1,IF('O&amp;M Backup_Detail'!U7=2,'GT schd cost(7EA)'!A2,IF('O&amp;M Backup_Detail'!U7=3,'GT schd cost(7FA)'!A2,IF('O&amp;M Backup_Detail'!U7=4,'GT schd cost(W501D5)'!A2,IF('O&amp;M Backup_Detail'!U7=5,'GT schd cost(W501D5A)'!A2,IF('O&amp;M Backup_Detail'!U7=7,'GT schd cost(6B)'!A2,""))))))</f>
        <v/>
      </c>
      <c r="D38" s="2"/>
      <c r="E38" s="2"/>
      <c r="F38" s="2"/>
      <c r="G38" s="0" t="str">
        <f aca="false">IF(C38="","",MAX(G8,G8,G11,G12,G15,G20,G22,G27,G37)+1)</f>
        <v/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customFormat="false" ht="12.75" hidden="false" customHeight="false" outlineLevel="0" collapsed="false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customFormat="false" ht="12.75" hidden="false" customHeight="false" outlineLevel="0" collapsed="false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customFormat="false" ht="12.75" hidden="false" customHeight="false" outlineLevel="0" collapsed="false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customFormat="false" ht="12.75" hidden="false" customHeight="false" outlineLevel="0" collapsed="false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customFormat="false" ht="12.75" hidden="false" customHeight="false" outlineLevel="0" collapsed="false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customFormat="false" ht="12.75" hidden="false" customHeight="false" outlineLevel="0" collapsed="false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customFormat="false" ht="12.75" hidden="false" customHeight="false" outlineLevel="0" collapsed="false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customFormat="false" ht="12.75" hidden="false" customHeight="false" outlineLevel="0" collapsed="false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customFormat="false" ht="12.75" hidden="false" customHeight="false" outlineLevel="0" collapsed="false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customFormat="false" ht="12.75" hidden="false" customHeight="false" outlineLevel="0" collapsed="false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customFormat="false" ht="12.75" hidden="false" customHeight="false" outlineLevel="0" collapsed="false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customFormat="false" ht="12.75" hidden="false" customHeight="false" outlineLevel="0" collapsed="false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customFormat="false" ht="12.75" hidden="false" customHeight="false" outlineLevel="0" collapsed="false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customFormat="false" ht="12.75" hidden="false" customHeight="false" outlineLevel="0" collapsed="false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customFormat="false" ht="12.75" hidden="false" customHeight="false" outlineLevel="0" collapsed="false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customFormat="false" ht="12.75" hidden="false" customHeight="false" outlineLevel="0" collapsed="false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customFormat="false" ht="12.75" hidden="false" customHeight="false" outlineLevel="0" collapsed="false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customFormat="false" ht="12.75" hidden="false" customHeight="false" outlineLevel="0" collapsed="false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customFormat="false" ht="12.75" hidden="false" customHeight="false" outlineLevel="0" collapsed="false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customFormat="false" ht="12.75" hidden="false" customHeight="false" outlineLevel="0" collapsed="false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customFormat="false" ht="12.75" hidden="false" customHeight="false" outlineLevel="0" collapsed="false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customFormat="false" ht="12.75" hidden="false" customHeight="false" outlineLevel="0" collapsed="false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customFormat="false" ht="12.75" hidden="false" customHeight="false" outlineLevel="0" collapsed="false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customFormat="false" ht="12.75" hidden="false" customHeight="false" outlineLevel="0" collapsed="false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customFormat="false" ht="12.75" hidden="false" customHeight="false" outlineLevel="0" collapsed="false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customFormat="false" ht="12.75" hidden="false" customHeight="false" outlineLevel="0" collapsed="false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</sheetData>
  <mergeCells count="3">
    <mergeCell ref="A1:G2"/>
    <mergeCell ref="A3:G3"/>
    <mergeCell ref="A4:G4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13"/>
  <sheetViews>
    <sheetView showFormulas="false" showGridLines="false" showRowColHeaders="true" showZeros="true" rightToLeft="false" tabSelected="false" showOutlineSymbols="true" defaultGridColor="true" view="normal" topLeftCell="E1" colorId="64" zoomScale="80" zoomScaleNormal="80" zoomScalePageLayoutView="100" workbookViewId="0">
      <pane xSplit="0" ySplit="3" topLeftCell="BM174" activePane="bottomLeft" state="frozen"/>
      <selection pane="topLeft" activeCell="E1" activeCellId="0" sqref="E1"/>
      <selection pane="bottomLeft" activeCell="H94" activeCellId="0" sqref="H94"/>
    </sheetView>
  </sheetViews>
  <sheetFormatPr defaultColWidth="9.13671875" defaultRowHeight="12.75" customHeight="true" zeroHeight="false" outlineLevelRow="2" outlineLevelCol="0"/>
  <cols>
    <col collapsed="false" customWidth="true" hidden="true" outlineLevel="0" max="1" min="1" style="2" width="23.7"/>
    <col collapsed="false" customWidth="true" hidden="true" outlineLevel="0" max="2" min="2" style="2" width="24.41"/>
    <col collapsed="false" customWidth="true" hidden="true" outlineLevel="0" max="3" min="3" style="2" width="20.85"/>
    <col collapsed="false" customWidth="true" hidden="true" outlineLevel="0" max="4" min="4" style="2" width="22.85"/>
    <col collapsed="false" customWidth="true" hidden="false" outlineLevel="0" max="5" min="5" style="2" width="36.85"/>
    <col collapsed="false" customWidth="true" hidden="false" outlineLevel="0" max="6" min="6" style="2" width="45.28"/>
    <col collapsed="false" customWidth="true" hidden="false" outlineLevel="0" max="7" min="7" style="2" width="12.99"/>
    <col collapsed="false" customWidth="true" hidden="false" outlineLevel="0" max="8" min="8" style="2" width="16.56"/>
    <col collapsed="false" customWidth="true" hidden="true" outlineLevel="0" max="9" min="9" style="207" width="14.14"/>
    <col collapsed="false" customWidth="true" hidden="false" outlineLevel="0" max="10" min="10" style="2" width="12.14"/>
    <col collapsed="false" customWidth="true" hidden="true" outlineLevel="0" max="11" min="11" style="2" width="12.14"/>
    <col collapsed="false" customWidth="true" hidden="false" outlineLevel="0" max="12" min="12" style="2" width="2.56"/>
    <col collapsed="false" customWidth="true" hidden="true" outlineLevel="0" max="13" min="13" style="207" width="9.41"/>
    <col collapsed="false" customWidth="false" hidden="false" outlineLevel="0" max="14" min="14" style="207" width="9.14"/>
    <col collapsed="false" customWidth="false" hidden="false" outlineLevel="0" max="257" min="15" style="2" width="9.14"/>
  </cols>
  <sheetData>
    <row r="1" customFormat="false" ht="15.75" hidden="false" customHeight="false" outlineLevel="0" collapsed="false">
      <c r="E1" s="274" t="str">
        <f aca="false">Summary!$A$1</f>
        <v>AES Corp, Dallas, TX (640 MW)</v>
      </c>
      <c r="F1" s="275"/>
      <c r="G1" s="275"/>
      <c r="H1" s="276"/>
      <c r="I1" s="276"/>
      <c r="J1" s="276"/>
      <c r="K1" s="276"/>
      <c r="L1" s="78"/>
      <c r="M1" s="79"/>
      <c r="N1" s="79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</row>
    <row r="2" customFormat="false" ht="24.75" hidden="false" customHeight="true" outlineLevel="0" collapsed="false">
      <c r="E2" s="277" t="s">
        <v>401</v>
      </c>
      <c r="F2" s="278"/>
      <c r="G2" s="278"/>
      <c r="H2" s="276"/>
      <c r="I2" s="276"/>
      <c r="J2" s="276"/>
      <c r="K2" s="276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</row>
    <row r="3" customFormat="false" ht="37.5" hidden="false" customHeight="true" outlineLevel="0" collapsed="false">
      <c r="B3" s="243" t="s">
        <v>402</v>
      </c>
      <c r="C3" s="243" t="s">
        <v>403</v>
      </c>
      <c r="D3" s="243" t="s">
        <v>404</v>
      </c>
      <c r="E3" s="279" t="s">
        <v>405</v>
      </c>
      <c r="F3" s="280" t="s">
        <v>406</v>
      </c>
      <c r="G3" s="281"/>
      <c r="H3" s="282" t="s">
        <v>407</v>
      </c>
      <c r="I3" s="283" t="s">
        <v>408</v>
      </c>
      <c r="J3" s="283" t="s">
        <v>409</v>
      </c>
      <c r="K3" s="283" t="s">
        <v>410</v>
      </c>
      <c r="M3" s="284" t="s">
        <v>411</v>
      </c>
    </row>
    <row r="4" customFormat="false" ht="12.75" hidden="false" customHeight="false" outlineLevel="1" collapsed="false">
      <c r="A4" s="2" t="s">
        <v>412</v>
      </c>
      <c r="B4" s="2" t="s">
        <v>413</v>
      </c>
      <c r="C4" s="2" t="s">
        <v>414</v>
      </c>
      <c r="D4" s="2" t="s">
        <v>415</v>
      </c>
      <c r="E4" s="285" t="s">
        <v>141</v>
      </c>
      <c r="F4" s="286"/>
      <c r="G4" s="287"/>
      <c r="H4" s="288"/>
      <c r="I4" s="289"/>
      <c r="J4" s="288"/>
      <c r="K4" s="290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  <c r="BS4" s="291"/>
      <c r="BT4" s="291"/>
      <c r="BU4" s="291"/>
      <c r="BV4" s="291"/>
      <c r="BW4" s="291"/>
      <c r="BX4" s="291"/>
      <c r="BY4" s="291"/>
      <c r="BZ4" s="291"/>
      <c r="CA4" s="291"/>
      <c r="CB4" s="291"/>
      <c r="CC4" s="291"/>
      <c r="CD4" s="291"/>
      <c r="CE4" s="291"/>
      <c r="CF4" s="291"/>
      <c r="CG4" s="291"/>
      <c r="CH4" s="291"/>
      <c r="CI4" s="291"/>
      <c r="CJ4" s="291"/>
      <c r="CK4" s="291"/>
      <c r="CL4" s="291"/>
      <c r="CM4" s="291"/>
      <c r="CN4" s="291"/>
      <c r="CO4" s="291"/>
      <c r="CP4" s="291"/>
      <c r="CQ4" s="291"/>
      <c r="CR4" s="291"/>
      <c r="CS4" s="291"/>
      <c r="CT4" s="291"/>
      <c r="CU4" s="291"/>
      <c r="CV4" s="291"/>
      <c r="CW4" s="291"/>
      <c r="CX4" s="291"/>
      <c r="CY4" s="291"/>
      <c r="CZ4" s="291"/>
      <c r="DA4" s="291"/>
      <c r="DB4" s="291"/>
      <c r="DC4" s="291"/>
      <c r="DD4" s="291"/>
      <c r="DE4" s="291"/>
      <c r="DF4" s="291"/>
      <c r="DG4" s="291"/>
      <c r="DH4" s="291"/>
      <c r="DI4" s="291"/>
      <c r="DJ4" s="291"/>
      <c r="DK4" s="291"/>
      <c r="DL4" s="291"/>
      <c r="DM4" s="291"/>
      <c r="DN4" s="291"/>
      <c r="DO4" s="291"/>
      <c r="DP4" s="291"/>
      <c r="DQ4" s="291"/>
      <c r="DR4" s="291"/>
      <c r="DS4" s="291"/>
      <c r="DT4" s="291"/>
      <c r="DU4" s="291"/>
      <c r="DV4" s="291"/>
      <c r="DW4" s="291"/>
      <c r="DX4" s="291"/>
      <c r="DY4" s="291"/>
      <c r="DZ4" s="291"/>
      <c r="EA4" s="291"/>
      <c r="EB4" s="291"/>
      <c r="EC4" s="291"/>
      <c r="ED4" s="291"/>
      <c r="EE4" s="291"/>
      <c r="EF4" s="291"/>
      <c r="EG4" s="291"/>
      <c r="EH4" s="291"/>
      <c r="EI4" s="291"/>
      <c r="EJ4" s="291"/>
      <c r="EK4" s="291"/>
      <c r="EL4" s="291"/>
      <c r="EM4" s="291"/>
      <c r="EN4" s="291"/>
      <c r="EO4" s="291"/>
      <c r="EP4" s="291"/>
      <c r="EQ4" s="291"/>
      <c r="ER4" s="291"/>
      <c r="ES4" s="291"/>
      <c r="ET4" s="291"/>
      <c r="EU4" s="291"/>
      <c r="EV4" s="291"/>
      <c r="EW4" s="291"/>
      <c r="EX4" s="291"/>
      <c r="EY4" s="291"/>
      <c r="EZ4" s="291"/>
      <c r="FA4" s="291"/>
      <c r="FB4" s="291"/>
      <c r="FC4" s="291"/>
      <c r="FD4" s="291"/>
      <c r="FE4" s="291"/>
      <c r="FF4" s="291"/>
      <c r="FG4" s="291"/>
      <c r="FH4" s="291"/>
      <c r="FI4" s="291"/>
      <c r="FJ4" s="291"/>
      <c r="FK4" s="291"/>
      <c r="FL4" s="291"/>
      <c r="FM4" s="291"/>
      <c r="FN4" s="291"/>
      <c r="FO4" s="291"/>
      <c r="FP4" s="291"/>
      <c r="FQ4" s="291"/>
      <c r="FR4" s="291"/>
      <c r="FS4" s="291"/>
      <c r="FT4" s="291"/>
      <c r="FU4" s="291"/>
      <c r="FV4" s="291"/>
      <c r="FW4" s="291"/>
      <c r="FX4" s="291"/>
      <c r="FY4" s="291"/>
      <c r="FZ4" s="291"/>
      <c r="GA4" s="291"/>
      <c r="GB4" s="291"/>
      <c r="GC4" s="291"/>
      <c r="GD4" s="291"/>
      <c r="GE4" s="291"/>
      <c r="GF4" s="291"/>
      <c r="GG4" s="291"/>
      <c r="GH4" s="291"/>
      <c r="GI4" s="291"/>
      <c r="GJ4" s="291"/>
      <c r="GK4" s="291"/>
      <c r="GL4" s="291"/>
      <c r="GM4" s="291"/>
      <c r="GN4" s="291"/>
      <c r="GO4" s="291"/>
      <c r="GP4" s="291"/>
      <c r="GQ4" s="291"/>
      <c r="GR4" s="291"/>
      <c r="GS4" s="291"/>
      <c r="GT4" s="291"/>
      <c r="GU4" s="291"/>
      <c r="GV4" s="291"/>
      <c r="GW4" s="291"/>
      <c r="GX4" s="291"/>
      <c r="GY4" s="291"/>
      <c r="GZ4" s="291"/>
      <c r="HA4" s="291"/>
      <c r="HB4" s="291"/>
      <c r="HC4" s="291"/>
      <c r="HD4" s="291"/>
      <c r="HE4" s="291"/>
      <c r="HF4" s="291"/>
      <c r="HG4" s="291"/>
      <c r="HH4" s="291"/>
      <c r="HI4" s="291"/>
      <c r="HJ4" s="291"/>
      <c r="HK4" s="291"/>
      <c r="HL4" s="291"/>
      <c r="HM4" s="291"/>
      <c r="HN4" s="291"/>
      <c r="HO4" s="291"/>
      <c r="HP4" s="291"/>
      <c r="HQ4" s="291"/>
      <c r="HR4" s="291"/>
      <c r="HS4" s="291"/>
      <c r="HT4" s="291"/>
      <c r="HU4" s="291"/>
      <c r="HV4" s="291"/>
      <c r="HW4" s="291"/>
      <c r="HX4" s="291"/>
      <c r="HY4" s="291"/>
      <c r="HZ4" s="291"/>
      <c r="IA4" s="291"/>
      <c r="IB4" s="291"/>
      <c r="IC4" s="291"/>
      <c r="ID4" s="291"/>
      <c r="IE4" s="291"/>
      <c r="IF4" s="291"/>
      <c r="IG4" s="291"/>
      <c r="IH4" s="291"/>
      <c r="II4" s="291"/>
      <c r="IJ4" s="291"/>
      <c r="IK4" s="291"/>
      <c r="IL4" s="291"/>
      <c r="IM4" s="291"/>
      <c r="IN4" s="291"/>
      <c r="IO4" s="291"/>
      <c r="IP4" s="291"/>
      <c r="IQ4" s="291"/>
      <c r="IR4" s="291"/>
      <c r="IS4" s="291"/>
      <c r="IT4" s="291"/>
      <c r="IU4" s="291"/>
      <c r="IV4" s="291"/>
      <c r="IW4" s="291"/>
    </row>
    <row r="5" customFormat="false" ht="12.75" hidden="false" customHeight="false" outlineLevel="2" collapsed="false">
      <c r="A5" s="2" t="str">
        <f aca="false">B5&amp;C5&amp;D5</f>
        <v>O&amp;M Mobilization BudgetOperating ExpensesPublic Relations</v>
      </c>
      <c r="B5" s="2" t="s">
        <v>413</v>
      </c>
      <c r="C5" s="2" t="s">
        <v>414</v>
      </c>
      <c r="D5" s="2" t="s">
        <v>415</v>
      </c>
      <c r="E5" s="292" t="s">
        <v>416</v>
      </c>
      <c r="F5" s="78"/>
      <c r="G5" s="78"/>
      <c r="H5" s="293" t="n">
        <v>0</v>
      </c>
      <c r="I5" s="294" t="n">
        <v>1</v>
      </c>
      <c r="J5" s="295" t="n">
        <f aca="false">I5*H5</f>
        <v>0</v>
      </c>
      <c r="K5" s="295" t="n">
        <f aca="false">H5-J5</f>
        <v>0</v>
      </c>
      <c r="M5" s="2"/>
      <c r="N5" s="2"/>
    </row>
    <row r="6" customFormat="false" ht="12.75" hidden="false" customHeight="false" outlineLevel="2" collapsed="false">
      <c r="E6" s="292"/>
      <c r="F6" s="78" t="s">
        <v>417</v>
      </c>
      <c r="G6" s="78"/>
      <c r="H6" s="293" t="n">
        <f aca="false">(Mob_Staffing!H8+Mob_Staffing!J8)*2</f>
        <v>24679</v>
      </c>
      <c r="I6" s="294" t="n">
        <v>1</v>
      </c>
      <c r="J6" s="295" t="n">
        <f aca="false">I6*H6</f>
        <v>24679</v>
      </c>
      <c r="K6" s="295" t="n">
        <f aca="false">H6-J6</f>
        <v>0</v>
      </c>
      <c r="M6" s="2"/>
      <c r="N6" s="2"/>
    </row>
    <row r="7" customFormat="false" ht="12.75" hidden="false" customHeight="false" outlineLevel="2" collapsed="false">
      <c r="E7" s="292" t="s">
        <v>418</v>
      </c>
      <c r="F7" s="78" t="s">
        <v>419</v>
      </c>
      <c r="G7" s="78"/>
      <c r="H7" s="293" t="n">
        <f aca="false">150*60</f>
        <v>9000</v>
      </c>
      <c r="I7" s="294" t="n">
        <v>1</v>
      </c>
      <c r="J7" s="295" t="n">
        <f aca="false">I7*H7</f>
        <v>9000</v>
      </c>
      <c r="K7" s="295" t="n">
        <f aca="false">H7-J7</f>
        <v>0</v>
      </c>
      <c r="M7" s="2"/>
      <c r="N7" s="2"/>
    </row>
    <row r="8" customFormat="false" ht="12.75" hidden="true" customHeight="false" outlineLevel="2" collapsed="false">
      <c r="E8" s="292" t="s">
        <v>420</v>
      </c>
      <c r="F8" s="78" t="s">
        <v>421</v>
      </c>
      <c r="G8" s="78"/>
      <c r="H8" s="293" t="n">
        <v>0</v>
      </c>
      <c r="I8" s="294" t="n">
        <v>1</v>
      </c>
      <c r="J8" s="295" t="n">
        <f aca="false">I8*H8</f>
        <v>0</v>
      </c>
      <c r="K8" s="295" t="n">
        <f aca="false">H8-J8</f>
        <v>0</v>
      </c>
      <c r="M8" s="2"/>
      <c r="N8" s="2"/>
    </row>
    <row r="9" customFormat="false" ht="12.75" hidden="true" customHeight="false" outlineLevel="2" collapsed="false">
      <c r="E9" s="292" t="s">
        <v>422</v>
      </c>
      <c r="F9" s="78" t="s">
        <v>423</v>
      </c>
      <c r="G9" s="78"/>
      <c r="H9" s="293"/>
      <c r="I9" s="294" t="n">
        <v>1</v>
      </c>
      <c r="J9" s="295" t="n">
        <f aca="false">I9*H9</f>
        <v>0</v>
      </c>
      <c r="K9" s="295" t="n">
        <f aca="false">H9-J9</f>
        <v>0</v>
      </c>
      <c r="M9" s="2"/>
      <c r="N9" s="2"/>
    </row>
    <row r="10" customFormat="false" ht="12.75" hidden="true" customHeight="false" outlineLevel="2" collapsed="false">
      <c r="E10" s="292" t="s">
        <v>424</v>
      </c>
      <c r="F10" s="78" t="s">
        <v>425</v>
      </c>
      <c r="G10" s="78"/>
      <c r="H10" s="293"/>
      <c r="I10" s="294" t="n">
        <v>1</v>
      </c>
      <c r="J10" s="295" t="n">
        <f aca="false">I10*H10</f>
        <v>0</v>
      </c>
      <c r="K10" s="295" t="n">
        <f aca="false">H10-J10</f>
        <v>0</v>
      </c>
      <c r="M10" s="2"/>
      <c r="N10" s="2"/>
    </row>
    <row r="11" customFormat="false" ht="12.75" hidden="true" customHeight="false" outlineLevel="2" collapsed="false">
      <c r="E11" s="292" t="s">
        <v>426</v>
      </c>
      <c r="F11" s="78" t="s">
        <v>427</v>
      </c>
      <c r="G11" s="78"/>
      <c r="H11" s="293"/>
      <c r="I11" s="294" t="n">
        <v>1</v>
      </c>
      <c r="J11" s="295" t="n">
        <f aca="false">I11*H11</f>
        <v>0</v>
      </c>
      <c r="K11" s="295" t="n">
        <f aca="false">H11-J11</f>
        <v>0</v>
      </c>
      <c r="M11" s="2"/>
      <c r="N11" s="2"/>
    </row>
    <row r="12" customFormat="false" ht="12.75" hidden="true" customHeight="false" outlineLevel="2" collapsed="false">
      <c r="E12" s="292"/>
      <c r="F12" s="78" t="s">
        <v>428</v>
      </c>
      <c r="G12" s="78"/>
      <c r="H12" s="293"/>
      <c r="I12" s="294" t="n">
        <v>1</v>
      </c>
      <c r="J12" s="295" t="n">
        <f aca="false">I12*H12</f>
        <v>0</v>
      </c>
      <c r="K12" s="295" t="n">
        <f aca="false">H12-J12</f>
        <v>0</v>
      </c>
      <c r="M12" s="2"/>
      <c r="N12" s="2"/>
    </row>
    <row r="13" customFormat="false" ht="12.75" hidden="true" customHeight="false" outlineLevel="2" collapsed="false">
      <c r="E13" s="292"/>
      <c r="F13" s="78" t="s">
        <v>429</v>
      </c>
      <c r="G13" s="78"/>
      <c r="H13" s="293"/>
      <c r="I13" s="294" t="n">
        <v>1</v>
      </c>
      <c r="J13" s="295" t="n">
        <f aca="false">I13*H13</f>
        <v>0</v>
      </c>
      <c r="K13" s="295" t="n">
        <f aca="false">H13-J13</f>
        <v>0</v>
      </c>
      <c r="M13" s="2"/>
      <c r="N13" s="2"/>
    </row>
    <row r="14" customFormat="false" ht="12.75" hidden="false" customHeight="false" outlineLevel="2" collapsed="false">
      <c r="E14" s="292"/>
      <c r="F14" s="78"/>
      <c r="G14" s="78"/>
      <c r="H14" s="293"/>
      <c r="I14" s="296"/>
      <c r="J14" s="295"/>
      <c r="K14" s="295"/>
      <c r="M14" s="2"/>
      <c r="N14" s="2"/>
    </row>
    <row r="15" customFormat="false" ht="12.75" hidden="false" customHeight="false" outlineLevel="1" collapsed="false">
      <c r="A15" s="291" t="s">
        <v>430</v>
      </c>
      <c r="B15" s="291" t="s">
        <v>413</v>
      </c>
      <c r="C15" s="291" t="s">
        <v>414</v>
      </c>
      <c r="D15" s="291" t="s">
        <v>415</v>
      </c>
      <c r="E15" s="292"/>
      <c r="F15" s="78"/>
      <c r="G15" s="297" t="s">
        <v>431</v>
      </c>
      <c r="H15" s="298" t="n">
        <f aca="false">SUBTOTAL(9,H5:H14)</f>
        <v>33679</v>
      </c>
      <c r="I15" s="299"/>
      <c r="J15" s="298" t="n">
        <f aca="false">SUBTOTAL(9,J5:J14)</f>
        <v>33679</v>
      </c>
      <c r="K15" s="298" t="n">
        <f aca="false">SUBTOTAL(9,K5:K14)</f>
        <v>0</v>
      </c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291"/>
      <c r="EA15" s="291"/>
      <c r="EB15" s="291"/>
      <c r="EC15" s="291"/>
      <c r="ED15" s="291"/>
      <c r="EE15" s="291"/>
      <c r="EF15" s="291"/>
      <c r="EG15" s="291"/>
      <c r="EH15" s="291"/>
      <c r="EI15" s="291"/>
      <c r="EJ15" s="291"/>
      <c r="EK15" s="291"/>
      <c r="EL15" s="291"/>
      <c r="EM15" s="291"/>
      <c r="EN15" s="291"/>
      <c r="EO15" s="291"/>
      <c r="EP15" s="291"/>
      <c r="EQ15" s="291"/>
      <c r="ER15" s="291"/>
      <c r="ES15" s="291"/>
      <c r="ET15" s="291"/>
      <c r="EU15" s="291"/>
      <c r="EV15" s="291"/>
      <c r="EW15" s="291"/>
      <c r="EX15" s="291"/>
      <c r="EY15" s="291"/>
      <c r="EZ15" s="291"/>
      <c r="FA15" s="291"/>
      <c r="FB15" s="291"/>
      <c r="FC15" s="291"/>
      <c r="FD15" s="291"/>
      <c r="FE15" s="291"/>
      <c r="FF15" s="291"/>
      <c r="FG15" s="291"/>
      <c r="FH15" s="291"/>
      <c r="FI15" s="291"/>
      <c r="FJ15" s="291"/>
      <c r="FK15" s="291"/>
      <c r="FL15" s="291"/>
      <c r="FM15" s="291"/>
      <c r="FN15" s="291"/>
      <c r="FO15" s="291"/>
      <c r="FP15" s="291"/>
      <c r="FQ15" s="291"/>
      <c r="FR15" s="291"/>
      <c r="FS15" s="291"/>
      <c r="FT15" s="291"/>
      <c r="FU15" s="291"/>
      <c r="FV15" s="291"/>
      <c r="FW15" s="291"/>
      <c r="FX15" s="291"/>
      <c r="FY15" s="291"/>
      <c r="FZ15" s="291"/>
      <c r="GA15" s="291"/>
      <c r="GB15" s="291"/>
      <c r="GC15" s="291"/>
      <c r="GD15" s="291"/>
      <c r="GE15" s="291"/>
      <c r="GF15" s="291"/>
      <c r="GG15" s="291"/>
      <c r="GH15" s="291"/>
      <c r="GI15" s="291"/>
      <c r="GJ15" s="291"/>
      <c r="GK15" s="291"/>
      <c r="GL15" s="291"/>
      <c r="GM15" s="291"/>
      <c r="GN15" s="291"/>
      <c r="GO15" s="291"/>
      <c r="GP15" s="291"/>
      <c r="GQ15" s="291"/>
      <c r="GR15" s="291"/>
      <c r="GS15" s="291"/>
      <c r="GT15" s="291"/>
      <c r="GU15" s="291"/>
      <c r="GV15" s="291"/>
      <c r="GW15" s="291"/>
      <c r="GX15" s="291"/>
      <c r="GY15" s="291"/>
      <c r="GZ15" s="291"/>
      <c r="HA15" s="291"/>
      <c r="HB15" s="291"/>
      <c r="HC15" s="291"/>
      <c r="HD15" s="291"/>
      <c r="HE15" s="291"/>
      <c r="HF15" s="291"/>
      <c r="HG15" s="291"/>
      <c r="HH15" s="291"/>
      <c r="HI15" s="291"/>
      <c r="HJ15" s="291"/>
      <c r="HK15" s="291"/>
      <c r="HL15" s="291"/>
      <c r="HM15" s="291"/>
      <c r="HN15" s="291"/>
      <c r="HO15" s="291"/>
      <c r="HP15" s="291"/>
      <c r="HQ15" s="291"/>
      <c r="HR15" s="291"/>
      <c r="HS15" s="291"/>
      <c r="HT15" s="291"/>
      <c r="HU15" s="291"/>
      <c r="HV15" s="291"/>
      <c r="HW15" s="291"/>
      <c r="HX15" s="291"/>
      <c r="HY15" s="291"/>
      <c r="HZ15" s="291"/>
      <c r="IA15" s="291"/>
      <c r="IB15" s="291"/>
      <c r="IC15" s="291"/>
      <c r="ID15" s="291"/>
      <c r="IE15" s="291"/>
      <c r="IF15" s="291"/>
      <c r="IG15" s="291"/>
      <c r="IH15" s="291"/>
      <c r="II15" s="291"/>
      <c r="IJ15" s="291"/>
      <c r="IK15" s="291"/>
      <c r="IL15" s="291"/>
      <c r="IM15" s="291"/>
      <c r="IN15" s="291"/>
      <c r="IO15" s="291"/>
      <c r="IP15" s="291"/>
      <c r="IQ15" s="291"/>
      <c r="IR15" s="291"/>
      <c r="IS15" s="291"/>
      <c r="IT15" s="291"/>
      <c r="IU15" s="291"/>
      <c r="IV15" s="291"/>
      <c r="IW15" s="291"/>
    </row>
    <row r="16" customFormat="false" ht="13.5" hidden="false" customHeight="true" outlineLevel="0" collapsed="false">
      <c r="A16" s="2" t="s">
        <v>432</v>
      </c>
      <c r="B16" s="2" t="s">
        <v>413</v>
      </c>
      <c r="C16" s="2" t="s">
        <v>414</v>
      </c>
      <c r="D16" s="2" t="s">
        <v>433</v>
      </c>
      <c r="E16" s="300" t="s">
        <v>433</v>
      </c>
      <c r="F16" s="301"/>
      <c r="G16" s="302"/>
      <c r="H16" s="303"/>
      <c r="I16" s="304"/>
      <c r="J16" s="305"/>
      <c r="K16" s="303"/>
      <c r="N16" s="2"/>
    </row>
    <row r="17" customFormat="false" ht="13.5" hidden="false" customHeight="true" outlineLevel="2" collapsed="false">
      <c r="E17" s="292" t="s">
        <v>434</v>
      </c>
      <c r="F17" s="78"/>
      <c r="G17" s="78"/>
      <c r="H17" s="306" t="n">
        <f aca="false">Mob_Staffing!K45</f>
        <v>517680.9145</v>
      </c>
      <c r="I17" s="294" t="n">
        <v>1</v>
      </c>
      <c r="J17" s="295" t="n">
        <f aca="false">I17*H17</f>
        <v>517680.9145</v>
      </c>
      <c r="K17" s="295" t="n">
        <f aca="false">H17-J17</f>
        <v>0</v>
      </c>
      <c r="M17" s="2"/>
      <c r="N17" s="2"/>
    </row>
    <row r="18" customFormat="false" ht="13.5" hidden="false" customHeight="true" outlineLevel="2" collapsed="false">
      <c r="E18" s="292" t="s">
        <v>435</v>
      </c>
      <c r="F18" s="78"/>
      <c r="G18" s="78"/>
      <c r="H18" s="293"/>
      <c r="I18" s="296"/>
      <c r="J18" s="295"/>
      <c r="K18" s="295"/>
      <c r="M18" s="2"/>
      <c r="N18" s="2"/>
    </row>
    <row r="19" customFormat="false" ht="13.5" hidden="false" customHeight="true" outlineLevel="2" collapsed="false">
      <c r="E19" s="292"/>
      <c r="F19" s="78"/>
      <c r="G19" s="78"/>
      <c r="H19" s="293"/>
      <c r="I19" s="296"/>
      <c r="J19" s="295"/>
      <c r="K19" s="295"/>
      <c r="M19" s="2"/>
      <c r="N19" s="2"/>
    </row>
    <row r="20" customFormat="false" ht="13.5" hidden="false" customHeight="true" outlineLevel="2" collapsed="false">
      <c r="E20" s="292"/>
      <c r="F20" s="78"/>
      <c r="G20" s="78"/>
      <c r="H20" s="293"/>
      <c r="I20" s="296"/>
      <c r="J20" s="295"/>
      <c r="K20" s="295"/>
      <c r="M20" s="2"/>
      <c r="N20" s="2"/>
    </row>
    <row r="21" customFormat="false" ht="13.5" hidden="false" customHeight="true" outlineLevel="1" collapsed="false">
      <c r="A21" s="291" t="s">
        <v>436</v>
      </c>
      <c r="B21" s="291" t="s">
        <v>413</v>
      </c>
      <c r="C21" s="291" t="s">
        <v>414</v>
      </c>
      <c r="D21" s="291" t="s">
        <v>433</v>
      </c>
      <c r="E21" s="292" t="s">
        <v>437</v>
      </c>
      <c r="F21" s="78"/>
      <c r="G21" s="297" t="s">
        <v>431</v>
      </c>
      <c r="H21" s="307" t="n">
        <f aca="false">SUBTOTAL(9,H17:H20)</f>
        <v>517680.9145</v>
      </c>
      <c r="I21" s="308"/>
      <c r="J21" s="298" t="n">
        <f aca="false">SUBTOTAL(9,J17:J20)</f>
        <v>517680.9145</v>
      </c>
      <c r="K21" s="298" t="n">
        <f aca="false">SUBTOTAL(9,K17:K20)</f>
        <v>0</v>
      </c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  <c r="DK21" s="291"/>
      <c r="DL21" s="291"/>
      <c r="DM21" s="291"/>
      <c r="DN21" s="291"/>
      <c r="DO21" s="291"/>
      <c r="DP21" s="291"/>
      <c r="DQ21" s="291"/>
      <c r="DR21" s="291"/>
      <c r="DS21" s="291"/>
      <c r="DT21" s="291"/>
      <c r="DU21" s="291"/>
      <c r="DV21" s="291"/>
      <c r="DW21" s="291"/>
      <c r="DX21" s="291"/>
      <c r="DY21" s="291"/>
      <c r="DZ21" s="291"/>
      <c r="EA21" s="291"/>
      <c r="EB21" s="291"/>
      <c r="EC21" s="291"/>
      <c r="ED21" s="291"/>
      <c r="EE21" s="291"/>
      <c r="EF21" s="291"/>
      <c r="EG21" s="291"/>
      <c r="EH21" s="291"/>
      <c r="EI21" s="291"/>
      <c r="EJ21" s="291"/>
      <c r="EK21" s="291"/>
      <c r="EL21" s="291"/>
      <c r="EM21" s="291"/>
      <c r="EN21" s="291"/>
      <c r="EO21" s="291"/>
      <c r="EP21" s="291"/>
      <c r="EQ21" s="291"/>
      <c r="ER21" s="291"/>
      <c r="ES21" s="291"/>
      <c r="ET21" s="291"/>
      <c r="EU21" s="291"/>
      <c r="EV21" s="291"/>
      <c r="EW21" s="291"/>
      <c r="EX21" s="291"/>
      <c r="EY21" s="291"/>
      <c r="EZ21" s="291"/>
      <c r="FA21" s="291"/>
      <c r="FB21" s="291"/>
      <c r="FC21" s="291"/>
      <c r="FD21" s="291"/>
      <c r="FE21" s="291"/>
      <c r="FF21" s="291"/>
      <c r="FG21" s="291"/>
      <c r="FH21" s="291"/>
      <c r="FI21" s="291"/>
      <c r="FJ21" s="291"/>
      <c r="FK21" s="291"/>
      <c r="FL21" s="291"/>
      <c r="FM21" s="291"/>
      <c r="FN21" s="291"/>
      <c r="FO21" s="291"/>
      <c r="FP21" s="291"/>
      <c r="FQ21" s="291"/>
      <c r="FR21" s="291"/>
      <c r="FS21" s="291"/>
      <c r="FT21" s="291"/>
      <c r="FU21" s="291"/>
      <c r="FV21" s="291"/>
      <c r="FW21" s="291"/>
      <c r="FX21" s="291"/>
      <c r="FY21" s="291"/>
      <c r="FZ21" s="291"/>
      <c r="GA21" s="291"/>
      <c r="GB21" s="291"/>
      <c r="GC21" s="291"/>
      <c r="GD21" s="291"/>
      <c r="GE21" s="291"/>
      <c r="GF21" s="291"/>
      <c r="GG21" s="291"/>
      <c r="GH21" s="291"/>
      <c r="GI21" s="291"/>
      <c r="GJ21" s="291"/>
      <c r="GK21" s="291"/>
      <c r="GL21" s="291"/>
      <c r="GM21" s="291"/>
      <c r="GN21" s="291"/>
      <c r="GO21" s="291"/>
      <c r="GP21" s="291"/>
      <c r="GQ21" s="291"/>
      <c r="GR21" s="291"/>
      <c r="GS21" s="291"/>
      <c r="GT21" s="291"/>
      <c r="GU21" s="291"/>
      <c r="GV21" s="291"/>
      <c r="GW21" s="291"/>
      <c r="GX21" s="291"/>
      <c r="GY21" s="291"/>
      <c r="GZ21" s="291"/>
      <c r="HA21" s="291"/>
      <c r="HB21" s="291"/>
      <c r="HC21" s="291"/>
      <c r="HD21" s="291"/>
      <c r="HE21" s="291"/>
      <c r="HF21" s="291"/>
      <c r="HG21" s="291"/>
      <c r="HH21" s="291"/>
      <c r="HI21" s="291"/>
      <c r="HJ21" s="291"/>
      <c r="HK21" s="291"/>
      <c r="HL21" s="291"/>
      <c r="HM21" s="291"/>
      <c r="HN21" s="291"/>
      <c r="HO21" s="291"/>
      <c r="HP21" s="291"/>
      <c r="HQ21" s="291"/>
      <c r="HR21" s="291"/>
      <c r="HS21" s="291"/>
      <c r="HT21" s="291"/>
      <c r="HU21" s="291"/>
      <c r="HV21" s="291"/>
      <c r="HW21" s="291"/>
      <c r="HX21" s="291"/>
      <c r="HY21" s="291"/>
      <c r="HZ21" s="291"/>
      <c r="IA21" s="291"/>
      <c r="IB21" s="291"/>
      <c r="IC21" s="291"/>
      <c r="ID21" s="291"/>
      <c r="IE21" s="291"/>
      <c r="IF21" s="291"/>
      <c r="IG21" s="291"/>
      <c r="IH21" s="291"/>
      <c r="II21" s="291"/>
      <c r="IJ21" s="291"/>
      <c r="IK21" s="291"/>
      <c r="IL21" s="291"/>
      <c r="IM21" s="291"/>
      <c r="IN21" s="291"/>
      <c r="IO21" s="291"/>
      <c r="IP21" s="291"/>
      <c r="IQ21" s="291"/>
      <c r="IR21" s="291"/>
      <c r="IS21" s="291"/>
      <c r="IT21" s="291"/>
      <c r="IU21" s="291"/>
      <c r="IV21" s="291"/>
      <c r="IW21" s="291"/>
    </row>
    <row r="22" customFormat="false" ht="13.5" hidden="false" customHeight="true" outlineLevel="1" collapsed="false">
      <c r="A22" s="2" t="s">
        <v>438</v>
      </c>
      <c r="B22" s="2" t="s">
        <v>413</v>
      </c>
      <c r="C22" s="2" t="s">
        <v>414</v>
      </c>
      <c r="D22" s="2" t="s">
        <v>179</v>
      </c>
      <c r="E22" s="300" t="s">
        <v>179</v>
      </c>
      <c r="F22" s="301"/>
      <c r="G22" s="302"/>
      <c r="H22" s="288"/>
      <c r="I22" s="289"/>
      <c r="J22" s="290"/>
      <c r="K22" s="290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  <c r="DK22" s="291"/>
      <c r="DL22" s="291"/>
      <c r="DM22" s="291"/>
      <c r="DN22" s="291"/>
      <c r="DO22" s="291"/>
      <c r="DP22" s="291"/>
      <c r="DQ22" s="291"/>
      <c r="DR22" s="291"/>
      <c r="DS22" s="291"/>
      <c r="DT22" s="291"/>
      <c r="DU22" s="291"/>
      <c r="DV22" s="291"/>
      <c r="DW22" s="291"/>
      <c r="DX22" s="291"/>
      <c r="DY22" s="291"/>
      <c r="DZ22" s="291"/>
      <c r="EA22" s="291"/>
      <c r="EB22" s="291"/>
      <c r="EC22" s="291"/>
      <c r="ED22" s="291"/>
      <c r="EE22" s="291"/>
      <c r="EF22" s="291"/>
      <c r="EG22" s="291"/>
      <c r="EH22" s="291"/>
      <c r="EI22" s="291"/>
      <c r="EJ22" s="291"/>
      <c r="EK22" s="291"/>
      <c r="EL22" s="291"/>
      <c r="EM22" s="291"/>
      <c r="EN22" s="291"/>
      <c r="EO22" s="291"/>
      <c r="EP22" s="291"/>
      <c r="EQ22" s="291"/>
      <c r="ER22" s="291"/>
      <c r="ES22" s="291"/>
      <c r="ET22" s="291"/>
      <c r="EU22" s="291"/>
      <c r="EV22" s="291"/>
      <c r="EW22" s="291"/>
      <c r="EX22" s="291"/>
      <c r="EY22" s="291"/>
      <c r="EZ22" s="291"/>
      <c r="FA22" s="291"/>
      <c r="FB22" s="291"/>
      <c r="FC22" s="291"/>
      <c r="FD22" s="291"/>
      <c r="FE22" s="291"/>
      <c r="FF22" s="291"/>
      <c r="FG22" s="291"/>
      <c r="FH22" s="291"/>
      <c r="FI22" s="291"/>
      <c r="FJ22" s="291"/>
      <c r="FK22" s="291"/>
      <c r="FL22" s="291"/>
      <c r="FM22" s="291"/>
      <c r="FN22" s="291"/>
      <c r="FO22" s="291"/>
      <c r="FP22" s="291"/>
      <c r="FQ22" s="291"/>
      <c r="FR22" s="291"/>
      <c r="FS22" s="291"/>
      <c r="FT22" s="291"/>
      <c r="FU22" s="291"/>
      <c r="FV22" s="291"/>
      <c r="FW22" s="291"/>
      <c r="FX22" s="291"/>
      <c r="FY22" s="291"/>
      <c r="FZ22" s="291"/>
      <c r="GA22" s="291"/>
      <c r="GB22" s="291"/>
      <c r="GC22" s="291"/>
      <c r="GD22" s="291"/>
      <c r="GE22" s="291"/>
      <c r="GF22" s="291"/>
      <c r="GG22" s="291"/>
      <c r="GH22" s="291"/>
      <c r="GI22" s="291"/>
      <c r="GJ22" s="291"/>
      <c r="GK22" s="291"/>
      <c r="GL22" s="291"/>
      <c r="GM22" s="291"/>
      <c r="GN22" s="291"/>
      <c r="GO22" s="291"/>
      <c r="GP22" s="291"/>
      <c r="GQ22" s="291"/>
      <c r="GR22" s="291"/>
      <c r="GS22" s="291"/>
      <c r="GT22" s="291"/>
      <c r="GU22" s="291"/>
      <c r="GV22" s="291"/>
      <c r="GW22" s="291"/>
      <c r="GX22" s="291"/>
      <c r="GY22" s="291"/>
      <c r="GZ22" s="291"/>
      <c r="HA22" s="291"/>
      <c r="HB22" s="291"/>
      <c r="HC22" s="291"/>
      <c r="HD22" s="291"/>
      <c r="HE22" s="291"/>
      <c r="HF22" s="291"/>
      <c r="HG22" s="291"/>
      <c r="HH22" s="291"/>
      <c r="HI22" s="291"/>
      <c r="HJ22" s="291"/>
      <c r="HK22" s="291"/>
      <c r="HL22" s="291"/>
      <c r="HM22" s="291"/>
      <c r="HN22" s="291"/>
      <c r="HO22" s="291"/>
      <c r="HP22" s="291"/>
      <c r="HQ22" s="291"/>
      <c r="HR22" s="291"/>
      <c r="HS22" s="291"/>
      <c r="HT22" s="291"/>
      <c r="HU22" s="291"/>
      <c r="HV22" s="291"/>
      <c r="HW22" s="291"/>
      <c r="HX22" s="291"/>
      <c r="HY22" s="291"/>
      <c r="HZ22" s="291"/>
      <c r="IA22" s="291"/>
      <c r="IB22" s="291"/>
      <c r="IC22" s="291"/>
      <c r="ID22" s="291"/>
      <c r="IE22" s="291"/>
      <c r="IF22" s="291"/>
      <c r="IG22" s="291"/>
      <c r="IH22" s="291"/>
      <c r="II22" s="291"/>
      <c r="IJ22" s="291"/>
      <c r="IK22" s="291"/>
      <c r="IL22" s="291"/>
      <c r="IM22" s="291"/>
      <c r="IN22" s="291"/>
      <c r="IO22" s="291"/>
      <c r="IP22" s="291"/>
      <c r="IQ22" s="291"/>
      <c r="IR22" s="291"/>
      <c r="IS22" s="291"/>
      <c r="IT22" s="291"/>
      <c r="IU22" s="291"/>
      <c r="IV22" s="291"/>
      <c r="IW22" s="291"/>
    </row>
    <row r="23" customFormat="false" ht="13.5" hidden="true" customHeight="true" outlineLevel="2" collapsed="false">
      <c r="A23" s="2" t="str">
        <f aca="false">B23&amp;C23&amp;D23</f>
        <v>O&amp;M Mobilization BudgetOperating ExpensesEmployee Expenses</v>
      </c>
      <c r="B23" s="2" t="s">
        <v>413</v>
      </c>
      <c r="C23" s="2" t="s">
        <v>414</v>
      </c>
      <c r="D23" s="2" t="s">
        <v>179</v>
      </c>
      <c r="E23" s="292" t="s">
        <v>439</v>
      </c>
      <c r="F23" s="78" t="s">
        <v>440</v>
      </c>
      <c r="G23" s="78"/>
      <c r="H23" s="293" t="n">
        <v>0</v>
      </c>
      <c r="I23" s="294" t="n">
        <v>1</v>
      </c>
      <c r="J23" s="295" t="n">
        <f aca="false">I23*H23</f>
        <v>0</v>
      </c>
      <c r="K23" s="295" t="n">
        <f aca="false">H23-J23</f>
        <v>0</v>
      </c>
      <c r="M23" s="2"/>
      <c r="N23" s="2"/>
    </row>
    <row r="24" customFormat="false" ht="13.5" hidden="true" customHeight="true" outlineLevel="2" collapsed="false">
      <c r="E24" s="292" t="s">
        <v>441</v>
      </c>
      <c r="F24" s="78" t="s">
        <v>442</v>
      </c>
      <c r="G24" s="78"/>
      <c r="H24" s="293" t="n">
        <f aca="false">0.33*H23</f>
        <v>0</v>
      </c>
      <c r="I24" s="294" t="n">
        <v>1</v>
      </c>
      <c r="J24" s="295" t="n">
        <f aca="false">I24*H24</f>
        <v>0</v>
      </c>
      <c r="K24" s="295" t="n">
        <f aca="false">H24-J24</f>
        <v>0</v>
      </c>
      <c r="M24" s="2"/>
      <c r="N24" s="2"/>
    </row>
    <row r="25" customFormat="false" ht="13.5" hidden="false" customHeight="true" outlineLevel="2" collapsed="false">
      <c r="E25" s="292" t="s">
        <v>443</v>
      </c>
      <c r="F25" s="78" t="s">
        <v>444</v>
      </c>
      <c r="G25" s="78"/>
      <c r="H25" s="293" t="n">
        <f aca="false">2*200*Mob_Staffing!E45</f>
        <v>6000</v>
      </c>
      <c r="I25" s="294" t="n">
        <v>1</v>
      </c>
      <c r="J25" s="295" t="n">
        <f aca="false">I25*H25</f>
        <v>6000</v>
      </c>
      <c r="K25" s="295" t="n">
        <f aca="false">H25-J25</f>
        <v>0</v>
      </c>
      <c r="M25" s="2"/>
      <c r="N25" s="2"/>
    </row>
    <row r="26" customFormat="false" ht="13.5" hidden="false" customHeight="true" outlineLevel="2" collapsed="false">
      <c r="E26" s="292"/>
      <c r="F26" s="78"/>
      <c r="G26" s="78"/>
      <c r="H26" s="295"/>
      <c r="I26" s="309"/>
      <c r="J26" s="295"/>
      <c r="K26" s="295"/>
      <c r="M26" s="2"/>
      <c r="N26" s="2"/>
    </row>
    <row r="27" customFormat="false" ht="13.5" hidden="false" customHeight="true" outlineLevel="1" collapsed="false">
      <c r="A27" s="291" t="s">
        <v>445</v>
      </c>
      <c r="B27" s="291" t="s">
        <v>413</v>
      </c>
      <c r="C27" s="291" t="s">
        <v>414</v>
      </c>
      <c r="D27" s="291" t="s">
        <v>179</v>
      </c>
      <c r="E27" s="292" t="s">
        <v>446</v>
      </c>
      <c r="F27" s="78"/>
      <c r="G27" s="297" t="s">
        <v>431</v>
      </c>
      <c r="H27" s="298" t="n">
        <f aca="false">SUBTOTAL(9,H23:H25)</f>
        <v>6000</v>
      </c>
      <c r="I27" s="299"/>
      <c r="J27" s="298" t="n">
        <f aca="false">SUBTOTAL(9,J23:J25)</f>
        <v>6000</v>
      </c>
      <c r="K27" s="298" t="n">
        <f aca="false">SUBTOTAL(9,K23:K25)</f>
        <v>0</v>
      </c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  <c r="DK27" s="291"/>
      <c r="DL27" s="291"/>
      <c r="DM27" s="291"/>
      <c r="DN27" s="291"/>
      <c r="DO27" s="291"/>
      <c r="DP27" s="291"/>
      <c r="DQ27" s="291"/>
      <c r="DR27" s="291"/>
      <c r="DS27" s="291"/>
      <c r="DT27" s="291"/>
      <c r="DU27" s="291"/>
      <c r="DV27" s="291"/>
      <c r="DW27" s="291"/>
      <c r="DX27" s="291"/>
      <c r="DY27" s="291"/>
      <c r="DZ27" s="291"/>
      <c r="EA27" s="291"/>
      <c r="EB27" s="291"/>
      <c r="EC27" s="291"/>
      <c r="ED27" s="291"/>
      <c r="EE27" s="291"/>
      <c r="EF27" s="291"/>
      <c r="EG27" s="291"/>
      <c r="EH27" s="291"/>
      <c r="EI27" s="291"/>
      <c r="EJ27" s="291"/>
      <c r="EK27" s="291"/>
      <c r="EL27" s="291"/>
      <c r="EM27" s="291"/>
      <c r="EN27" s="291"/>
      <c r="EO27" s="291"/>
      <c r="EP27" s="291"/>
      <c r="EQ27" s="291"/>
      <c r="ER27" s="291"/>
      <c r="ES27" s="291"/>
      <c r="ET27" s="291"/>
      <c r="EU27" s="291"/>
      <c r="EV27" s="291"/>
      <c r="EW27" s="291"/>
      <c r="EX27" s="291"/>
      <c r="EY27" s="291"/>
      <c r="EZ27" s="291"/>
      <c r="FA27" s="291"/>
      <c r="FB27" s="291"/>
      <c r="FC27" s="291"/>
      <c r="FD27" s="291"/>
      <c r="FE27" s="291"/>
      <c r="FF27" s="291"/>
      <c r="FG27" s="291"/>
      <c r="FH27" s="291"/>
      <c r="FI27" s="291"/>
      <c r="FJ27" s="291"/>
      <c r="FK27" s="291"/>
      <c r="FL27" s="291"/>
      <c r="FM27" s="291"/>
      <c r="FN27" s="291"/>
      <c r="FO27" s="291"/>
      <c r="FP27" s="291"/>
      <c r="FQ27" s="291"/>
      <c r="FR27" s="291"/>
      <c r="FS27" s="291"/>
      <c r="FT27" s="291"/>
      <c r="FU27" s="291"/>
      <c r="FV27" s="291"/>
      <c r="FW27" s="291"/>
      <c r="FX27" s="291"/>
      <c r="FY27" s="291"/>
      <c r="FZ27" s="291"/>
      <c r="GA27" s="291"/>
      <c r="GB27" s="291"/>
      <c r="GC27" s="291"/>
      <c r="GD27" s="291"/>
      <c r="GE27" s="291"/>
      <c r="GF27" s="291"/>
      <c r="GG27" s="291"/>
      <c r="GH27" s="291"/>
      <c r="GI27" s="291"/>
      <c r="GJ27" s="291"/>
      <c r="GK27" s="291"/>
      <c r="GL27" s="291"/>
      <c r="GM27" s="291"/>
      <c r="GN27" s="291"/>
      <c r="GO27" s="291"/>
      <c r="GP27" s="291"/>
      <c r="GQ27" s="291"/>
      <c r="GR27" s="291"/>
      <c r="GS27" s="291"/>
      <c r="GT27" s="291"/>
      <c r="GU27" s="291"/>
      <c r="GV27" s="291"/>
      <c r="GW27" s="291"/>
      <c r="GX27" s="291"/>
      <c r="GY27" s="291"/>
      <c r="GZ27" s="291"/>
      <c r="HA27" s="291"/>
      <c r="HB27" s="291"/>
      <c r="HC27" s="291"/>
      <c r="HD27" s="291"/>
      <c r="HE27" s="291"/>
      <c r="HF27" s="291"/>
      <c r="HG27" s="291"/>
      <c r="HH27" s="291"/>
      <c r="HI27" s="291"/>
      <c r="HJ27" s="291"/>
      <c r="HK27" s="291"/>
      <c r="HL27" s="291"/>
      <c r="HM27" s="291"/>
      <c r="HN27" s="291"/>
      <c r="HO27" s="291"/>
      <c r="HP27" s="291"/>
      <c r="HQ27" s="291"/>
      <c r="HR27" s="291"/>
      <c r="HS27" s="291"/>
      <c r="HT27" s="291"/>
      <c r="HU27" s="291"/>
      <c r="HV27" s="291"/>
      <c r="HW27" s="291"/>
      <c r="HX27" s="291"/>
      <c r="HY27" s="291"/>
      <c r="HZ27" s="291"/>
      <c r="IA27" s="291"/>
      <c r="IB27" s="291"/>
      <c r="IC27" s="291"/>
      <c r="ID27" s="291"/>
      <c r="IE27" s="291"/>
      <c r="IF27" s="291"/>
      <c r="IG27" s="291"/>
      <c r="IH27" s="291"/>
      <c r="II27" s="291"/>
      <c r="IJ27" s="291"/>
      <c r="IK27" s="291"/>
      <c r="IL27" s="291"/>
      <c r="IM27" s="291"/>
      <c r="IN27" s="291"/>
      <c r="IO27" s="291"/>
      <c r="IP27" s="291"/>
      <c r="IQ27" s="291"/>
      <c r="IR27" s="291"/>
      <c r="IS27" s="291"/>
      <c r="IT27" s="291"/>
      <c r="IU27" s="291"/>
      <c r="IV27" s="291"/>
      <c r="IW27" s="291"/>
    </row>
    <row r="28" customFormat="false" ht="13.5" hidden="false" customHeight="true" outlineLevel="1" collapsed="false">
      <c r="A28" s="2" t="s">
        <v>447</v>
      </c>
      <c r="B28" s="2" t="s">
        <v>413</v>
      </c>
      <c r="C28" s="2" t="s">
        <v>414</v>
      </c>
      <c r="D28" s="2" t="s">
        <v>180</v>
      </c>
      <c r="E28" s="300" t="s">
        <v>180</v>
      </c>
      <c r="F28" s="301"/>
      <c r="G28" s="302"/>
      <c r="H28" s="288"/>
      <c r="I28" s="289"/>
      <c r="J28" s="290"/>
      <c r="K28" s="288"/>
      <c r="L28" s="291"/>
      <c r="M28" s="291"/>
      <c r="N28" s="291"/>
      <c r="O28" s="291"/>
      <c r="P28" s="291"/>
      <c r="Q28" s="291"/>
      <c r="R28" s="291"/>
      <c r="S28" s="291"/>
      <c r="T28" s="291"/>
      <c r="U28" s="291"/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  <c r="DK28" s="291"/>
      <c r="DL28" s="291"/>
      <c r="DM28" s="291"/>
      <c r="DN28" s="291"/>
      <c r="DO28" s="291"/>
      <c r="DP28" s="291"/>
      <c r="DQ28" s="291"/>
      <c r="DR28" s="291"/>
      <c r="DS28" s="291"/>
      <c r="DT28" s="291"/>
      <c r="DU28" s="291"/>
      <c r="DV28" s="291"/>
      <c r="DW28" s="291"/>
      <c r="DX28" s="291"/>
      <c r="DY28" s="291"/>
      <c r="DZ28" s="291"/>
      <c r="EA28" s="291"/>
      <c r="EB28" s="291"/>
      <c r="EC28" s="291"/>
      <c r="ED28" s="291"/>
      <c r="EE28" s="291"/>
      <c r="EF28" s="291"/>
      <c r="EG28" s="291"/>
      <c r="EH28" s="291"/>
      <c r="EI28" s="291"/>
      <c r="EJ28" s="291"/>
      <c r="EK28" s="291"/>
      <c r="EL28" s="291"/>
      <c r="EM28" s="291"/>
      <c r="EN28" s="291"/>
      <c r="EO28" s="291"/>
      <c r="EP28" s="291"/>
      <c r="EQ28" s="291"/>
      <c r="ER28" s="291"/>
      <c r="ES28" s="291"/>
      <c r="ET28" s="291"/>
      <c r="EU28" s="291"/>
      <c r="EV28" s="291"/>
      <c r="EW28" s="291"/>
      <c r="EX28" s="291"/>
      <c r="EY28" s="291"/>
      <c r="EZ28" s="291"/>
      <c r="FA28" s="291"/>
      <c r="FB28" s="291"/>
      <c r="FC28" s="291"/>
      <c r="FD28" s="291"/>
      <c r="FE28" s="291"/>
      <c r="FF28" s="291"/>
      <c r="FG28" s="291"/>
      <c r="FH28" s="291"/>
      <c r="FI28" s="291"/>
      <c r="FJ28" s="291"/>
      <c r="FK28" s="291"/>
      <c r="FL28" s="291"/>
      <c r="FM28" s="291"/>
      <c r="FN28" s="291"/>
      <c r="FO28" s="291"/>
      <c r="FP28" s="291"/>
      <c r="FQ28" s="291"/>
      <c r="FR28" s="291"/>
      <c r="FS28" s="291"/>
      <c r="FT28" s="291"/>
      <c r="FU28" s="291"/>
      <c r="FV28" s="291"/>
      <c r="FW28" s="291"/>
      <c r="FX28" s="291"/>
      <c r="FY28" s="291"/>
      <c r="FZ28" s="291"/>
      <c r="GA28" s="291"/>
      <c r="GB28" s="291"/>
      <c r="GC28" s="291"/>
      <c r="GD28" s="291"/>
      <c r="GE28" s="291"/>
      <c r="GF28" s="291"/>
      <c r="GG28" s="291"/>
      <c r="GH28" s="291"/>
      <c r="GI28" s="291"/>
      <c r="GJ28" s="291"/>
      <c r="GK28" s="291"/>
      <c r="GL28" s="291"/>
      <c r="GM28" s="291"/>
      <c r="GN28" s="291"/>
      <c r="GO28" s="291"/>
      <c r="GP28" s="291"/>
      <c r="GQ28" s="291"/>
      <c r="GR28" s="291"/>
      <c r="GS28" s="291"/>
      <c r="GT28" s="291"/>
      <c r="GU28" s="291"/>
      <c r="GV28" s="291"/>
      <c r="GW28" s="291"/>
      <c r="GX28" s="291"/>
      <c r="GY28" s="291"/>
      <c r="GZ28" s="291"/>
      <c r="HA28" s="291"/>
      <c r="HB28" s="291"/>
      <c r="HC28" s="291"/>
      <c r="HD28" s="291"/>
      <c r="HE28" s="291"/>
      <c r="HF28" s="291"/>
      <c r="HG28" s="291"/>
      <c r="HH28" s="291"/>
      <c r="HI28" s="291"/>
      <c r="HJ28" s="291"/>
      <c r="HK28" s="291"/>
      <c r="HL28" s="291"/>
      <c r="HM28" s="291"/>
      <c r="HN28" s="291"/>
      <c r="HO28" s="291"/>
      <c r="HP28" s="291"/>
      <c r="HQ28" s="291"/>
      <c r="HR28" s="291"/>
      <c r="HS28" s="291"/>
      <c r="HT28" s="291"/>
      <c r="HU28" s="291"/>
      <c r="HV28" s="291"/>
      <c r="HW28" s="291"/>
      <c r="HX28" s="291"/>
      <c r="HY28" s="291"/>
      <c r="HZ28" s="291"/>
      <c r="IA28" s="291"/>
      <c r="IB28" s="291"/>
      <c r="IC28" s="291"/>
      <c r="ID28" s="291"/>
      <c r="IE28" s="291"/>
      <c r="IF28" s="291"/>
      <c r="IG28" s="291"/>
      <c r="IH28" s="291"/>
      <c r="II28" s="291"/>
      <c r="IJ28" s="291"/>
      <c r="IK28" s="291"/>
      <c r="IL28" s="291"/>
      <c r="IM28" s="291"/>
      <c r="IN28" s="291"/>
      <c r="IO28" s="291"/>
      <c r="IP28" s="291"/>
      <c r="IQ28" s="291"/>
      <c r="IR28" s="291"/>
      <c r="IS28" s="291"/>
      <c r="IT28" s="291"/>
      <c r="IU28" s="291"/>
      <c r="IV28" s="291"/>
      <c r="IW28" s="291"/>
    </row>
    <row r="29" customFormat="false" ht="12.75" hidden="false" customHeight="false" outlineLevel="2" collapsed="false">
      <c r="A29" s="2" t="str">
        <f aca="false">B29&amp;C29&amp;D29</f>
        <v>O&amp;M Mobilization BudgetOperating ExpensesRecruiting Expenses</v>
      </c>
      <c r="B29" s="2" t="s">
        <v>413</v>
      </c>
      <c r="C29" s="2" t="s">
        <v>414</v>
      </c>
      <c r="D29" s="2" t="s">
        <v>180</v>
      </c>
      <c r="E29" s="292" t="s">
        <v>448</v>
      </c>
      <c r="F29" s="78" t="s">
        <v>449</v>
      </c>
      <c r="G29" s="78"/>
      <c r="H29" s="293" t="n">
        <v>3500</v>
      </c>
      <c r="I29" s="294" t="n">
        <v>1</v>
      </c>
      <c r="J29" s="295" t="n">
        <f aca="false">I29*H29</f>
        <v>3500</v>
      </c>
      <c r="K29" s="295" t="n">
        <f aca="false">H29-J29</f>
        <v>0</v>
      </c>
      <c r="M29" s="2"/>
      <c r="N29" s="2"/>
    </row>
    <row r="30" customFormat="false" ht="13.5" hidden="false" customHeight="true" outlineLevel="2" collapsed="false">
      <c r="A30" s="2" t="str">
        <f aca="false">B30&amp;C30&amp;D30</f>
        <v>O&amp;M Mobilization BudgetOperating ExpensesRecruiting Expenses</v>
      </c>
      <c r="B30" s="2" t="s">
        <v>413</v>
      </c>
      <c r="C30" s="2" t="s">
        <v>414</v>
      </c>
      <c r="D30" s="2" t="s">
        <v>180</v>
      </c>
      <c r="E30" s="292" t="s">
        <v>450</v>
      </c>
      <c r="F30" s="78" t="s">
        <v>451</v>
      </c>
      <c r="G30" s="78"/>
      <c r="H30" s="293" t="n">
        <v>3000</v>
      </c>
      <c r="I30" s="294" t="n">
        <v>0</v>
      </c>
      <c r="J30" s="295" t="n">
        <f aca="false">I30*H30</f>
        <v>0</v>
      </c>
      <c r="K30" s="295" t="n">
        <f aca="false">H30-J30</f>
        <v>3000</v>
      </c>
      <c r="M30" s="2"/>
      <c r="N30" s="2"/>
    </row>
    <row r="31" customFormat="false" ht="13.5" hidden="false" customHeight="true" outlineLevel="2" collapsed="false">
      <c r="E31" s="292" t="s">
        <v>452</v>
      </c>
      <c r="F31" s="78" t="s">
        <v>453</v>
      </c>
      <c r="G31" s="78"/>
      <c r="H31" s="293" t="n">
        <f aca="false">Mob_Staffing!E45*200</f>
        <v>3000</v>
      </c>
      <c r="I31" s="294" t="n">
        <v>1</v>
      </c>
      <c r="J31" s="295" t="n">
        <f aca="false">I31*H31</f>
        <v>3000</v>
      </c>
      <c r="K31" s="295" t="n">
        <f aca="false">H31-J31</f>
        <v>0</v>
      </c>
      <c r="M31" s="2"/>
      <c r="N31" s="2"/>
    </row>
    <row r="32" customFormat="false" ht="13.5" hidden="false" customHeight="true" outlineLevel="2" collapsed="false">
      <c r="E32" s="292" t="s">
        <v>454</v>
      </c>
      <c r="F32" s="78" t="s">
        <v>455</v>
      </c>
      <c r="G32" s="78"/>
      <c r="H32" s="293" t="n">
        <v>1000</v>
      </c>
      <c r="I32" s="294" t="n">
        <v>1</v>
      </c>
      <c r="J32" s="295" t="n">
        <f aca="false">I32*H32</f>
        <v>1000</v>
      </c>
      <c r="K32" s="295" t="n">
        <f aca="false">H32-J32</f>
        <v>0</v>
      </c>
      <c r="M32" s="2"/>
      <c r="N32" s="2"/>
    </row>
    <row r="33" customFormat="false" ht="13.5" hidden="false" customHeight="true" outlineLevel="2" collapsed="false">
      <c r="E33" s="292"/>
      <c r="F33" s="78"/>
      <c r="G33" s="78"/>
      <c r="H33" s="295"/>
      <c r="I33" s="309"/>
      <c r="J33" s="295"/>
      <c r="K33" s="295"/>
      <c r="M33" s="2"/>
      <c r="N33" s="2"/>
    </row>
    <row r="34" customFormat="false" ht="12.75" hidden="false" customHeight="false" outlineLevel="1" collapsed="false">
      <c r="A34" s="291" t="s">
        <v>456</v>
      </c>
      <c r="B34" s="291" t="s">
        <v>413</v>
      </c>
      <c r="C34" s="291" t="s">
        <v>414</v>
      </c>
      <c r="D34" s="291" t="s">
        <v>180</v>
      </c>
      <c r="E34" s="292"/>
      <c r="F34" s="78"/>
      <c r="G34" s="297" t="s">
        <v>431</v>
      </c>
      <c r="H34" s="298" t="n">
        <f aca="false">SUBTOTAL(9,H29:H33)</f>
        <v>10500</v>
      </c>
      <c r="I34" s="299"/>
      <c r="J34" s="298" t="n">
        <f aca="false">SUBTOTAL(9,J29:J33)</f>
        <v>7500</v>
      </c>
      <c r="K34" s="298" t="n">
        <f aca="false">SUBTOTAL(9,K29:K33)</f>
        <v>3000</v>
      </c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  <c r="DK34" s="291"/>
      <c r="DL34" s="291"/>
      <c r="DM34" s="291"/>
      <c r="DN34" s="291"/>
      <c r="DO34" s="291"/>
      <c r="DP34" s="291"/>
      <c r="DQ34" s="291"/>
      <c r="DR34" s="291"/>
      <c r="DS34" s="291"/>
      <c r="DT34" s="291"/>
      <c r="DU34" s="291"/>
      <c r="DV34" s="291"/>
      <c r="DW34" s="291"/>
      <c r="DX34" s="291"/>
      <c r="DY34" s="291"/>
      <c r="DZ34" s="291"/>
      <c r="EA34" s="291"/>
      <c r="EB34" s="291"/>
      <c r="EC34" s="291"/>
      <c r="ED34" s="291"/>
      <c r="EE34" s="291"/>
      <c r="EF34" s="291"/>
      <c r="EG34" s="291"/>
      <c r="EH34" s="291"/>
      <c r="EI34" s="291"/>
      <c r="EJ34" s="291"/>
      <c r="EK34" s="291"/>
      <c r="EL34" s="291"/>
      <c r="EM34" s="291"/>
      <c r="EN34" s="291"/>
      <c r="EO34" s="291"/>
      <c r="EP34" s="291"/>
      <c r="EQ34" s="291"/>
      <c r="ER34" s="291"/>
      <c r="ES34" s="291"/>
      <c r="ET34" s="291"/>
      <c r="EU34" s="291"/>
      <c r="EV34" s="291"/>
      <c r="EW34" s="291"/>
      <c r="EX34" s="291"/>
      <c r="EY34" s="291"/>
      <c r="EZ34" s="291"/>
      <c r="FA34" s="291"/>
      <c r="FB34" s="291"/>
      <c r="FC34" s="291"/>
      <c r="FD34" s="291"/>
      <c r="FE34" s="291"/>
      <c r="FF34" s="291"/>
      <c r="FG34" s="291"/>
      <c r="FH34" s="291"/>
      <c r="FI34" s="291"/>
      <c r="FJ34" s="291"/>
      <c r="FK34" s="291"/>
      <c r="FL34" s="291"/>
      <c r="FM34" s="291"/>
      <c r="FN34" s="291"/>
      <c r="FO34" s="291"/>
      <c r="FP34" s="291"/>
      <c r="FQ34" s="291"/>
      <c r="FR34" s="291"/>
      <c r="FS34" s="291"/>
      <c r="FT34" s="291"/>
      <c r="FU34" s="291"/>
      <c r="FV34" s="291"/>
      <c r="FW34" s="291"/>
      <c r="FX34" s="291"/>
      <c r="FY34" s="291"/>
      <c r="FZ34" s="291"/>
      <c r="GA34" s="291"/>
      <c r="GB34" s="291"/>
      <c r="GC34" s="291"/>
      <c r="GD34" s="291"/>
      <c r="GE34" s="291"/>
      <c r="GF34" s="291"/>
      <c r="GG34" s="291"/>
      <c r="GH34" s="291"/>
      <c r="GI34" s="291"/>
      <c r="GJ34" s="291"/>
      <c r="GK34" s="291"/>
      <c r="GL34" s="291"/>
      <c r="GM34" s="291"/>
      <c r="GN34" s="291"/>
      <c r="GO34" s="291"/>
      <c r="GP34" s="291"/>
      <c r="GQ34" s="291"/>
      <c r="GR34" s="291"/>
      <c r="GS34" s="291"/>
      <c r="GT34" s="291"/>
      <c r="GU34" s="291"/>
      <c r="GV34" s="291"/>
      <c r="GW34" s="291"/>
      <c r="GX34" s="291"/>
      <c r="GY34" s="291"/>
      <c r="GZ34" s="291"/>
      <c r="HA34" s="291"/>
      <c r="HB34" s="291"/>
      <c r="HC34" s="291"/>
      <c r="HD34" s="291"/>
      <c r="HE34" s="291"/>
      <c r="HF34" s="291"/>
      <c r="HG34" s="291"/>
      <c r="HH34" s="291"/>
      <c r="HI34" s="291"/>
      <c r="HJ34" s="291"/>
      <c r="HK34" s="291"/>
      <c r="HL34" s="291"/>
      <c r="HM34" s="291"/>
      <c r="HN34" s="291"/>
      <c r="HO34" s="291"/>
      <c r="HP34" s="291"/>
      <c r="HQ34" s="291"/>
      <c r="HR34" s="291"/>
      <c r="HS34" s="291"/>
      <c r="HT34" s="291"/>
      <c r="HU34" s="291"/>
      <c r="HV34" s="291"/>
      <c r="HW34" s="291"/>
      <c r="HX34" s="291"/>
      <c r="HY34" s="291"/>
      <c r="HZ34" s="291"/>
      <c r="IA34" s="291"/>
      <c r="IB34" s="291"/>
      <c r="IC34" s="291"/>
      <c r="ID34" s="291"/>
      <c r="IE34" s="291"/>
      <c r="IF34" s="291"/>
      <c r="IG34" s="291"/>
      <c r="IH34" s="291"/>
      <c r="II34" s="291"/>
      <c r="IJ34" s="291"/>
      <c r="IK34" s="291"/>
      <c r="IL34" s="291"/>
      <c r="IM34" s="291"/>
      <c r="IN34" s="291"/>
      <c r="IO34" s="291"/>
      <c r="IP34" s="291"/>
      <c r="IQ34" s="291"/>
      <c r="IR34" s="291"/>
      <c r="IS34" s="291"/>
      <c r="IT34" s="291"/>
      <c r="IU34" s="291"/>
      <c r="IV34" s="291"/>
      <c r="IW34" s="291"/>
    </row>
    <row r="35" customFormat="false" ht="12.75" hidden="false" customHeight="false" outlineLevel="1" collapsed="false">
      <c r="A35" s="2" t="s">
        <v>457</v>
      </c>
      <c r="B35" s="2" t="s">
        <v>413</v>
      </c>
      <c r="C35" s="2" t="s">
        <v>414</v>
      </c>
      <c r="D35" s="2" t="s">
        <v>181</v>
      </c>
      <c r="E35" s="300" t="s">
        <v>181</v>
      </c>
      <c r="F35" s="301"/>
      <c r="G35" s="302"/>
      <c r="H35" s="288"/>
      <c r="I35" s="289"/>
      <c r="J35" s="290"/>
      <c r="K35" s="288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  <c r="DK35" s="291"/>
      <c r="DL35" s="291"/>
      <c r="DM35" s="291"/>
      <c r="DN35" s="291"/>
      <c r="DO35" s="291"/>
      <c r="DP35" s="291"/>
      <c r="DQ35" s="291"/>
      <c r="DR35" s="291"/>
      <c r="DS35" s="291"/>
      <c r="DT35" s="291"/>
      <c r="DU35" s="291"/>
      <c r="DV35" s="291"/>
      <c r="DW35" s="291"/>
      <c r="DX35" s="291"/>
      <c r="DY35" s="291"/>
      <c r="DZ35" s="291"/>
      <c r="EA35" s="291"/>
      <c r="EB35" s="291"/>
      <c r="EC35" s="291"/>
      <c r="ED35" s="291"/>
      <c r="EE35" s="291"/>
      <c r="EF35" s="291"/>
      <c r="EG35" s="291"/>
      <c r="EH35" s="291"/>
      <c r="EI35" s="291"/>
      <c r="EJ35" s="291"/>
      <c r="EK35" s="291"/>
      <c r="EL35" s="291"/>
      <c r="EM35" s="291"/>
      <c r="EN35" s="291"/>
      <c r="EO35" s="291"/>
      <c r="EP35" s="291"/>
      <c r="EQ35" s="291"/>
      <c r="ER35" s="291"/>
      <c r="ES35" s="291"/>
      <c r="ET35" s="291"/>
      <c r="EU35" s="291"/>
      <c r="EV35" s="291"/>
      <c r="EW35" s="291"/>
      <c r="EX35" s="291"/>
      <c r="EY35" s="291"/>
      <c r="EZ35" s="291"/>
      <c r="FA35" s="291"/>
      <c r="FB35" s="291"/>
      <c r="FC35" s="291"/>
      <c r="FD35" s="291"/>
      <c r="FE35" s="291"/>
      <c r="FF35" s="291"/>
      <c r="FG35" s="291"/>
      <c r="FH35" s="291"/>
      <c r="FI35" s="291"/>
      <c r="FJ35" s="291"/>
      <c r="FK35" s="291"/>
      <c r="FL35" s="291"/>
      <c r="FM35" s="291"/>
      <c r="FN35" s="291"/>
      <c r="FO35" s="291"/>
      <c r="FP35" s="291"/>
      <c r="FQ35" s="291"/>
      <c r="FR35" s="291"/>
      <c r="FS35" s="291"/>
      <c r="FT35" s="291"/>
      <c r="FU35" s="291"/>
      <c r="FV35" s="291"/>
      <c r="FW35" s="291"/>
      <c r="FX35" s="291"/>
      <c r="FY35" s="291"/>
      <c r="FZ35" s="291"/>
      <c r="GA35" s="291"/>
      <c r="GB35" s="291"/>
      <c r="GC35" s="291"/>
      <c r="GD35" s="291"/>
      <c r="GE35" s="291"/>
      <c r="GF35" s="291"/>
      <c r="GG35" s="291"/>
      <c r="GH35" s="291"/>
      <c r="GI35" s="291"/>
      <c r="GJ35" s="291"/>
      <c r="GK35" s="291"/>
      <c r="GL35" s="291"/>
      <c r="GM35" s="291"/>
      <c r="GN35" s="291"/>
      <c r="GO35" s="291"/>
      <c r="GP35" s="291"/>
      <c r="GQ35" s="291"/>
      <c r="GR35" s="291"/>
      <c r="GS35" s="291"/>
      <c r="GT35" s="291"/>
      <c r="GU35" s="291"/>
      <c r="GV35" s="291"/>
      <c r="GW35" s="291"/>
      <c r="GX35" s="291"/>
      <c r="GY35" s="291"/>
      <c r="GZ35" s="291"/>
      <c r="HA35" s="291"/>
      <c r="HB35" s="291"/>
      <c r="HC35" s="291"/>
      <c r="HD35" s="291"/>
      <c r="HE35" s="291"/>
      <c r="HF35" s="291"/>
      <c r="HG35" s="291"/>
      <c r="HH35" s="291"/>
      <c r="HI35" s="291"/>
      <c r="HJ35" s="291"/>
      <c r="HK35" s="291"/>
      <c r="HL35" s="291"/>
      <c r="HM35" s="291"/>
      <c r="HN35" s="291"/>
      <c r="HO35" s="291"/>
      <c r="HP35" s="291"/>
      <c r="HQ35" s="291"/>
      <c r="HR35" s="291"/>
      <c r="HS35" s="291"/>
      <c r="HT35" s="291"/>
      <c r="HU35" s="291"/>
      <c r="HV35" s="291"/>
      <c r="HW35" s="291"/>
      <c r="HX35" s="291"/>
      <c r="HY35" s="291"/>
      <c r="HZ35" s="291"/>
      <c r="IA35" s="291"/>
      <c r="IB35" s="291"/>
      <c r="IC35" s="291"/>
      <c r="ID35" s="291"/>
      <c r="IE35" s="291"/>
      <c r="IF35" s="291"/>
      <c r="IG35" s="291"/>
      <c r="IH35" s="291"/>
      <c r="II35" s="291"/>
      <c r="IJ35" s="291"/>
      <c r="IK35" s="291"/>
      <c r="IL35" s="291"/>
      <c r="IM35" s="291"/>
      <c r="IN35" s="291"/>
      <c r="IO35" s="291"/>
      <c r="IP35" s="291"/>
      <c r="IQ35" s="291"/>
      <c r="IR35" s="291"/>
      <c r="IS35" s="291"/>
      <c r="IT35" s="291"/>
      <c r="IU35" s="291"/>
      <c r="IV35" s="291"/>
      <c r="IW35" s="291"/>
    </row>
    <row r="36" customFormat="false" ht="12.75" hidden="false" customHeight="false" outlineLevel="2" collapsed="false">
      <c r="A36" s="2" t="str">
        <f aca="false">B36&amp;C36&amp;D36</f>
        <v>O&amp;M Mobilization BudgetOperating ExpensesRelocation Expenses</v>
      </c>
      <c r="B36" s="2" t="s">
        <v>413</v>
      </c>
      <c r="C36" s="2" t="s">
        <v>414</v>
      </c>
      <c r="D36" s="2" t="s">
        <v>181</v>
      </c>
      <c r="E36" s="292" t="s">
        <v>458</v>
      </c>
      <c r="F36" s="78" t="s">
        <v>459</v>
      </c>
      <c r="G36" s="78"/>
      <c r="H36" s="295" t="n">
        <f aca="false">Plant_Staff!H10*0.25</f>
        <v>21750</v>
      </c>
      <c r="I36" s="309" t="n">
        <v>0</v>
      </c>
      <c r="J36" s="295" t="n">
        <f aca="false">H36-K36</f>
        <v>21750</v>
      </c>
      <c r="K36" s="295"/>
      <c r="M36" s="2"/>
      <c r="N36" s="2"/>
    </row>
    <row r="37" customFormat="false" ht="12.75" hidden="true" customHeight="false" outlineLevel="2" collapsed="false">
      <c r="E37" s="292" t="s">
        <v>460</v>
      </c>
      <c r="F37" s="78" t="s">
        <v>461</v>
      </c>
      <c r="G37" s="78"/>
      <c r="H37" s="293"/>
      <c r="I37" s="294" t="n">
        <v>1</v>
      </c>
      <c r="J37" s="295" t="n">
        <f aca="false">I37*H37</f>
        <v>0</v>
      </c>
      <c r="K37" s="295" t="n">
        <f aca="false">H37-J37</f>
        <v>0</v>
      </c>
      <c r="M37" s="2"/>
      <c r="N37" s="2"/>
    </row>
    <row r="38" customFormat="false" ht="12.75" hidden="true" customHeight="false" outlineLevel="2" collapsed="false">
      <c r="E38" s="292" t="s">
        <v>462</v>
      </c>
      <c r="F38" s="78" t="s">
        <v>461</v>
      </c>
      <c r="G38" s="78"/>
      <c r="H38" s="293"/>
      <c r="I38" s="294" t="n">
        <v>0</v>
      </c>
      <c r="J38" s="295" t="n">
        <f aca="false">I38*H38</f>
        <v>0</v>
      </c>
      <c r="K38" s="295" t="n">
        <f aca="false">H38-J38</f>
        <v>0</v>
      </c>
      <c r="M38" s="2"/>
      <c r="N38" s="2"/>
    </row>
    <row r="39" customFormat="false" ht="12.75" hidden="true" customHeight="false" outlineLevel="2" collapsed="false">
      <c r="E39" s="292" t="s">
        <v>463</v>
      </c>
      <c r="F39" s="78"/>
      <c r="G39" s="78"/>
      <c r="H39" s="293"/>
      <c r="I39" s="294" t="n">
        <v>1</v>
      </c>
      <c r="J39" s="295" t="n">
        <f aca="false">I39*H39</f>
        <v>0</v>
      </c>
      <c r="K39" s="295" t="n">
        <f aca="false">H39-J39</f>
        <v>0</v>
      </c>
      <c r="M39" s="2"/>
      <c r="N39" s="2"/>
    </row>
    <row r="40" customFormat="false" ht="12.75" hidden="true" customHeight="false" outlineLevel="2" collapsed="false">
      <c r="E40" s="292" t="s">
        <v>464</v>
      </c>
      <c r="F40" s="78" t="s">
        <v>465</v>
      </c>
      <c r="G40" s="78"/>
      <c r="H40" s="293"/>
      <c r="I40" s="294" t="n">
        <v>1</v>
      </c>
      <c r="J40" s="295" t="n">
        <f aca="false">I40*H40</f>
        <v>0</v>
      </c>
      <c r="K40" s="295" t="n">
        <f aca="false">H40-J40</f>
        <v>0</v>
      </c>
      <c r="M40" s="2"/>
      <c r="N40" s="2"/>
    </row>
    <row r="41" customFormat="false" ht="12.75" hidden="false" customHeight="false" outlineLevel="2" collapsed="false">
      <c r="E41" s="292"/>
      <c r="F41" s="78"/>
      <c r="G41" s="78"/>
      <c r="H41" s="295"/>
      <c r="I41" s="309"/>
      <c r="J41" s="295"/>
      <c r="K41" s="295"/>
      <c r="M41" s="2"/>
      <c r="N41" s="2"/>
    </row>
    <row r="42" customFormat="false" ht="12.75" hidden="false" customHeight="false" outlineLevel="1" collapsed="false">
      <c r="A42" s="291" t="s">
        <v>466</v>
      </c>
      <c r="B42" s="291" t="s">
        <v>413</v>
      </c>
      <c r="C42" s="291" t="s">
        <v>414</v>
      </c>
      <c r="D42" s="291" t="s">
        <v>181</v>
      </c>
      <c r="E42" s="292"/>
      <c r="F42" s="78"/>
      <c r="G42" s="297" t="s">
        <v>431</v>
      </c>
      <c r="H42" s="298" t="n">
        <f aca="false">SUBTOTAL(9,H36:H41)</f>
        <v>21750</v>
      </c>
      <c r="I42" s="299"/>
      <c r="J42" s="298" t="n">
        <f aca="false">SUBTOTAL(9,J36:J41)</f>
        <v>21750</v>
      </c>
      <c r="K42" s="298" t="n">
        <f aca="false">SUBTOTAL(9,K36:K41)</f>
        <v>0</v>
      </c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1"/>
      <c r="DZ42" s="291"/>
      <c r="EA42" s="291"/>
      <c r="EB42" s="291"/>
      <c r="EC42" s="291"/>
      <c r="ED42" s="291"/>
      <c r="EE42" s="291"/>
      <c r="EF42" s="291"/>
      <c r="EG42" s="291"/>
      <c r="EH42" s="291"/>
      <c r="EI42" s="291"/>
      <c r="EJ42" s="291"/>
      <c r="EK42" s="291"/>
      <c r="EL42" s="291"/>
      <c r="EM42" s="291"/>
      <c r="EN42" s="291"/>
      <c r="EO42" s="291"/>
      <c r="EP42" s="291"/>
      <c r="EQ42" s="291"/>
      <c r="ER42" s="291"/>
      <c r="ES42" s="291"/>
      <c r="ET42" s="291"/>
      <c r="EU42" s="291"/>
      <c r="EV42" s="291"/>
      <c r="EW42" s="291"/>
      <c r="EX42" s="291"/>
      <c r="EY42" s="291"/>
      <c r="EZ42" s="291"/>
      <c r="FA42" s="291"/>
      <c r="FB42" s="291"/>
      <c r="FC42" s="291"/>
      <c r="FD42" s="291"/>
      <c r="FE42" s="291"/>
      <c r="FF42" s="291"/>
      <c r="FG42" s="291"/>
      <c r="FH42" s="291"/>
      <c r="FI42" s="291"/>
      <c r="FJ42" s="291"/>
      <c r="FK42" s="291"/>
      <c r="FL42" s="291"/>
      <c r="FM42" s="291"/>
      <c r="FN42" s="291"/>
      <c r="FO42" s="291"/>
      <c r="FP42" s="291"/>
      <c r="FQ42" s="291"/>
      <c r="FR42" s="291"/>
      <c r="FS42" s="291"/>
      <c r="FT42" s="291"/>
      <c r="FU42" s="291"/>
      <c r="FV42" s="291"/>
      <c r="FW42" s="291"/>
      <c r="FX42" s="291"/>
      <c r="FY42" s="291"/>
      <c r="FZ42" s="291"/>
      <c r="GA42" s="291"/>
      <c r="GB42" s="291"/>
      <c r="GC42" s="291"/>
      <c r="GD42" s="291"/>
      <c r="GE42" s="291"/>
      <c r="GF42" s="291"/>
      <c r="GG42" s="291"/>
      <c r="GH42" s="291"/>
      <c r="GI42" s="291"/>
      <c r="GJ42" s="291"/>
      <c r="GK42" s="291"/>
      <c r="GL42" s="291"/>
      <c r="GM42" s="291"/>
      <c r="GN42" s="291"/>
      <c r="GO42" s="291"/>
      <c r="GP42" s="291"/>
      <c r="GQ42" s="291"/>
      <c r="GR42" s="291"/>
      <c r="GS42" s="291"/>
      <c r="GT42" s="291"/>
      <c r="GU42" s="291"/>
      <c r="GV42" s="291"/>
      <c r="GW42" s="291"/>
      <c r="GX42" s="291"/>
      <c r="GY42" s="291"/>
      <c r="GZ42" s="291"/>
      <c r="HA42" s="291"/>
      <c r="HB42" s="291"/>
      <c r="HC42" s="291"/>
      <c r="HD42" s="291"/>
      <c r="HE42" s="291"/>
      <c r="HF42" s="291"/>
      <c r="HG42" s="291"/>
      <c r="HH42" s="291"/>
      <c r="HI42" s="291"/>
      <c r="HJ42" s="291"/>
      <c r="HK42" s="291"/>
      <c r="HL42" s="291"/>
      <c r="HM42" s="291"/>
      <c r="HN42" s="291"/>
      <c r="HO42" s="291"/>
      <c r="HP42" s="291"/>
      <c r="HQ42" s="291"/>
      <c r="HR42" s="291"/>
      <c r="HS42" s="291"/>
      <c r="HT42" s="291"/>
      <c r="HU42" s="291"/>
      <c r="HV42" s="291"/>
      <c r="HW42" s="291"/>
      <c r="HX42" s="291"/>
      <c r="HY42" s="291"/>
      <c r="HZ42" s="291"/>
      <c r="IA42" s="291"/>
      <c r="IB42" s="291"/>
      <c r="IC42" s="291"/>
      <c r="ID42" s="291"/>
      <c r="IE42" s="291"/>
      <c r="IF42" s="291"/>
      <c r="IG42" s="291"/>
      <c r="IH42" s="291"/>
      <c r="II42" s="291"/>
      <c r="IJ42" s="291"/>
      <c r="IK42" s="291"/>
      <c r="IL42" s="291"/>
      <c r="IM42" s="291"/>
      <c r="IN42" s="291"/>
      <c r="IO42" s="291"/>
      <c r="IP42" s="291"/>
      <c r="IQ42" s="291"/>
      <c r="IR42" s="291"/>
      <c r="IS42" s="291"/>
      <c r="IT42" s="291"/>
      <c r="IU42" s="291"/>
      <c r="IV42" s="291"/>
      <c r="IW42" s="291"/>
    </row>
    <row r="43" customFormat="false" ht="12.75" hidden="false" customHeight="false" outlineLevel="1" collapsed="false">
      <c r="A43" s="2" t="s">
        <v>467</v>
      </c>
      <c r="B43" s="2" t="s">
        <v>413</v>
      </c>
      <c r="C43" s="2" t="s">
        <v>414</v>
      </c>
      <c r="D43" s="2" t="s">
        <v>182</v>
      </c>
      <c r="E43" s="300" t="s">
        <v>182</v>
      </c>
      <c r="F43" s="301"/>
      <c r="G43" s="302"/>
      <c r="H43" s="288"/>
      <c r="I43" s="289"/>
      <c r="J43" s="288"/>
      <c r="K43" s="288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  <c r="DK43" s="291"/>
      <c r="DL43" s="291"/>
      <c r="DM43" s="291"/>
      <c r="DN43" s="291"/>
      <c r="DO43" s="291"/>
      <c r="DP43" s="291"/>
      <c r="DQ43" s="291"/>
      <c r="DR43" s="291"/>
      <c r="DS43" s="291"/>
      <c r="DT43" s="291"/>
      <c r="DU43" s="291"/>
      <c r="DV43" s="291"/>
      <c r="DW43" s="291"/>
      <c r="DX43" s="291"/>
      <c r="DY43" s="291"/>
      <c r="DZ43" s="291"/>
      <c r="EA43" s="291"/>
      <c r="EB43" s="291"/>
      <c r="EC43" s="291"/>
      <c r="ED43" s="291"/>
      <c r="EE43" s="291"/>
      <c r="EF43" s="291"/>
      <c r="EG43" s="291"/>
      <c r="EH43" s="291"/>
      <c r="EI43" s="291"/>
      <c r="EJ43" s="291"/>
      <c r="EK43" s="291"/>
      <c r="EL43" s="291"/>
      <c r="EM43" s="291"/>
      <c r="EN43" s="291"/>
      <c r="EO43" s="291"/>
      <c r="EP43" s="291"/>
      <c r="EQ43" s="291"/>
      <c r="ER43" s="291"/>
      <c r="ES43" s="291"/>
      <c r="ET43" s="291"/>
      <c r="EU43" s="291"/>
      <c r="EV43" s="291"/>
      <c r="EW43" s="291"/>
      <c r="EX43" s="291"/>
      <c r="EY43" s="291"/>
      <c r="EZ43" s="291"/>
      <c r="FA43" s="291"/>
      <c r="FB43" s="291"/>
      <c r="FC43" s="291"/>
      <c r="FD43" s="291"/>
      <c r="FE43" s="291"/>
      <c r="FF43" s="291"/>
      <c r="FG43" s="291"/>
      <c r="FH43" s="291"/>
      <c r="FI43" s="291"/>
      <c r="FJ43" s="291"/>
      <c r="FK43" s="291"/>
      <c r="FL43" s="291"/>
      <c r="FM43" s="291"/>
      <c r="FN43" s="291"/>
      <c r="FO43" s="291"/>
      <c r="FP43" s="291"/>
      <c r="FQ43" s="291"/>
      <c r="FR43" s="291"/>
      <c r="FS43" s="291"/>
      <c r="FT43" s="291"/>
      <c r="FU43" s="291"/>
      <c r="FV43" s="291"/>
      <c r="FW43" s="291"/>
      <c r="FX43" s="291"/>
      <c r="FY43" s="291"/>
      <c r="FZ43" s="291"/>
      <c r="GA43" s="291"/>
      <c r="GB43" s="291"/>
      <c r="GC43" s="291"/>
      <c r="GD43" s="291"/>
      <c r="GE43" s="291"/>
      <c r="GF43" s="291"/>
      <c r="GG43" s="291"/>
      <c r="GH43" s="291"/>
      <c r="GI43" s="291"/>
      <c r="GJ43" s="291"/>
      <c r="GK43" s="291"/>
      <c r="GL43" s="291"/>
      <c r="GM43" s="291"/>
      <c r="GN43" s="291"/>
      <c r="GO43" s="291"/>
      <c r="GP43" s="291"/>
      <c r="GQ43" s="291"/>
      <c r="GR43" s="291"/>
      <c r="GS43" s="291"/>
      <c r="GT43" s="291"/>
      <c r="GU43" s="291"/>
      <c r="GV43" s="291"/>
      <c r="GW43" s="291"/>
      <c r="GX43" s="291"/>
      <c r="GY43" s="291"/>
      <c r="GZ43" s="291"/>
      <c r="HA43" s="291"/>
      <c r="HB43" s="291"/>
      <c r="HC43" s="291"/>
      <c r="HD43" s="291"/>
      <c r="HE43" s="291"/>
      <c r="HF43" s="291"/>
      <c r="HG43" s="291"/>
      <c r="HH43" s="291"/>
      <c r="HI43" s="291"/>
      <c r="HJ43" s="291"/>
      <c r="HK43" s="291"/>
      <c r="HL43" s="291"/>
      <c r="HM43" s="291"/>
      <c r="HN43" s="291"/>
      <c r="HO43" s="291"/>
      <c r="HP43" s="291"/>
      <c r="HQ43" s="291"/>
      <c r="HR43" s="291"/>
      <c r="HS43" s="291"/>
      <c r="HT43" s="291"/>
      <c r="HU43" s="291"/>
      <c r="HV43" s="291"/>
      <c r="HW43" s="291"/>
      <c r="HX43" s="291"/>
      <c r="HY43" s="291"/>
      <c r="HZ43" s="291"/>
      <c r="IA43" s="291"/>
      <c r="IB43" s="291"/>
      <c r="IC43" s="291"/>
      <c r="ID43" s="291"/>
      <c r="IE43" s="291"/>
      <c r="IF43" s="291"/>
      <c r="IG43" s="291"/>
      <c r="IH43" s="291"/>
      <c r="II43" s="291"/>
      <c r="IJ43" s="291"/>
      <c r="IK43" s="291"/>
      <c r="IL43" s="291"/>
      <c r="IM43" s="291"/>
      <c r="IN43" s="291"/>
      <c r="IO43" s="291"/>
      <c r="IP43" s="291"/>
      <c r="IQ43" s="291"/>
      <c r="IR43" s="291"/>
      <c r="IS43" s="291"/>
      <c r="IT43" s="291"/>
      <c r="IU43" s="291"/>
      <c r="IV43" s="291"/>
      <c r="IW43" s="291"/>
    </row>
    <row r="44" customFormat="false" ht="12.75" hidden="false" customHeight="false" outlineLevel="2" collapsed="false">
      <c r="A44" s="2" t="str">
        <f aca="false">B44&amp;C44&amp;D44</f>
        <v>O&amp;M Mobilization BudgetOperating ExpensesOutside Services</v>
      </c>
      <c r="B44" s="2" t="s">
        <v>413</v>
      </c>
      <c r="C44" s="2" t="s">
        <v>414</v>
      </c>
      <c r="D44" s="2" t="s">
        <v>182</v>
      </c>
      <c r="E44" s="292" t="s">
        <v>468</v>
      </c>
      <c r="F44" s="78" t="s">
        <v>469</v>
      </c>
      <c r="G44" s="78"/>
      <c r="H44" s="293"/>
      <c r="I44" s="294" t="n">
        <v>1</v>
      </c>
      <c r="J44" s="295" t="n">
        <f aca="false">I44*H44</f>
        <v>0</v>
      </c>
      <c r="K44" s="295" t="n">
        <f aca="false">H44-J44</f>
        <v>0</v>
      </c>
      <c r="M44" s="2"/>
      <c r="N44" s="2"/>
    </row>
    <row r="45" customFormat="false" ht="12.75" hidden="false" customHeight="false" outlineLevel="2" collapsed="false">
      <c r="E45" s="292" t="s">
        <v>470</v>
      </c>
      <c r="F45" s="78" t="s">
        <v>469</v>
      </c>
      <c r="G45" s="78"/>
      <c r="H45" s="293"/>
      <c r="I45" s="294" t="n">
        <v>1</v>
      </c>
      <c r="J45" s="295" t="n">
        <f aca="false">I45*H45</f>
        <v>0</v>
      </c>
      <c r="K45" s="295" t="n">
        <f aca="false">H45-J45</f>
        <v>0</v>
      </c>
      <c r="M45" s="2"/>
      <c r="N45" s="2"/>
    </row>
    <row r="46" customFormat="false" ht="12.75" hidden="false" customHeight="false" outlineLevel="2" collapsed="false">
      <c r="A46" s="2" t="str">
        <f aca="false">B46&amp;C46&amp;D46</f>
        <v>O&amp;M Mobilization BudgetOperating ExpensesOutside Services</v>
      </c>
      <c r="B46" s="2" t="s">
        <v>413</v>
      </c>
      <c r="C46" s="2" t="s">
        <v>414</v>
      </c>
      <c r="D46" s="2" t="s">
        <v>182</v>
      </c>
      <c r="E46" s="292" t="s">
        <v>471</v>
      </c>
      <c r="F46" s="78" t="s">
        <v>472</v>
      </c>
      <c r="G46" s="78"/>
      <c r="H46" s="293" t="n">
        <v>4000</v>
      </c>
      <c r="I46" s="294" t="n">
        <v>1</v>
      </c>
      <c r="J46" s="295" t="n">
        <f aca="false">I46*H46</f>
        <v>4000</v>
      </c>
      <c r="K46" s="295" t="n">
        <f aca="false">H46-J46</f>
        <v>0</v>
      </c>
      <c r="M46" s="2"/>
      <c r="N46" s="2"/>
    </row>
    <row r="47" customFormat="false" ht="12.75" hidden="false" customHeight="false" outlineLevel="2" collapsed="false">
      <c r="A47" s="2" t="str">
        <f aca="false">B47&amp;C47&amp;D47</f>
        <v>O&amp;M Mobilization BudgetOperating ExpensesOutside Services</v>
      </c>
      <c r="B47" s="2" t="s">
        <v>413</v>
      </c>
      <c r="C47" s="2" t="s">
        <v>414</v>
      </c>
      <c r="D47" s="2" t="s">
        <v>182</v>
      </c>
      <c r="E47" s="292" t="s">
        <v>473</v>
      </c>
      <c r="F47" s="78" t="s">
        <v>474</v>
      </c>
      <c r="G47" s="78"/>
      <c r="H47" s="293" t="n">
        <v>0</v>
      </c>
      <c r="I47" s="294" t="n">
        <v>1</v>
      </c>
      <c r="J47" s="295" t="n">
        <f aca="false">I47*H47</f>
        <v>0</v>
      </c>
      <c r="K47" s="295" t="n">
        <f aca="false">H47-J47</f>
        <v>0</v>
      </c>
      <c r="M47" s="2"/>
      <c r="N47" s="2"/>
    </row>
    <row r="48" customFormat="false" ht="12.75" hidden="false" customHeight="false" outlineLevel="2" collapsed="false">
      <c r="A48" s="2" t="str">
        <f aca="false">B48&amp;C48&amp;D48</f>
        <v>O&amp;M Mobilization BudgetOperating ExpensesOutside Services</v>
      </c>
      <c r="B48" s="2" t="s">
        <v>413</v>
      </c>
      <c r="C48" s="2" t="s">
        <v>414</v>
      </c>
      <c r="D48" s="2" t="s">
        <v>182</v>
      </c>
      <c r="E48" s="292" t="s">
        <v>475</v>
      </c>
      <c r="F48" s="78" t="s">
        <v>474</v>
      </c>
      <c r="G48" s="78"/>
      <c r="H48" s="293" t="n">
        <v>0</v>
      </c>
      <c r="I48" s="294" t="n">
        <v>1</v>
      </c>
      <c r="J48" s="295" t="n">
        <f aca="false">I48*H48</f>
        <v>0</v>
      </c>
      <c r="K48" s="295" t="n">
        <f aca="false">H48-J48</f>
        <v>0</v>
      </c>
      <c r="M48" s="2"/>
      <c r="N48" s="2"/>
    </row>
    <row r="49" customFormat="false" ht="12.75" hidden="false" customHeight="false" outlineLevel="2" collapsed="false">
      <c r="A49" s="2" t="str">
        <f aca="false">B49&amp;C49&amp;D49</f>
        <v>O&amp;M Mobilization BudgetOperating ExpensesOutside Services</v>
      </c>
      <c r="B49" s="2" t="s">
        <v>413</v>
      </c>
      <c r="C49" s="2" t="s">
        <v>414</v>
      </c>
      <c r="D49" s="2" t="s">
        <v>182</v>
      </c>
      <c r="E49" s="292" t="s">
        <v>476</v>
      </c>
      <c r="F49" s="78" t="s">
        <v>474</v>
      </c>
      <c r="G49" s="78"/>
      <c r="H49" s="293" t="n">
        <v>0</v>
      </c>
      <c r="I49" s="294" t="n">
        <v>1</v>
      </c>
      <c r="J49" s="295" t="n">
        <f aca="false">I49*H49</f>
        <v>0</v>
      </c>
      <c r="K49" s="295" t="n">
        <f aca="false">H49-J49</f>
        <v>0</v>
      </c>
      <c r="M49" s="2"/>
      <c r="N49" s="2"/>
    </row>
    <row r="50" customFormat="false" ht="12.75" hidden="false" customHeight="false" outlineLevel="2" collapsed="false">
      <c r="A50" s="2" t="str">
        <f aca="false">B50&amp;C50&amp;D50</f>
        <v>O&amp;M Mobilization BudgetOperating ExpensesOutside Services</v>
      </c>
      <c r="B50" s="2" t="s">
        <v>413</v>
      </c>
      <c r="C50" s="2" t="s">
        <v>414</v>
      </c>
      <c r="D50" s="2" t="s">
        <v>182</v>
      </c>
      <c r="E50" s="292" t="s">
        <v>477</v>
      </c>
      <c r="F50" s="78" t="s">
        <v>478</v>
      </c>
      <c r="G50" s="78"/>
      <c r="H50" s="293" t="n">
        <v>3200</v>
      </c>
      <c r="I50" s="294" t="n">
        <v>1</v>
      </c>
      <c r="J50" s="295" t="n">
        <f aca="false">I50*H50</f>
        <v>3200</v>
      </c>
      <c r="K50" s="295" t="n">
        <f aca="false">H50-J50</f>
        <v>0</v>
      </c>
      <c r="M50" s="2"/>
      <c r="N50" s="2"/>
    </row>
    <row r="51" customFormat="false" ht="12.75" hidden="false" customHeight="false" outlineLevel="2" collapsed="false">
      <c r="A51" s="2" t="str">
        <f aca="false">B51&amp;C51&amp;D51</f>
        <v>O&amp;M Mobilization BudgetOperating ExpensesOutside Services</v>
      </c>
      <c r="B51" s="2" t="s">
        <v>413</v>
      </c>
      <c r="C51" s="2" t="s">
        <v>414</v>
      </c>
      <c r="D51" s="2" t="s">
        <v>182</v>
      </c>
      <c r="E51" s="292" t="s">
        <v>479</v>
      </c>
      <c r="F51" s="78" t="s">
        <v>478</v>
      </c>
      <c r="G51" s="78"/>
      <c r="H51" s="293" t="n">
        <v>3200</v>
      </c>
      <c r="I51" s="294" t="n">
        <v>1</v>
      </c>
      <c r="J51" s="295" t="n">
        <f aca="false">I51*H51</f>
        <v>3200</v>
      </c>
      <c r="K51" s="295" t="n">
        <f aca="false">H51-J51</f>
        <v>0</v>
      </c>
      <c r="M51" s="2"/>
      <c r="N51" s="2"/>
    </row>
    <row r="52" customFormat="false" ht="12.75" hidden="false" customHeight="false" outlineLevel="2" collapsed="false">
      <c r="E52" s="292" t="s">
        <v>480</v>
      </c>
      <c r="F52" s="78" t="s">
        <v>478</v>
      </c>
      <c r="G52" s="78"/>
      <c r="H52" s="293" t="n">
        <v>3200</v>
      </c>
      <c r="I52" s="294" t="n">
        <v>1</v>
      </c>
      <c r="J52" s="295" t="n">
        <f aca="false">I52*H52</f>
        <v>3200</v>
      </c>
      <c r="K52" s="295" t="n">
        <f aca="false">H52-J52</f>
        <v>0</v>
      </c>
      <c r="M52" s="2"/>
      <c r="N52" s="2"/>
    </row>
    <row r="53" customFormat="false" ht="12.75" hidden="false" customHeight="false" outlineLevel="2" collapsed="false">
      <c r="E53" s="292" t="s">
        <v>481</v>
      </c>
      <c r="F53" s="78" t="s">
        <v>482</v>
      </c>
      <c r="G53" s="78"/>
      <c r="H53" s="293" t="n">
        <v>7200</v>
      </c>
      <c r="I53" s="294" t="n">
        <v>1</v>
      </c>
      <c r="J53" s="295" t="n">
        <f aca="false">I53*H53</f>
        <v>7200</v>
      </c>
      <c r="K53" s="295" t="n">
        <f aca="false">H53-J53</f>
        <v>0</v>
      </c>
      <c r="M53" s="2"/>
      <c r="N53" s="2"/>
    </row>
    <row r="54" customFormat="false" ht="12.75" hidden="false" customHeight="false" outlineLevel="2" collapsed="false">
      <c r="A54" s="2" t="str">
        <f aca="false">B54&amp;C54&amp;D54</f>
        <v>O&amp;M Mobilization BudgetOperating ExpensesOutside Services</v>
      </c>
      <c r="B54" s="2" t="s">
        <v>413</v>
      </c>
      <c r="C54" s="2" t="s">
        <v>414</v>
      </c>
      <c r="D54" s="2" t="s">
        <v>182</v>
      </c>
      <c r="E54" s="292" t="s">
        <v>483</v>
      </c>
      <c r="F54" s="78" t="s">
        <v>469</v>
      </c>
      <c r="G54" s="78"/>
      <c r="H54" s="293"/>
      <c r="I54" s="294" t="n">
        <v>1</v>
      </c>
      <c r="J54" s="295" t="n">
        <f aca="false">I54*H54</f>
        <v>0</v>
      </c>
      <c r="K54" s="295" t="n">
        <f aca="false">H54-J54</f>
        <v>0</v>
      </c>
      <c r="M54" s="2"/>
      <c r="N54" s="2"/>
    </row>
    <row r="55" customFormat="false" ht="12.75" hidden="false" customHeight="false" outlineLevel="2" collapsed="false">
      <c r="E55" s="292" t="s">
        <v>484</v>
      </c>
      <c r="F55" s="78" t="s">
        <v>469</v>
      </c>
      <c r="G55" s="78"/>
      <c r="H55" s="293"/>
      <c r="I55" s="294" t="n">
        <v>1</v>
      </c>
      <c r="J55" s="295" t="n">
        <f aca="false">I55*H55</f>
        <v>0</v>
      </c>
      <c r="K55" s="295" t="n">
        <f aca="false">H55-J55</f>
        <v>0</v>
      </c>
      <c r="M55" s="2"/>
      <c r="N55" s="2"/>
    </row>
    <row r="56" customFormat="false" ht="12.75" hidden="false" customHeight="false" outlineLevel="2" collapsed="false">
      <c r="A56" s="2" t="str">
        <f aca="false">B56&amp;C56&amp;D56</f>
        <v>O&amp;M Mobilization BudgetOperating ExpensesOutside Services</v>
      </c>
      <c r="B56" s="2" t="s">
        <v>413</v>
      </c>
      <c r="C56" s="2" t="s">
        <v>414</v>
      </c>
      <c r="D56" s="2" t="s">
        <v>182</v>
      </c>
      <c r="E56" s="292" t="s">
        <v>485</v>
      </c>
      <c r="F56" s="78" t="s">
        <v>486</v>
      </c>
      <c r="G56" s="78"/>
      <c r="H56" s="293" t="n">
        <v>20000</v>
      </c>
      <c r="I56" s="294" t="n">
        <v>1</v>
      </c>
      <c r="J56" s="295" t="n">
        <f aca="false">I56*H56</f>
        <v>20000</v>
      </c>
      <c r="K56" s="295" t="n">
        <f aca="false">H56-J56</f>
        <v>0</v>
      </c>
      <c r="M56" s="2"/>
      <c r="N56" s="2"/>
    </row>
    <row r="57" customFormat="false" ht="12.75" hidden="false" customHeight="false" outlineLevel="2" collapsed="false">
      <c r="A57" s="2" t="str">
        <f aca="false">B57&amp;C57&amp;D57</f>
        <v>O&amp;M Mobilization BudgetOperating ExpensesOutside Services</v>
      </c>
      <c r="B57" s="2" t="s">
        <v>413</v>
      </c>
      <c r="C57" s="2" t="s">
        <v>414</v>
      </c>
      <c r="D57" s="2" t="s">
        <v>182</v>
      </c>
      <c r="E57" s="292" t="s">
        <v>487</v>
      </c>
      <c r="F57" s="78"/>
      <c r="G57" s="78"/>
      <c r="H57" s="293" t="n">
        <v>3250</v>
      </c>
      <c r="I57" s="294" t="n">
        <v>1</v>
      </c>
      <c r="J57" s="295" t="n">
        <f aca="false">I57*H57</f>
        <v>3250</v>
      </c>
      <c r="K57" s="295" t="n">
        <f aca="false">H57-J57</f>
        <v>0</v>
      </c>
      <c r="M57" s="2"/>
      <c r="N57" s="2"/>
    </row>
    <row r="58" customFormat="false" ht="12.75" hidden="false" customHeight="false" outlineLevel="2" collapsed="false">
      <c r="A58" s="2" t="str">
        <f aca="false">B58&amp;C58&amp;D58</f>
        <v>O&amp;M Mobilization BudgetOperating ExpensesOutside Services</v>
      </c>
      <c r="B58" s="2" t="s">
        <v>413</v>
      </c>
      <c r="C58" s="2" t="s">
        <v>414</v>
      </c>
      <c r="D58" s="2" t="s">
        <v>182</v>
      </c>
      <c r="E58" s="292" t="s">
        <v>488</v>
      </c>
      <c r="F58" s="78"/>
      <c r="G58" s="78"/>
      <c r="H58" s="293"/>
      <c r="I58" s="294" t="n">
        <v>1</v>
      </c>
      <c r="J58" s="295" t="n">
        <f aca="false">I58*H58</f>
        <v>0</v>
      </c>
      <c r="K58" s="295" t="n">
        <f aca="false">H58-J58</f>
        <v>0</v>
      </c>
      <c r="M58" s="2"/>
      <c r="N58" s="2"/>
    </row>
    <row r="59" customFormat="false" ht="12.75" hidden="true" customHeight="false" outlineLevel="2" collapsed="false">
      <c r="E59" s="292"/>
      <c r="F59" s="78"/>
      <c r="G59" s="78"/>
      <c r="H59" s="293" t="n">
        <v>3200</v>
      </c>
      <c r="I59" s="294" t="n">
        <v>1</v>
      </c>
      <c r="J59" s="295" t="n">
        <f aca="false">I59*H59</f>
        <v>3200</v>
      </c>
      <c r="K59" s="295" t="n">
        <f aca="false">H59-J59</f>
        <v>0</v>
      </c>
      <c r="M59" s="2"/>
      <c r="N59" s="2"/>
    </row>
    <row r="60" customFormat="false" ht="12.75" hidden="true" customHeight="false" outlineLevel="2" collapsed="false">
      <c r="A60" s="2" t="str">
        <f aca="false">B60&amp;C60&amp;D60</f>
        <v>O&amp;M Mobilization BudgetOperating ExpensesOutside Services</v>
      </c>
      <c r="B60" s="2" t="s">
        <v>413</v>
      </c>
      <c r="C60" s="2" t="s">
        <v>414</v>
      </c>
      <c r="D60" s="2" t="s">
        <v>182</v>
      </c>
      <c r="E60" s="292"/>
      <c r="F60" s="78"/>
      <c r="G60" s="78"/>
      <c r="H60" s="293"/>
      <c r="I60" s="294" t="n">
        <v>1</v>
      </c>
      <c r="J60" s="295" t="n">
        <f aca="false">I60*H60</f>
        <v>0</v>
      </c>
      <c r="K60" s="295" t="n">
        <f aca="false">H60-J60</f>
        <v>0</v>
      </c>
      <c r="M60" s="2"/>
      <c r="N60" s="2"/>
    </row>
    <row r="61" customFormat="false" ht="12.75" hidden="true" customHeight="false" outlineLevel="2" collapsed="false">
      <c r="E61" s="292"/>
      <c r="F61" s="78"/>
      <c r="G61" s="78"/>
      <c r="H61" s="293"/>
      <c r="I61" s="294" t="n">
        <v>1</v>
      </c>
      <c r="J61" s="295" t="n">
        <f aca="false">I61*H61</f>
        <v>0</v>
      </c>
      <c r="K61" s="295" t="n">
        <f aca="false">H61-J61</f>
        <v>0</v>
      </c>
      <c r="M61" s="2"/>
      <c r="N61" s="2"/>
    </row>
    <row r="62" customFormat="false" ht="12.75" hidden="true" customHeight="false" outlineLevel="2" collapsed="false">
      <c r="E62" s="292"/>
      <c r="F62" s="78"/>
      <c r="G62" s="78"/>
      <c r="H62" s="293"/>
      <c r="I62" s="294" t="n">
        <v>1</v>
      </c>
      <c r="J62" s="295" t="n">
        <f aca="false">I62*H62</f>
        <v>0</v>
      </c>
      <c r="K62" s="295" t="n">
        <f aca="false">H62-J62</f>
        <v>0</v>
      </c>
      <c r="M62" s="2"/>
      <c r="N62" s="2"/>
    </row>
    <row r="63" customFormat="false" ht="12.75" hidden="true" customHeight="false" outlineLevel="2" collapsed="false">
      <c r="E63" s="292"/>
      <c r="F63" s="78"/>
      <c r="G63" s="78"/>
      <c r="H63" s="293"/>
      <c r="I63" s="294" t="n">
        <v>1</v>
      </c>
      <c r="J63" s="295" t="n">
        <f aca="false">I63*H63</f>
        <v>0</v>
      </c>
      <c r="K63" s="295" t="n">
        <f aca="false">H63-J63</f>
        <v>0</v>
      </c>
      <c r="M63" s="2"/>
      <c r="N63" s="2"/>
    </row>
    <row r="64" customFormat="false" ht="12.75" hidden="true" customHeight="false" outlineLevel="2" collapsed="false">
      <c r="E64" s="292"/>
      <c r="F64" s="78"/>
      <c r="G64" s="78"/>
      <c r="H64" s="293"/>
      <c r="I64" s="294" t="n">
        <v>1</v>
      </c>
      <c r="J64" s="295" t="n">
        <f aca="false">I64*H64</f>
        <v>0</v>
      </c>
      <c r="K64" s="295" t="n">
        <f aca="false">H64-J64</f>
        <v>0</v>
      </c>
      <c r="M64" s="2"/>
      <c r="N64" s="2"/>
    </row>
    <row r="65" customFormat="false" ht="12.75" hidden="true" customHeight="false" outlineLevel="2" collapsed="false">
      <c r="A65" s="2" t="str">
        <f aca="false">B65&amp;C65&amp;D65</f>
        <v>O&amp;M Mobilization BudgetOperating ExpensesOutside Services</v>
      </c>
      <c r="B65" s="2" t="s">
        <v>413</v>
      </c>
      <c r="C65" s="2" t="s">
        <v>414</v>
      </c>
      <c r="D65" s="2" t="s">
        <v>182</v>
      </c>
      <c r="E65" s="292"/>
      <c r="F65" s="78"/>
      <c r="G65" s="78"/>
      <c r="H65" s="293"/>
      <c r="I65" s="294" t="n">
        <v>1</v>
      </c>
      <c r="J65" s="295" t="n">
        <f aca="false">I65*H65</f>
        <v>0</v>
      </c>
      <c r="K65" s="295" t="n">
        <f aca="false">H65-J65</f>
        <v>0</v>
      </c>
      <c r="M65" s="2"/>
      <c r="N65" s="2"/>
    </row>
    <row r="66" customFormat="false" ht="12.75" hidden="false" customHeight="false" outlineLevel="2" collapsed="false">
      <c r="E66" s="292"/>
      <c r="F66" s="78"/>
      <c r="G66" s="78"/>
      <c r="H66" s="295"/>
      <c r="I66" s="309"/>
      <c r="J66" s="295"/>
      <c r="K66" s="295"/>
      <c r="M66" s="2"/>
      <c r="N66" s="2"/>
    </row>
    <row r="67" customFormat="false" ht="12.75" hidden="false" customHeight="false" outlineLevel="1" collapsed="false">
      <c r="A67" s="291" t="s">
        <v>489</v>
      </c>
      <c r="B67" s="291" t="s">
        <v>413</v>
      </c>
      <c r="C67" s="291" t="s">
        <v>414</v>
      </c>
      <c r="D67" s="291" t="s">
        <v>182</v>
      </c>
      <c r="E67" s="292" t="s">
        <v>490</v>
      </c>
      <c r="F67" s="78"/>
      <c r="G67" s="297" t="s">
        <v>431</v>
      </c>
      <c r="H67" s="298" t="n">
        <f aca="false">SUBTOTAL(9,H44:H66)</f>
        <v>47250</v>
      </c>
      <c r="I67" s="299"/>
      <c r="J67" s="298" t="n">
        <f aca="false">SUBTOTAL(9,J44:J66)</f>
        <v>47250</v>
      </c>
      <c r="K67" s="298" t="n">
        <f aca="false">SUBTOTAL(9,K44:K66)</f>
        <v>0</v>
      </c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  <c r="DJ67" s="291"/>
      <c r="DK67" s="291"/>
      <c r="DL67" s="291"/>
      <c r="DM67" s="291"/>
      <c r="DN67" s="291"/>
      <c r="DO67" s="291"/>
      <c r="DP67" s="291"/>
      <c r="DQ67" s="291"/>
      <c r="DR67" s="291"/>
      <c r="DS67" s="291"/>
      <c r="DT67" s="291"/>
      <c r="DU67" s="291"/>
      <c r="DV67" s="291"/>
      <c r="DW67" s="291"/>
      <c r="DX67" s="291"/>
      <c r="DY67" s="291"/>
      <c r="DZ67" s="291"/>
      <c r="EA67" s="291"/>
      <c r="EB67" s="291"/>
      <c r="EC67" s="291"/>
      <c r="ED67" s="291"/>
      <c r="EE67" s="291"/>
      <c r="EF67" s="291"/>
      <c r="EG67" s="291"/>
      <c r="EH67" s="291"/>
      <c r="EI67" s="291"/>
      <c r="EJ67" s="291"/>
      <c r="EK67" s="291"/>
      <c r="EL67" s="291"/>
      <c r="EM67" s="291"/>
      <c r="EN67" s="291"/>
      <c r="EO67" s="291"/>
      <c r="EP67" s="291"/>
      <c r="EQ67" s="291"/>
      <c r="ER67" s="291"/>
      <c r="ES67" s="291"/>
      <c r="ET67" s="291"/>
      <c r="EU67" s="291"/>
      <c r="EV67" s="291"/>
      <c r="EW67" s="291"/>
      <c r="EX67" s="291"/>
      <c r="EY67" s="291"/>
      <c r="EZ67" s="291"/>
      <c r="FA67" s="291"/>
      <c r="FB67" s="291"/>
      <c r="FC67" s="291"/>
      <c r="FD67" s="291"/>
      <c r="FE67" s="291"/>
      <c r="FF67" s="291"/>
      <c r="FG67" s="291"/>
      <c r="FH67" s="291"/>
      <c r="FI67" s="291"/>
      <c r="FJ67" s="291"/>
      <c r="FK67" s="291"/>
      <c r="FL67" s="291"/>
      <c r="FM67" s="291"/>
      <c r="FN67" s="291"/>
      <c r="FO67" s="291"/>
      <c r="FP67" s="291"/>
      <c r="FQ67" s="291"/>
      <c r="FR67" s="291"/>
      <c r="FS67" s="291"/>
      <c r="FT67" s="291"/>
      <c r="FU67" s="291"/>
      <c r="FV67" s="291"/>
      <c r="FW67" s="291"/>
      <c r="FX67" s="291"/>
      <c r="FY67" s="291"/>
      <c r="FZ67" s="291"/>
      <c r="GA67" s="291"/>
      <c r="GB67" s="291"/>
      <c r="GC67" s="291"/>
      <c r="GD67" s="291"/>
      <c r="GE67" s="291"/>
      <c r="GF67" s="291"/>
      <c r="GG67" s="291"/>
      <c r="GH67" s="291"/>
      <c r="GI67" s="291"/>
      <c r="GJ67" s="291"/>
      <c r="GK67" s="291"/>
      <c r="GL67" s="291"/>
      <c r="GM67" s="291"/>
      <c r="GN67" s="291"/>
      <c r="GO67" s="291"/>
      <c r="GP67" s="291"/>
      <c r="GQ67" s="291"/>
      <c r="GR67" s="291"/>
      <c r="GS67" s="291"/>
      <c r="GT67" s="291"/>
      <c r="GU67" s="291"/>
      <c r="GV67" s="291"/>
      <c r="GW67" s="291"/>
      <c r="GX67" s="291"/>
      <c r="GY67" s="291"/>
      <c r="GZ67" s="291"/>
      <c r="HA67" s="291"/>
      <c r="HB67" s="291"/>
      <c r="HC67" s="291"/>
      <c r="HD67" s="291"/>
      <c r="HE67" s="291"/>
      <c r="HF67" s="291"/>
      <c r="HG67" s="291"/>
      <c r="HH67" s="291"/>
      <c r="HI67" s="291"/>
      <c r="HJ67" s="291"/>
      <c r="HK67" s="291"/>
      <c r="HL67" s="291"/>
      <c r="HM67" s="291"/>
      <c r="HN67" s="291"/>
      <c r="HO67" s="291"/>
      <c r="HP67" s="291"/>
      <c r="HQ67" s="291"/>
      <c r="HR67" s="291"/>
      <c r="HS67" s="291"/>
      <c r="HT67" s="291"/>
      <c r="HU67" s="291"/>
      <c r="HV67" s="291"/>
      <c r="HW67" s="291"/>
      <c r="HX67" s="291"/>
      <c r="HY67" s="291"/>
      <c r="HZ67" s="291"/>
      <c r="IA67" s="291"/>
      <c r="IB67" s="291"/>
      <c r="IC67" s="291"/>
      <c r="ID67" s="291"/>
      <c r="IE67" s="291"/>
      <c r="IF67" s="291"/>
      <c r="IG67" s="291"/>
      <c r="IH67" s="291"/>
      <c r="II67" s="291"/>
      <c r="IJ67" s="291"/>
      <c r="IK67" s="291"/>
      <c r="IL67" s="291"/>
      <c r="IM67" s="291"/>
      <c r="IN67" s="291"/>
      <c r="IO67" s="291"/>
      <c r="IP67" s="291"/>
      <c r="IQ67" s="291"/>
      <c r="IR67" s="291"/>
      <c r="IS67" s="291"/>
      <c r="IT67" s="291"/>
      <c r="IU67" s="291"/>
      <c r="IV67" s="291"/>
      <c r="IW67" s="291"/>
    </row>
    <row r="68" customFormat="false" ht="12.75" hidden="false" customHeight="false" outlineLevel="1" collapsed="false">
      <c r="A68" s="2" t="s">
        <v>491</v>
      </c>
      <c r="B68" s="2" t="s">
        <v>413</v>
      </c>
      <c r="C68" s="2" t="s">
        <v>414</v>
      </c>
      <c r="D68" s="2" t="s">
        <v>183</v>
      </c>
      <c r="E68" s="300" t="s">
        <v>183</v>
      </c>
      <c r="F68" s="301"/>
      <c r="G68" s="302"/>
      <c r="H68" s="288"/>
      <c r="I68" s="289"/>
      <c r="J68" s="288"/>
      <c r="K68" s="288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  <c r="DJ68" s="291"/>
      <c r="DK68" s="291"/>
      <c r="DL68" s="291"/>
      <c r="DM68" s="291"/>
      <c r="DN68" s="291"/>
      <c r="DO68" s="291"/>
      <c r="DP68" s="291"/>
      <c r="DQ68" s="291"/>
      <c r="DR68" s="291"/>
      <c r="DS68" s="291"/>
      <c r="DT68" s="291"/>
      <c r="DU68" s="291"/>
      <c r="DV68" s="291"/>
      <c r="DW68" s="291"/>
      <c r="DX68" s="291"/>
      <c r="DY68" s="291"/>
      <c r="DZ68" s="291"/>
      <c r="EA68" s="291"/>
      <c r="EB68" s="291"/>
      <c r="EC68" s="291"/>
      <c r="ED68" s="291"/>
      <c r="EE68" s="291"/>
      <c r="EF68" s="291"/>
      <c r="EG68" s="291"/>
      <c r="EH68" s="291"/>
      <c r="EI68" s="291"/>
      <c r="EJ68" s="291"/>
      <c r="EK68" s="291"/>
      <c r="EL68" s="291"/>
      <c r="EM68" s="291"/>
      <c r="EN68" s="291"/>
      <c r="EO68" s="291"/>
      <c r="EP68" s="291"/>
      <c r="EQ68" s="291"/>
      <c r="ER68" s="291"/>
      <c r="ES68" s="291"/>
      <c r="ET68" s="291"/>
      <c r="EU68" s="291"/>
      <c r="EV68" s="291"/>
      <c r="EW68" s="291"/>
      <c r="EX68" s="291"/>
      <c r="EY68" s="291"/>
      <c r="EZ68" s="291"/>
      <c r="FA68" s="291"/>
      <c r="FB68" s="291"/>
      <c r="FC68" s="291"/>
      <c r="FD68" s="291"/>
      <c r="FE68" s="291"/>
      <c r="FF68" s="291"/>
      <c r="FG68" s="291"/>
      <c r="FH68" s="291"/>
      <c r="FI68" s="291"/>
      <c r="FJ68" s="291"/>
      <c r="FK68" s="291"/>
      <c r="FL68" s="291"/>
      <c r="FM68" s="291"/>
      <c r="FN68" s="291"/>
      <c r="FO68" s="291"/>
      <c r="FP68" s="291"/>
      <c r="FQ68" s="291"/>
      <c r="FR68" s="291"/>
      <c r="FS68" s="291"/>
      <c r="FT68" s="291"/>
      <c r="FU68" s="291"/>
      <c r="FV68" s="291"/>
      <c r="FW68" s="291"/>
      <c r="FX68" s="291"/>
      <c r="FY68" s="291"/>
      <c r="FZ68" s="291"/>
      <c r="GA68" s="291"/>
      <c r="GB68" s="291"/>
      <c r="GC68" s="291"/>
      <c r="GD68" s="291"/>
      <c r="GE68" s="291"/>
      <c r="GF68" s="291"/>
      <c r="GG68" s="291"/>
      <c r="GH68" s="291"/>
      <c r="GI68" s="291"/>
      <c r="GJ68" s="291"/>
      <c r="GK68" s="291"/>
      <c r="GL68" s="291"/>
      <c r="GM68" s="291"/>
      <c r="GN68" s="291"/>
      <c r="GO68" s="291"/>
      <c r="GP68" s="291"/>
      <c r="GQ68" s="291"/>
      <c r="GR68" s="291"/>
      <c r="GS68" s="291"/>
      <c r="GT68" s="291"/>
      <c r="GU68" s="291"/>
      <c r="GV68" s="291"/>
      <c r="GW68" s="291"/>
      <c r="GX68" s="291"/>
      <c r="GY68" s="291"/>
      <c r="GZ68" s="291"/>
      <c r="HA68" s="291"/>
      <c r="HB68" s="291"/>
      <c r="HC68" s="291"/>
      <c r="HD68" s="291"/>
      <c r="HE68" s="291"/>
      <c r="HF68" s="291"/>
      <c r="HG68" s="291"/>
      <c r="HH68" s="291"/>
      <c r="HI68" s="291"/>
      <c r="HJ68" s="291"/>
      <c r="HK68" s="291"/>
      <c r="HL68" s="291"/>
      <c r="HM68" s="291"/>
      <c r="HN68" s="291"/>
      <c r="HO68" s="291"/>
      <c r="HP68" s="291"/>
      <c r="HQ68" s="291"/>
      <c r="HR68" s="291"/>
      <c r="HS68" s="291"/>
      <c r="HT68" s="291"/>
      <c r="HU68" s="291"/>
      <c r="HV68" s="291"/>
      <c r="HW68" s="291"/>
      <c r="HX68" s="291"/>
      <c r="HY68" s="291"/>
      <c r="HZ68" s="291"/>
      <c r="IA68" s="291"/>
      <c r="IB68" s="291"/>
      <c r="IC68" s="291"/>
      <c r="ID68" s="291"/>
      <c r="IE68" s="291"/>
      <c r="IF68" s="291"/>
      <c r="IG68" s="291"/>
      <c r="IH68" s="291"/>
      <c r="II68" s="291"/>
      <c r="IJ68" s="291"/>
      <c r="IK68" s="291"/>
      <c r="IL68" s="291"/>
      <c r="IM68" s="291"/>
      <c r="IN68" s="291"/>
      <c r="IO68" s="291"/>
      <c r="IP68" s="291"/>
      <c r="IQ68" s="291"/>
      <c r="IR68" s="291"/>
      <c r="IS68" s="291"/>
      <c r="IT68" s="291"/>
      <c r="IU68" s="291"/>
      <c r="IV68" s="291"/>
      <c r="IW68" s="291"/>
    </row>
    <row r="69" customFormat="false" ht="12.75" hidden="false" customHeight="false" outlineLevel="2" collapsed="false">
      <c r="E69" s="292" t="s">
        <v>492</v>
      </c>
      <c r="F69" s="78" t="s">
        <v>493</v>
      </c>
      <c r="G69" s="78"/>
      <c r="H69" s="293" t="n">
        <v>600</v>
      </c>
      <c r="I69" s="294" t="n">
        <v>1</v>
      </c>
      <c r="J69" s="295" t="n">
        <f aca="false">I69*H69</f>
        <v>600</v>
      </c>
      <c r="K69" s="295" t="n">
        <f aca="false">H69-J69</f>
        <v>0</v>
      </c>
      <c r="M69" s="2"/>
      <c r="N69" s="2"/>
    </row>
    <row r="70" customFormat="false" ht="12.75" hidden="false" customHeight="false" outlineLevel="2" collapsed="false">
      <c r="A70" s="2" t="str">
        <f aca="false">B70&amp;C70&amp;D70</f>
        <v>O&amp;M Mobilization BudgetOperating ExpensesOther Supplies &amp; Expenses</v>
      </c>
      <c r="B70" s="2" t="s">
        <v>413</v>
      </c>
      <c r="C70" s="2" t="s">
        <v>414</v>
      </c>
      <c r="D70" s="2" t="s">
        <v>183</v>
      </c>
      <c r="E70" s="292" t="s">
        <v>494</v>
      </c>
      <c r="F70" s="78" t="s">
        <v>495</v>
      </c>
      <c r="G70" s="78"/>
      <c r="H70" s="293" t="n">
        <v>2500</v>
      </c>
      <c r="I70" s="294" t="n">
        <v>1</v>
      </c>
      <c r="J70" s="295" t="n">
        <f aca="false">I70*H70</f>
        <v>2500</v>
      </c>
      <c r="K70" s="295" t="n">
        <f aca="false">H70-J70</f>
        <v>0</v>
      </c>
      <c r="M70" s="2"/>
      <c r="N70" s="2"/>
    </row>
    <row r="71" customFormat="false" ht="12.75" hidden="false" customHeight="false" outlineLevel="2" collapsed="false">
      <c r="A71" s="2" t="str">
        <f aca="false">B71&amp;C71&amp;D71</f>
        <v>O&amp;M Mobilization BudgetOperating ExpensesOther Supplies &amp; Expenses</v>
      </c>
      <c r="B71" s="2" t="s">
        <v>413</v>
      </c>
      <c r="C71" s="2" t="s">
        <v>414</v>
      </c>
      <c r="D71" s="2" t="s">
        <v>183</v>
      </c>
      <c r="E71" s="292" t="s">
        <v>496</v>
      </c>
      <c r="F71" s="78" t="s">
        <v>497</v>
      </c>
      <c r="G71" s="78"/>
      <c r="H71" s="293" t="n">
        <v>1035.71428571429</v>
      </c>
      <c r="I71" s="294" t="n">
        <v>1</v>
      </c>
      <c r="J71" s="295" t="n">
        <f aca="false">I71*H71</f>
        <v>1035.71428571429</v>
      </c>
      <c r="K71" s="295" t="n">
        <f aca="false">H71-J71</f>
        <v>0</v>
      </c>
      <c r="M71" s="2"/>
      <c r="N71" s="2"/>
    </row>
    <row r="72" customFormat="false" ht="12.75" hidden="false" customHeight="false" outlineLevel="2" collapsed="false">
      <c r="A72" s="2" t="str">
        <f aca="false">B72&amp;C72&amp;D72</f>
        <v>O&amp;M Mobilization BudgetOperating ExpensesOther Supplies &amp; Expenses</v>
      </c>
      <c r="B72" s="2" t="s">
        <v>413</v>
      </c>
      <c r="C72" s="2" t="s">
        <v>414</v>
      </c>
      <c r="D72" s="2" t="s">
        <v>183</v>
      </c>
      <c r="E72" s="292" t="s">
        <v>498</v>
      </c>
      <c r="F72" s="78"/>
      <c r="G72" s="78"/>
      <c r="H72" s="293" t="n">
        <v>2000</v>
      </c>
      <c r="I72" s="294" t="n">
        <v>1</v>
      </c>
      <c r="J72" s="295" t="n">
        <f aca="false">I72*H72</f>
        <v>2000</v>
      </c>
      <c r="K72" s="295" t="n">
        <f aca="false">H72-J72</f>
        <v>0</v>
      </c>
      <c r="M72" s="2"/>
      <c r="N72" s="2"/>
    </row>
    <row r="73" customFormat="false" ht="12.75" hidden="false" customHeight="false" outlineLevel="2" collapsed="false">
      <c r="A73" s="2" t="str">
        <f aca="false">B73&amp;C73&amp;D73</f>
        <v>O&amp;M Mobilization BudgetOperating ExpensesOther Supplies &amp; Expenses</v>
      </c>
      <c r="B73" s="2" t="s">
        <v>413</v>
      </c>
      <c r="C73" s="2" t="s">
        <v>414</v>
      </c>
      <c r="D73" s="2" t="s">
        <v>183</v>
      </c>
      <c r="E73" s="292" t="s">
        <v>499</v>
      </c>
      <c r="F73" s="78" t="s">
        <v>500</v>
      </c>
      <c r="G73" s="78"/>
      <c r="H73" s="293" t="n">
        <v>2500</v>
      </c>
      <c r="I73" s="294" t="n">
        <v>1</v>
      </c>
      <c r="J73" s="295" t="n">
        <f aca="false">I73*H73</f>
        <v>2500</v>
      </c>
      <c r="K73" s="295" t="n">
        <f aca="false">H73-J73</f>
        <v>0</v>
      </c>
      <c r="M73" s="2"/>
      <c r="N73" s="2"/>
    </row>
    <row r="74" customFormat="false" ht="12.75" hidden="true" customHeight="false" outlineLevel="2" collapsed="false">
      <c r="A74" s="2" t="str">
        <f aca="false">B74&amp;C74&amp;D74</f>
        <v>O&amp;M Mobilization BudgetOperating ExpensesOther Supplies &amp; Expenses</v>
      </c>
      <c r="B74" s="2" t="s">
        <v>413</v>
      </c>
      <c r="C74" s="2" t="s">
        <v>414</v>
      </c>
      <c r="D74" s="2" t="s">
        <v>183</v>
      </c>
      <c r="E74" s="292"/>
      <c r="F74" s="78"/>
      <c r="G74" s="78"/>
      <c r="H74" s="293"/>
      <c r="I74" s="294" t="n">
        <v>1</v>
      </c>
      <c r="J74" s="295" t="n">
        <f aca="false">I74*H74</f>
        <v>0</v>
      </c>
      <c r="K74" s="295" t="n">
        <f aca="false">H74-J74</f>
        <v>0</v>
      </c>
      <c r="M74" s="2"/>
      <c r="N74" s="2"/>
    </row>
    <row r="75" customFormat="false" ht="12.75" hidden="true" customHeight="false" outlineLevel="2" collapsed="false">
      <c r="E75" s="292"/>
      <c r="F75" s="78"/>
      <c r="G75" s="78"/>
      <c r="H75" s="293"/>
      <c r="I75" s="294" t="n">
        <v>1</v>
      </c>
      <c r="J75" s="295" t="n">
        <f aca="false">I75*H75</f>
        <v>0</v>
      </c>
      <c r="K75" s="295" t="n">
        <f aca="false">H75-J75</f>
        <v>0</v>
      </c>
      <c r="M75" s="2"/>
      <c r="N75" s="2"/>
    </row>
    <row r="76" customFormat="false" ht="12.75" hidden="true" customHeight="false" outlineLevel="2" collapsed="false">
      <c r="E76" s="292"/>
      <c r="F76" s="78"/>
      <c r="G76" s="78"/>
      <c r="H76" s="293"/>
      <c r="I76" s="294" t="n">
        <v>1</v>
      </c>
      <c r="J76" s="295" t="n">
        <f aca="false">I76*H76</f>
        <v>0</v>
      </c>
      <c r="K76" s="295" t="n">
        <f aca="false">H76-J76</f>
        <v>0</v>
      </c>
      <c r="M76" s="2"/>
      <c r="N76" s="2"/>
    </row>
    <row r="77" customFormat="false" ht="12.75" hidden="false" customHeight="false" outlineLevel="2" collapsed="false">
      <c r="E77" s="292"/>
      <c r="F77" s="78"/>
      <c r="G77" s="78"/>
      <c r="H77" s="293"/>
      <c r="I77" s="296"/>
      <c r="J77" s="295"/>
      <c r="K77" s="295"/>
      <c r="M77" s="2"/>
      <c r="N77" s="2"/>
    </row>
    <row r="78" customFormat="false" ht="12.75" hidden="false" customHeight="false" outlineLevel="1" collapsed="false">
      <c r="A78" s="291" t="s">
        <v>501</v>
      </c>
      <c r="B78" s="291" t="s">
        <v>413</v>
      </c>
      <c r="C78" s="291" t="s">
        <v>414</v>
      </c>
      <c r="D78" s="291" t="s">
        <v>183</v>
      </c>
      <c r="E78" s="292"/>
      <c r="F78" s="78"/>
      <c r="G78" s="297" t="s">
        <v>431</v>
      </c>
      <c r="H78" s="298" t="n">
        <f aca="false">SUBTOTAL(9,H69:H77)</f>
        <v>8635.71428571429</v>
      </c>
      <c r="I78" s="299"/>
      <c r="J78" s="298" t="n">
        <f aca="false">SUBTOTAL(9,J69:J77)</f>
        <v>8635.71428571429</v>
      </c>
      <c r="K78" s="298" t="n">
        <f aca="false">SUBTOTAL(9,K69:K77)</f>
        <v>0</v>
      </c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  <c r="DJ78" s="291"/>
      <c r="DK78" s="291"/>
      <c r="DL78" s="291"/>
      <c r="DM78" s="291"/>
      <c r="DN78" s="291"/>
      <c r="DO78" s="291"/>
      <c r="DP78" s="291"/>
      <c r="DQ78" s="291"/>
      <c r="DR78" s="291"/>
      <c r="DS78" s="291"/>
      <c r="DT78" s="291"/>
      <c r="DU78" s="291"/>
      <c r="DV78" s="291"/>
      <c r="DW78" s="291"/>
      <c r="DX78" s="291"/>
      <c r="DY78" s="291"/>
      <c r="DZ78" s="291"/>
      <c r="EA78" s="291"/>
      <c r="EB78" s="291"/>
      <c r="EC78" s="291"/>
      <c r="ED78" s="291"/>
      <c r="EE78" s="291"/>
      <c r="EF78" s="291"/>
      <c r="EG78" s="291"/>
      <c r="EH78" s="291"/>
      <c r="EI78" s="291"/>
      <c r="EJ78" s="291"/>
      <c r="EK78" s="291"/>
      <c r="EL78" s="291"/>
      <c r="EM78" s="291"/>
      <c r="EN78" s="291"/>
      <c r="EO78" s="291"/>
      <c r="EP78" s="291"/>
      <c r="EQ78" s="291"/>
      <c r="ER78" s="291"/>
      <c r="ES78" s="291"/>
      <c r="ET78" s="291"/>
      <c r="EU78" s="291"/>
      <c r="EV78" s="291"/>
      <c r="EW78" s="291"/>
      <c r="EX78" s="291"/>
      <c r="EY78" s="291"/>
      <c r="EZ78" s="291"/>
      <c r="FA78" s="291"/>
      <c r="FB78" s="291"/>
      <c r="FC78" s="291"/>
      <c r="FD78" s="291"/>
      <c r="FE78" s="291"/>
      <c r="FF78" s="291"/>
      <c r="FG78" s="291"/>
      <c r="FH78" s="291"/>
      <c r="FI78" s="291"/>
      <c r="FJ78" s="291"/>
      <c r="FK78" s="291"/>
      <c r="FL78" s="291"/>
      <c r="FM78" s="291"/>
      <c r="FN78" s="291"/>
      <c r="FO78" s="291"/>
      <c r="FP78" s="291"/>
      <c r="FQ78" s="291"/>
      <c r="FR78" s="291"/>
      <c r="FS78" s="291"/>
      <c r="FT78" s="291"/>
      <c r="FU78" s="291"/>
      <c r="FV78" s="291"/>
      <c r="FW78" s="291"/>
      <c r="FX78" s="291"/>
      <c r="FY78" s="291"/>
      <c r="FZ78" s="291"/>
      <c r="GA78" s="291"/>
      <c r="GB78" s="291"/>
      <c r="GC78" s="291"/>
      <c r="GD78" s="291"/>
      <c r="GE78" s="291"/>
      <c r="GF78" s="291"/>
      <c r="GG78" s="291"/>
      <c r="GH78" s="291"/>
      <c r="GI78" s="291"/>
      <c r="GJ78" s="291"/>
      <c r="GK78" s="291"/>
      <c r="GL78" s="291"/>
      <c r="GM78" s="291"/>
      <c r="GN78" s="291"/>
      <c r="GO78" s="291"/>
      <c r="GP78" s="291"/>
      <c r="GQ78" s="291"/>
      <c r="GR78" s="291"/>
      <c r="GS78" s="291"/>
      <c r="GT78" s="291"/>
      <c r="GU78" s="291"/>
      <c r="GV78" s="291"/>
      <c r="GW78" s="291"/>
      <c r="GX78" s="291"/>
      <c r="GY78" s="291"/>
      <c r="GZ78" s="291"/>
      <c r="HA78" s="291"/>
      <c r="HB78" s="291"/>
      <c r="HC78" s="291"/>
      <c r="HD78" s="291"/>
      <c r="HE78" s="291"/>
      <c r="HF78" s="291"/>
      <c r="HG78" s="291"/>
      <c r="HH78" s="291"/>
      <c r="HI78" s="291"/>
      <c r="HJ78" s="291"/>
      <c r="HK78" s="291"/>
      <c r="HL78" s="291"/>
      <c r="HM78" s="291"/>
      <c r="HN78" s="291"/>
      <c r="HO78" s="291"/>
      <c r="HP78" s="291"/>
      <c r="HQ78" s="291"/>
      <c r="HR78" s="291"/>
      <c r="HS78" s="291"/>
      <c r="HT78" s="291"/>
      <c r="HU78" s="291"/>
      <c r="HV78" s="291"/>
      <c r="HW78" s="291"/>
      <c r="HX78" s="291"/>
      <c r="HY78" s="291"/>
      <c r="HZ78" s="291"/>
      <c r="IA78" s="291"/>
      <c r="IB78" s="291"/>
      <c r="IC78" s="291"/>
      <c r="ID78" s="291"/>
      <c r="IE78" s="291"/>
      <c r="IF78" s="291"/>
      <c r="IG78" s="291"/>
      <c r="IH78" s="291"/>
      <c r="II78" s="291"/>
      <c r="IJ78" s="291"/>
      <c r="IK78" s="291"/>
      <c r="IL78" s="291"/>
      <c r="IM78" s="291"/>
      <c r="IN78" s="291"/>
      <c r="IO78" s="291"/>
      <c r="IP78" s="291"/>
      <c r="IQ78" s="291"/>
      <c r="IR78" s="291"/>
      <c r="IS78" s="291"/>
      <c r="IT78" s="291"/>
      <c r="IU78" s="291"/>
      <c r="IV78" s="291"/>
      <c r="IW78" s="291"/>
    </row>
    <row r="79" customFormat="false" ht="12.75" hidden="false" customHeight="false" outlineLevel="1" collapsed="false">
      <c r="A79" s="2" t="s">
        <v>502</v>
      </c>
      <c r="B79" s="2" t="s">
        <v>413</v>
      </c>
      <c r="C79" s="2" t="s">
        <v>414</v>
      </c>
      <c r="D79" s="2" t="s">
        <v>184</v>
      </c>
      <c r="E79" s="300" t="s">
        <v>184</v>
      </c>
      <c r="F79" s="301"/>
      <c r="G79" s="302"/>
      <c r="H79" s="288"/>
      <c r="I79" s="289"/>
      <c r="J79" s="288"/>
      <c r="K79" s="288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  <c r="DJ79" s="291"/>
      <c r="DK79" s="291"/>
      <c r="DL79" s="291"/>
      <c r="DM79" s="291"/>
      <c r="DN79" s="291"/>
      <c r="DO79" s="291"/>
      <c r="DP79" s="291"/>
      <c r="DQ79" s="291"/>
      <c r="DR79" s="291"/>
      <c r="DS79" s="291"/>
      <c r="DT79" s="291"/>
      <c r="DU79" s="291"/>
      <c r="DV79" s="291"/>
      <c r="DW79" s="291"/>
      <c r="DX79" s="291"/>
      <c r="DY79" s="291"/>
      <c r="DZ79" s="291"/>
      <c r="EA79" s="291"/>
      <c r="EB79" s="291"/>
      <c r="EC79" s="291"/>
      <c r="ED79" s="291"/>
      <c r="EE79" s="291"/>
      <c r="EF79" s="291"/>
      <c r="EG79" s="291"/>
      <c r="EH79" s="291"/>
      <c r="EI79" s="291"/>
      <c r="EJ79" s="291"/>
      <c r="EK79" s="291"/>
      <c r="EL79" s="291"/>
      <c r="EM79" s="291"/>
      <c r="EN79" s="291"/>
      <c r="EO79" s="291"/>
      <c r="EP79" s="291"/>
      <c r="EQ79" s="291"/>
      <c r="ER79" s="291"/>
      <c r="ES79" s="291"/>
      <c r="ET79" s="291"/>
      <c r="EU79" s="291"/>
      <c r="EV79" s="291"/>
      <c r="EW79" s="291"/>
      <c r="EX79" s="291"/>
      <c r="EY79" s="291"/>
      <c r="EZ79" s="291"/>
      <c r="FA79" s="291"/>
      <c r="FB79" s="291"/>
      <c r="FC79" s="291"/>
      <c r="FD79" s="291"/>
      <c r="FE79" s="291"/>
      <c r="FF79" s="291"/>
      <c r="FG79" s="291"/>
      <c r="FH79" s="291"/>
      <c r="FI79" s="291"/>
      <c r="FJ79" s="291"/>
      <c r="FK79" s="291"/>
      <c r="FL79" s="291"/>
      <c r="FM79" s="291"/>
      <c r="FN79" s="291"/>
      <c r="FO79" s="291"/>
      <c r="FP79" s="291"/>
      <c r="FQ79" s="291"/>
      <c r="FR79" s="291"/>
      <c r="FS79" s="291"/>
      <c r="FT79" s="291"/>
      <c r="FU79" s="291"/>
      <c r="FV79" s="291"/>
      <c r="FW79" s="291"/>
      <c r="FX79" s="291"/>
      <c r="FY79" s="291"/>
      <c r="FZ79" s="291"/>
      <c r="GA79" s="291"/>
      <c r="GB79" s="291"/>
      <c r="GC79" s="291"/>
      <c r="GD79" s="291"/>
      <c r="GE79" s="291"/>
      <c r="GF79" s="291"/>
      <c r="GG79" s="291"/>
      <c r="GH79" s="291"/>
      <c r="GI79" s="291"/>
      <c r="GJ79" s="291"/>
      <c r="GK79" s="291"/>
      <c r="GL79" s="291"/>
      <c r="GM79" s="291"/>
      <c r="GN79" s="291"/>
      <c r="GO79" s="291"/>
      <c r="GP79" s="291"/>
      <c r="GQ79" s="291"/>
      <c r="GR79" s="291"/>
      <c r="GS79" s="291"/>
      <c r="GT79" s="291"/>
      <c r="GU79" s="291"/>
      <c r="GV79" s="291"/>
      <c r="GW79" s="291"/>
      <c r="GX79" s="291"/>
      <c r="GY79" s="291"/>
      <c r="GZ79" s="291"/>
      <c r="HA79" s="291"/>
      <c r="HB79" s="291"/>
      <c r="HC79" s="291"/>
      <c r="HD79" s="291"/>
      <c r="HE79" s="291"/>
      <c r="HF79" s="291"/>
      <c r="HG79" s="291"/>
      <c r="HH79" s="291"/>
      <c r="HI79" s="291"/>
      <c r="HJ79" s="291"/>
      <c r="HK79" s="291"/>
      <c r="HL79" s="291"/>
      <c r="HM79" s="291"/>
      <c r="HN79" s="291"/>
      <c r="HO79" s="291"/>
      <c r="HP79" s="291"/>
      <c r="HQ79" s="291"/>
      <c r="HR79" s="291"/>
      <c r="HS79" s="291"/>
      <c r="HT79" s="291"/>
      <c r="HU79" s="291"/>
      <c r="HV79" s="291"/>
      <c r="HW79" s="291"/>
      <c r="HX79" s="291"/>
      <c r="HY79" s="291"/>
      <c r="HZ79" s="291"/>
      <c r="IA79" s="291"/>
      <c r="IB79" s="291"/>
      <c r="IC79" s="291"/>
      <c r="ID79" s="291"/>
      <c r="IE79" s="291"/>
      <c r="IF79" s="291"/>
      <c r="IG79" s="291"/>
      <c r="IH79" s="291"/>
      <c r="II79" s="291"/>
      <c r="IJ79" s="291"/>
      <c r="IK79" s="291"/>
      <c r="IL79" s="291"/>
      <c r="IM79" s="291"/>
      <c r="IN79" s="291"/>
      <c r="IO79" s="291"/>
      <c r="IP79" s="291"/>
      <c r="IQ79" s="291"/>
      <c r="IR79" s="291"/>
      <c r="IS79" s="291"/>
      <c r="IT79" s="291"/>
      <c r="IU79" s="291"/>
      <c r="IV79" s="291"/>
      <c r="IW79" s="291"/>
    </row>
    <row r="80" customFormat="false" ht="12.75" hidden="false" customHeight="false" outlineLevel="2" collapsed="false">
      <c r="A80" s="2" t="str">
        <f aca="false">B80&amp;C80&amp;D80</f>
        <v>O&amp;M Mobilization BudgetOperating ExpensesCommunications</v>
      </c>
      <c r="B80" s="2" t="s">
        <v>413</v>
      </c>
      <c r="C80" s="2" t="s">
        <v>414</v>
      </c>
      <c r="D80" s="2" t="s">
        <v>184</v>
      </c>
      <c r="E80" s="292" t="s">
        <v>503</v>
      </c>
      <c r="F80" s="78" t="s">
        <v>504</v>
      </c>
      <c r="G80" s="78"/>
      <c r="H80" s="293" t="n">
        <v>2500</v>
      </c>
      <c r="I80" s="294" t="n">
        <v>1</v>
      </c>
      <c r="J80" s="295" t="n">
        <f aca="false">I80*H80</f>
        <v>2500</v>
      </c>
      <c r="K80" s="295" t="n">
        <f aca="false">H80-J80</f>
        <v>0</v>
      </c>
      <c r="M80" s="2"/>
      <c r="N80" s="2"/>
    </row>
    <row r="81" customFormat="false" ht="12.75" hidden="false" customHeight="false" outlineLevel="2" collapsed="false">
      <c r="A81" s="2" t="str">
        <f aca="false">B81&amp;C81&amp;D81</f>
        <v>O&amp;M Mobilization BudgetOperating ExpensesCommunications</v>
      </c>
      <c r="B81" s="2" t="s">
        <v>413</v>
      </c>
      <c r="C81" s="2" t="s">
        <v>414</v>
      </c>
      <c r="D81" s="2" t="s">
        <v>184</v>
      </c>
      <c r="E81" s="292" t="s">
        <v>505</v>
      </c>
      <c r="F81" s="78" t="s">
        <v>506</v>
      </c>
      <c r="G81" s="78"/>
      <c r="H81" s="293" t="n">
        <v>3600</v>
      </c>
      <c r="I81" s="294" t="n">
        <v>1</v>
      </c>
      <c r="J81" s="295" t="n">
        <f aca="false">I81*H81</f>
        <v>3600</v>
      </c>
      <c r="K81" s="295" t="n">
        <f aca="false">H81-J81</f>
        <v>0</v>
      </c>
      <c r="M81" s="2"/>
      <c r="N81" s="2"/>
    </row>
    <row r="82" customFormat="false" ht="12.75" hidden="false" customHeight="false" outlineLevel="2" collapsed="false">
      <c r="A82" s="2" t="str">
        <f aca="false">B82&amp;C82&amp;D82</f>
        <v>O&amp;M Mobilization BudgetOperating ExpensesCommunications</v>
      </c>
      <c r="B82" s="2" t="s">
        <v>413</v>
      </c>
      <c r="C82" s="2" t="s">
        <v>414</v>
      </c>
      <c r="D82" s="2" t="s">
        <v>184</v>
      </c>
      <c r="E82" s="292"/>
      <c r="F82" s="78" t="s">
        <v>507</v>
      </c>
      <c r="G82" s="78"/>
      <c r="H82" s="293" t="n">
        <v>200</v>
      </c>
      <c r="I82" s="294" t="n">
        <v>1</v>
      </c>
      <c r="J82" s="295" t="n">
        <f aca="false">I82*H82</f>
        <v>200</v>
      </c>
      <c r="K82" s="295" t="n">
        <f aca="false">H82-J82</f>
        <v>0</v>
      </c>
      <c r="M82" s="2"/>
      <c r="N82" s="2"/>
    </row>
    <row r="83" customFormat="false" ht="12.75" hidden="false" customHeight="false" outlineLevel="2" collapsed="false">
      <c r="E83" s="292"/>
      <c r="F83" s="78"/>
      <c r="G83" s="78"/>
      <c r="H83" s="295"/>
      <c r="I83" s="309"/>
      <c r="J83" s="295"/>
      <c r="K83" s="295"/>
      <c r="M83" s="2"/>
      <c r="N83" s="2"/>
    </row>
    <row r="84" customFormat="false" ht="12.75" hidden="false" customHeight="false" outlineLevel="1" collapsed="false">
      <c r="A84" s="291" t="s">
        <v>508</v>
      </c>
      <c r="B84" s="291" t="s">
        <v>413</v>
      </c>
      <c r="C84" s="291" t="s">
        <v>414</v>
      </c>
      <c r="D84" s="291" t="s">
        <v>184</v>
      </c>
      <c r="E84" s="292"/>
      <c r="F84" s="78"/>
      <c r="G84" s="297" t="s">
        <v>431</v>
      </c>
      <c r="H84" s="298" t="n">
        <f aca="false">SUBTOTAL(9,H80:H82)</f>
        <v>6300</v>
      </c>
      <c r="I84" s="299"/>
      <c r="J84" s="298" t="n">
        <f aca="false">SUBTOTAL(9,J80:J82)</f>
        <v>6300</v>
      </c>
      <c r="K84" s="298" t="n">
        <f aca="false">SUBTOTAL(9,K80:K82)</f>
        <v>0</v>
      </c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91"/>
      <c r="BM84" s="291"/>
      <c r="BN84" s="291"/>
      <c r="BO84" s="291"/>
      <c r="BP84" s="291"/>
      <c r="BQ84" s="291"/>
      <c r="BR84" s="291"/>
      <c r="BS84" s="291"/>
      <c r="BT84" s="291"/>
      <c r="BU84" s="291"/>
      <c r="BV84" s="291"/>
      <c r="BW84" s="291"/>
      <c r="BX84" s="291"/>
      <c r="BY84" s="291"/>
      <c r="BZ84" s="291"/>
      <c r="CA84" s="291"/>
      <c r="CB84" s="291"/>
      <c r="CC84" s="291"/>
      <c r="CD84" s="291"/>
      <c r="CE84" s="291"/>
      <c r="CF84" s="291"/>
      <c r="CG84" s="291"/>
      <c r="CH84" s="291"/>
      <c r="CI84" s="291"/>
      <c r="CJ84" s="291"/>
      <c r="CK84" s="291"/>
      <c r="CL84" s="291"/>
      <c r="CM84" s="291"/>
      <c r="CN84" s="291"/>
      <c r="CO84" s="291"/>
      <c r="CP84" s="291"/>
      <c r="CQ84" s="291"/>
      <c r="CR84" s="291"/>
      <c r="CS84" s="291"/>
      <c r="CT84" s="291"/>
      <c r="CU84" s="291"/>
      <c r="CV84" s="291"/>
      <c r="CW84" s="291"/>
      <c r="CX84" s="291"/>
      <c r="CY84" s="291"/>
      <c r="CZ84" s="291"/>
      <c r="DA84" s="291"/>
      <c r="DB84" s="291"/>
      <c r="DC84" s="291"/>
      <c r="DD84" s="291"/>
      <c r="DE84" s="291"/>
      <c r="DF84" s="291"/>
      <c r="DG84" s="291"/>
      <c r="DH84" s="291"/>
      <c r="DI84" s="291"/>
      <c r="DJ84" s="291"/>
      <c r="DK84" s="291"/>
      <c r="DL84" s="291"/>
      <c r="DM84" s="291"/>
      <c r="DN84" s="291"/>
      <c r="DO84" s="291"/>
      <c r="DP84" s="291"/>
      <c r="DQ84" s="291"/>
      <c r="DR84" s="291"/>
      <c r="DS84" s="291"/>
      <c r="DT84" s="291"/>
      <c r="DU84" s="291"/>
      <c r="DV84" s="291"/>
      <c r="DW84" s="291"/>
      <c r="DX84" s="291"/>
      <c r="DY84" s="291"/>
      <c r="DZ84" s="291"/>
      <c r="EA84" s="291"/>
      <c r="EB84" s="291"/>
      <c r="EC84" s="291"/>
      <c r="ED84" s="291"/>
      <c r="EE84" s="291"/>
      <c r="EF84" s="291"/>
      <c r="EG84" s="291"/>
      <c r="EH84" s="291"/>
      <c r="EI84" s="291"/>
      <c r="EJ84" s="291"/>
      <c r="EK84" s="291"/>
      <c r="EL84" s="291"/>
      <c r="EM84" s="291"/>
      <c r="EN84" s="291"/>
      <c r="EO84" s="291"/>
      <c r="EP84" s="291"/>
      <c r="EQ84" s="291"/>
      <c r="ER84" s="291"/>
      <c r="ES84" s="291"/>
      <c r="ET84" s="291"/>
      <c r="EU84" s="291"/>
      <c r="EV84" s="291"/>
      <c r="EW84" s="291"/>
      <c r="EX84" s="291"/>
      <c r="EY84" s="291"/>
      <c r="EZ84" s="291"/>
      <c r="FA84" s="291"/>
      <c r="FB84" s="291"/>
      <c r="FC84" s="291"/>
      <c r="FD84" s="291"/>
      <c r="FE84" s="291"/>
      <c r="FF84" s="291"/>
      <c r="FG84" s="291"/>
      <c r="FH84" s="291"/>
      <c r="FI84" s="291"/>
      <c r="FJ84" s="291"/>
      <c r="FK84" s="291"/>
      <c r="FL84" s="291"/>
      <c r="FM84" s="291"/>
      <c r="FN84" s="291"/>
      <c r="FO84" s="291"/>
      <c r="FP84" s="291"/>
      <c r="FQ84" s="291"/>
      <c r="FR84" s="291"/>
      <c r="FS84" s="291"/>
      <c r="FT84" s="291"/>
      <c r="FU84" s="291"/>
      <c r="FV84" s="291"/>
      <c r="FW84" s="291"/>
      <c r="FX84" s="291"/>
      <c r="FY84" s="291"/>
      <c r="FZ84" s="291"/>
      <c r="GA84" s="291"/>
      <c r="GB84" s="291"/>
      <c r="GC84" s="291"/>
      <c r="GD84" s="291"/>
      <c r="GE84" s="291"/>
      <c r="GF84" s="291"/>
      <c r="GG84" s="291"/>
      <c r="GH84" s="291"/>
      <c r="GI84" s="291"/>
      <c r="GJ84" s="291"/>
      <c r="GK84" s="291"/>
      <c r="GL84" s="291"/>
      <c r="GM84" s="291"/>
      <c r="GN84" s="291"/>
      <c r="GO84" s="291"/>
      <c r="GP84" s="291"/>
      <c r="GQ84" s="291"/>
      <c r="GR84" s="291"/>
      <c r="GS84" s="291"/>
      <c r="GT84" s="291"/>
      <c r="GU84" s="291"/>
      <c r="GV84" s="291"/>
      <c r="GW84" s="291"/>
      <c r="GX84" s="291"/>
      <c r="GY84" s="291"/>
      <c r="GZ84" s="291"/>
      <c r="HA84" s="291"/>
      <c r="HB84" s="291"/>
      <c r="HC84" s="291"/>
      <c r="HD84" s="291"/>
      <c r="HE84" s="291"/>
      <c r="HF84" s="291"/>
      <c r="HG84" s="291"/>
      <c r="HH84" s="291"/>
      <c r="HI84" s="291"/>
      <c r="HJ84" s="291"/>
      <c r="HK84" s="291"/>
      <c r="HL84" s="291"/>
      <c r="HM84" s="291"/>
      <c r="HN84" s="291"/>
      <c r="HO84" s="291"/>
      <c r="HP84" s="291"/>
      <c r="HQ84" s="291"/>
      <c r="HR84" s="291"/>
      <c r="HS84" s="291"/>
      <c r="HT84" s="291"/>
      <c r="HU84" s="291"/>
      <c r="HV84" s="291"/>
      <c r="HW84" s="291"/>
      <c r="HX84" s="291"/>
      <c r="HY84" s="291"/>
      <c r="HZ84" s="291"/>
      <c r="IA84" s="291"/>
      <c r="IB84" s="291"/>
      <c r="IC84" s="291"/>
      <c r="ID84" s="291"/>
      <c r="IE84" s="291"/>
      <c r="IF84" s="291"/>
      <c r="IG84" s="291"/>
      <c r="IH84" s="291"/>
      <c r="II84" s="291"/>
      <c r="IJ84" s="291"/>
      <c r="IK84" s="291"/>
      <c r="IL84" s="291"/>
      <c r="IM84" s="291"/>
      <c r="IN84" s="291"/>
      <c r="IO84" s="291"/>
      <c r="IP84" s="291"/>
      <c r="IQ84" s="291"/>
      <c r="IR84" s="291"/>
      <c r="IS84" s="291"/>
      <c r="IT84" s="291"/>
      <c r="IU84" s="291"/>
      <c r="IV84" s="291"/>
      <c r="IW84" s="291"/>
    </row>
    <row r="85" customFormat="false" ht="12.75" hidden="false" customHeight="false" outlineLevel="1" collapsed="false">
      <c r="A85" s="2" t="s">
        <v>509</v>
      </c>
      <c r="B85" s="2" t="s">
        <v>413</v>
      </c>
      <c r="C85" s="2" t="s">
        <v>414</v>
      </c>
      <c r="D85" s="2" t="s">
        <v>510</v>
      </c>
      <c r="E85" s="300" t="s">
        <v>185</v>
      </c>
      <c r="F85" s="301"/>
      <c r="G85" s="302"/>
      <c r="H85" s="288"/>
      <c r="I85" s="289"/>
      <c r="J85" s="288"/>
      <c r="K85" s="288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  <c r="BF85" s="291"/>
      <c r="BG85" s="291"/>
      <c r="BH85" s="291"/>
      <c r="BI85" s="291"/>
      <c r="BJ85" s="291"/>
      <c r="BK85" s="291"/>
      <c r="BL85" s="291"/>
      <c r="BM85" s="291"/>
      <c r="BN85" s="291"/>
      <c r="BO85" s="291"/>
      <c r="BP85" s="291"/>
      <c r="BQ85" s="291"/>
      <c r="BR85" s="291"/>
      <c r="BS85" s="291"/>
      <c r="BT85" s="291"/>
      <c r="BU85" s="291"/>
      <c r="BV85" s="291"/>
      <c r="BW85" s="291"/>
      <c r="BX85" s="291"/>
      <c r="BY85" s="291"/>
      <c r="BZ85" s="291"/>
      <c r="CA85" s="291"/>
      <c r="CB85" s="291"/>
      <c r="CC85" s="291"/>
      <c r="CD85" s="291"/>
      <c r="CE85" s="291"/>
      <c r="CF85" s="291"/>
      <c r="CG85" s="291"/>
      <c r="CH85" s="291"/>
      <c r="CI85" s="291"/>
      <c r="CJ85" s="291"/>
      <c r="CK85" s="291"/>
      <c r="CL85" s="291"/>
      <c r="CM85" s="291"/>
      <c r="CN85" s="291"/>
      <c r="CO85" s="291"/>
      <c r="CP85" s="291"/>
      <c r="CQ85" s="291"/>
      <c r="CR85" s="291"/>
      <c r="CS85" s="291"/>
      <c r="CT85" s="291"/>
      <c r="CU85" s="291"/>
      <c r="CV85" s="291"/>
      <c r="CW85" s="291"/>
      <c r="CX85" s="291"/>
      <c r="CY85" s="291"/>
      <c r="CZ85" s="291"/>
      <c r="DA85" s="291"/>
      <c r="DB85" s="291"/>
      <c r="DC85" s="291"/>
      <c r="DD85" s="291"/>
      <c r="DE85" s="291"/>
      <c r="DF85" s="291"/>
      <c r="DG85" s="291"/>
      <c r="DH85" s="291"/>
      <c r="DI85" s="291"/>
      <c r="DJ85" s="291"/>
      <c r="DK85" s="291"/>
      <c r="DL85" s="291"/>
      <c r="DM85" s="291"/>
      <c r="DN85" s="291"/>
      <c r="DO85" s="291"/>
      <c r="DP85" s="291"/>
      <c r="DQ85" s="291"/>
      <c r="DR85" s="291"/>
      <c r="DS85" s="291"/>
      <c r="DT85" s="291"/>
      <c r="DU85" s="291"/>
      <c r="DV85" s="291"/>
      <c r="DW85" s="291"/>
      <c r="DX85" s="291"/>
      <c r="DY85" s="291"/>
      <c r="DZ85" s="291"/>
      <c r="EA85" s="291"/>
      <c r="EB85" s="291"/>
      <c r="EC85" s="291"/>
      <c r="ED85" s="291"/>
      <c r="EE85" s="291"/>
      <c r="EF85" s="291"/>
      <c r="EG85" s="291"/>
      <c r="EH85" s="291"/>
      <c r="EI85" s="291"/>
      <c r="EJ85" s="291"/>
      <c r="EK85" s="291"/>
      <c r="EL85" s="291"/>
      <c r="EM85" s="291"/>
      <c r="EN85" s="291"/>
      <c r="EO85" s="291"/>
      <c r="EP85" s="291"/>
      <c r="EQ85" s="291"/>
      <c r="ER85" s="291"/>
      <c r="ES85" s="291"/>
      <c r="ET85" s="291"/>
      <c r="EU85" s="291"/>
      <c r="EV85" s="291"/>
      <c r="EW85" s="291"/>
      <c r="EX85" s="291"/>
      <c r="EY85" s="291"/>
      <c r="EZ85" s="291"/>
      <c r="FA85" s="291"/>
      <c r="FB85" s="291"/>
      <c r="FC85" s="291"/>
      <c r="FD85" s="291"/>
      <c r="FE85" s="291"/>
      <c r="FF85" s="291"/>
      <c r="FG85" s="291"/>
      <c r="FH85" s="291"/>
      <c r="FI85" s="291"/>
      <c r="FJ85" s="291"/>
      <c r="FK85" s="291"/>
      <c r="FL85" s="291"/>
      <c r="FM85" s="291"/>
      <c r="FN85" s="291"/>
      <c r="FO85" s="291"/>
      <c r="FP85" s="291"/>
      <c r="FQ85" s="291"/>
      <c r="FR85" s="291"/>
      <c r="FS85" s="291"/>
      <c r="FT85" s="291"/>
      <c r="FU85" s="291"/>
      <c r="FV85" s="291"/>
      <c r="FW85" s="291"/>
      <c r="FX85" s="291"/>
      <c r="FY85" s="291"/>
      <c r="FZ85" s="291"/>
      <c r="GA85" s="291"/>
      <c r="GB85" s="291"/>
      <c r="GC85" s="291"/>
      <c r="GD85" s="291"/>
      <c r="GE85" s="291"/>
      <c r="GF85" s="291"/>
      <c r="GG85" s="291"/>
      <c r="GH85" s="291"/>
      <c r="GI85" s="291"/>
      <c r="GJ85" s="291"/>
      <c r="GK85" s="291"/>
      <c r="GL85" s="291"/>
      <c r="GM85" s="291"/>
      <c r="GN85" s="291"/>
      <c r="GO85" s="291"/>
      <c r="GP85" s="291"/>
      <c r="GQ85" s="291"/>
      <c r="GR85" s="291"/>
      <c r="GS85" s="291"/>
      <c r="GT85" s="291"/>
      <c r="GU85" s="291"/>
      <c r="GV85" s="291"/>
      <c r="GW85" s="291"/>
      <c r="GX85" s="291"/>
      <c r="GY85" s="291"/>
      <c r="GZ85" s="291"/>
      <c r="HA85" s="291"/>
      <c r="HB85" s="291"/>
      <c r="HC85" s="291"/>
      <c r="HD85" s="291"/>
      <c r="HE85" s="291"/>
      <c r="HF85" s="291"/>
      <c r="HG85" s="291"/>
      <c r="HH85" s="291"/>
      <c r="HI85" s="291"/>
      <c r="HJ85" s="291"/>
      <c r="HK85" s="291"/>
      <c r="HL85" s="291"/>
      <c r="HM85" s="291"/>
      <c r="HN85" s="291"/>
      <c r="HO85" s="291"/>
      <c r="HP85" s="291"/>
      <c r="HQ85" s="291"/>
      <c r="HR85" s="291"/>
      <c r="HS85" s="291"/>
      <c r="HT85" s="291"/>
      <c r="HU85" s="291"/>
      <c r="HV85" s="291"/>
      <c r="HW85" s="291"/>
      <c r="HX85" s="291"/>
      <c r="HY85" s="291"/>
      <c r="HZ85" s="291"/>
      <c r="IA85" s="291"/>
      <c r="IB85" s="291"/>
      <c r="IC85" s="291"/>
      <c r="ID85" s="291"/>
      <c r="IE85" s="291"/>
      <c r="IF85" s="291"/>
      <c r="IG85" s="291"/>
      <c r="IH85" s="291"/>
      <c r="II85" s="291"/>
      <c r="IJ85" s="291"/>
      <c r="IK85" s="291"/>
      <c r="IL85" s="291"/>
      <c r="IM85" s="291"/>
      <c r="IN85" s="291"/>
      <c r="IO85" s="291"/>
      <c r="IP85" s="291"/>
      <c r="IQ85" s="291"/>
      <c r="IR85" s="291"/>
      <c r="IS85" s="291"/>
      <c r="IT85" s="291"/>
      <c r="IU85" s="291"/>
      <c r="IV85" s="291"/>
      <c r="IW85" s="291"/>
    </row>
    <row r="86" customFormat="false" ht="12.75" hidden="false" customHeight="false" outlineLevel="2" collapsed="false">
      <c r="A86" s="2" t="str">
        <f aca="false">B86&amp;C86&amp;D86</f>
        <v>O&amp;M Mobilization BudgetOperating ExpensesMiscellaneous Office Expenses</v>
      </c>
      <c r="B86" s="2" t="s">
        <v>413</v>
      </c>
      <c r="C86" s="2" t="s">
        <v>414</v>
      </c>
      <c r="D86" s="2" t="s">
        <v>510</v>
      </c>
      <c r="E86" s="292" t="s">
        <v>511</v>
      </c>
      <c r="F86" s="78"/>
      <c r="G86" s="78"/>
      <c r="H86" s="293"/>
      <c r="I86" s="294" t="n">
        <v>1</v>
      </c>
      <c r="J86" s="295" t="n">
        <f aca="false">I86*H86</f>
        <v>0</v>
      </c>
      <c r="K86" s="295" t="n">
        <f aca="false">H86-J86</f>
        <v>0</v>
      </c>
      <c r="M86" s="2"/>
      <c r="N86" s="2"/>
    </row>
    <row r="87" customFormat="false" ht="12.75" hidden="false" customHeight="false" outlineLevel="2" collapsed="false">
      <c r="A87" s="2" t="str">
        <f aca="false">B87&amp;C87&amp;D87</f>
        <v>O&amp;M Mobilization BudgetOperating ExpensesMiscellaneous Office Expenses</v>
      </c>
      <c r="B87" s="2" t="s">
        <v>413</v>
      </c>
      <c r="C87" s="2" t="s">
        <v>414</v>
      </c>
      <c r="D87" s="2" t="s">
        <v>510</v>
      </c>
      <c r="E87" s="292" t="s">
        <v>512</v>
      </c>
      <c r="F87" s="78" t="s">
        <v>513</v>
      </c>
      <c r="G87" s="78"/>
      <c r="H87" s="293" t="n">
        <v>2000</v>
      </c>
      <c r="I87" s="294" t="n">
        <v>1</v>
      </c>
      <c r="J87" s="295" t="n">
        <f aca="false">I87*H87</f>
        <v>2000</v>
      </c>
      <c r="K87" s="295" t="n">
        <f aca="false">H87-J87</f>
        <v>0</v>
      </c>
      <c r="M87" s="2"/>
      <c r="N87" s="2"/>
    </row>
    <row r="88" customFormat="false" ht="12.75" hidden="false" customHeight="false" outlineLevel="2" collapsed="false">
      <c r="A88" s="2" t="str">
        <f aca="false">B88&amp;C88&amp;D88</f>
        <v>O&amp;M Mobilization BudgetOperating ExpensesMiscellaneous Office Expenses</v>
      </c>
      <c r="B88" s="2" t="s">
        <v>413</v>
      </c>
      <c r="C88" s="2" t="s">
        <v>414</v>
      </c>
      <c r="D88" s="2" t="s">
        <v>510</v>
      </c>
      <c r="E88" s="292" t="s">
        <v>514</v>
      </c>
      <c r="F88" s="78" t="s">
        <v>515</v>
      </c>
      <c r="G88" s="78"/>
      <c r="H88" s="293" t="n">
        <v>800</v>
      </c>
      <c r="I88" s="294" t="n">
        <v>1</v>
      </c>
      <c r="J88" s="295" t="n">
        <f aca="false">I88*H88</f>
        <v>800</v>
      </c>
      <c r="K88" s="295" t="n">
        <f aca="false">H88-J88</f>
        <v>0</v>
      </c>
      <c r="M88" s="2"/>
      <c r="N88" s="2"/>
    </row>
    <row r="89" customFormat="false" ht="12.75" hidden="false" customHeight="false" outlineLevel="2" collapsed="false">
      <c r="A89" s="2" t="str">
        <f aca="false">B89&amp;C89&amp;D89</f>
        <v>O&amp;M Mobilization BudgetOperating ExpensesMiscellaneous Office Expenses</v>
      </c>
      <c r="B89" s="2" t="s">
        <v>413</v>
      </c>
      <c r="C89" s="2" t="s">
        <v>414</v>
      </c>
      <c r="D89" s="2" t="s">
        <v>510</v>
      </c>
      <c r="E89" s="292" t="s">
        <v>516</v>
      </c>
      <c r="G89" s="78"/>
      <c r="H89" s="293"/>
      <c r="I89" s="294" t="n">
        <v>1</v>
      </c>
      <c r="J89" s="295" t="n">
        <f aca="false">I89*H89</f>
        <v>0</v>
      </c>
      <c r="K89" s="295" t="n">
        <f aca="false">H89-J89</f>
        <v>0</v>
      </c>
      <c r="M89" s="2"/>
      <c r="N89" s="2"/>
    </row>
    <row r="90" customFormat="false" ht="12.75" hidden="true" customHeight="false" outlineLevel="2" collapsed="false">
      <c r="E90" s="292" t="s">
        <v>517</v>
      </c>
      <c r="G90" s="78"/>
      <c r="H90" s="293"/>
      <c r="I90" s="294" t="n">
        <v>1</v>
      </c>
      <c r="J90" s="295" t="n">
        <f aca="false">I90*H90</f>
        <v>0</v>
      </c>
      <c r="K90" s="295" t="n">
        <f aca="false">H90-J90</f>
        <v>0</v>
      </c>
      <c r="M90" s="2"/>
      <c r="N90" s="2"/>
    </row>
    <row r="91" customFormat="false" ht="12.75" hidden="false" customHeight="false" outlineLevel="2" collapsed="false">
      <c r="E91" s="292"/>
      <c r="F91" s="78" t="s">
        <v>518</v>
      </c>
      <c r="G91" s="78"/>
      <c r="H91" s="293"/>
      <c r="I91" s="296"/>
      <c r="J91" s="295"/>
      <c r="K91" s="295"/>
      <c r="M91" s="2"/>
      <c r="N91" s="2"/>
    </row>
    <row r="92" customFormat="false" ht="12.75" hidden="false" customHeight="false" outlineLevel="1" collapsed="false">
      <c r="A92" s="291" t="s">
        <v>519</v>
      </c>
      <c r="B92" s="291" t="s">
        <v>413</v>
      </c>
      <c r="C92" s="291" t="s">
        <v>414</v>
      </c>
      <c r="D92" s="291" t="s">
        <v>510</v>
      </c>
      <c r="E92" s="292"/>
      <c r="F92" s="78"/>
      <c r="G92" s="297" t="s">
        <v>431</v>
      </c>
      <c r="H92" s="298" t="n">
        <f aca="false">SUBTOTAL(9,H86:H90)</f>
        <v>2800</v>
      </c>
      <c r="I92" s="299"/>
      <c r="J92" s="298" t="n">
        <f aca="false">SUBTOTAL(9,J86:J90)</f>
        <v>2800</v>
      </c>
      <c r="K92" s="298" t="n">
        <f aca="false">SUBTOTAL(9,K86:K90)</f>
        <v>0</v>
      </c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  <c r="BF92" s="291"/>
      <c r="BG92" s="291"/>
      <c r="BH92" s="291"/>
      <c r="BI92" s="291"/>
      <c r="BJ92" s="291"/>
      <c r="BK92" s="291"/>
      <c r="BL92" s="291"/>
      <c r="BM92" s="291"/>
      <c r="BN92" s="291"/>
      <c r="BO92" s="291"/>
      <c r="BP92" s="291"/>
      <c r="BQ92" s="291"/>
      <c r="BR92" s="291"/>
      <c r="BS92" s="291"/>
      <c r="BT92" s="291"/>
      <c r="BU92" s="291"/>
      <c r="BV92" s="291"/>
      <c r="BW92" s="291"/>
      <c r="BX92" s="291"/>
      <c r="BY92" s="291"/>
      <c r="BZ92" s="291"/>
      <c r="CA92" s="291"/>
      <c r="CB92" s="291"/>
      <c r="CC92" s="291"/>
      <c r="CD92" s="291"/>
      <c r="CE92" s="291"/>
      <c r="CF92" s="291"/>
      <c r="CG92" s="291"/>
      <c r="CH92" s="291"/>
      <c r="CI92" s="291"/>
      <c r="CJ92" s="291"/>
      <c r="CK92" s="291"/>
      <c r="CL92" s="291"/>
      <c r="CM92" s="291"/>
      <c r="CN92" s="291"/>
      <c r="CO92" s="291"/>
      <c r="CP92" s="291"/>
      <c r="CQ92" s="291"/>
      <c r="CR92" s="291"/>
      <c r="CS92" s="291"/>
      <c r="CT92" s="291"/>
      <c r="CU92" s="291"/>
      <c r="CV92" s="291"/>
      <c r="CW92" s="291"/>
      <c r="CX92" s="291"/>
      <c r="CY92" s="291"/>
      <c r="CZ92" s="291"/>
      <c r="DA92" s="291"/>
      <c r="DB92" s="291"/>
      <c r="DC92" s="291"/>
      <c r="DD92" s="291"/>
      <c r="DE92" s="291"/>
      <c r="DF92" s="291"/>
      <c r="DG92" s="291"/>
      <c r="DH92" s="291"/>
      <c r="DI92" s="291"/>
      <c r="DJ92" s="291"/>
      <c r="DK92" s="291"/>
      <c r="DL92" s="291"/>
      <c r="DM92" s="291"/>
      <c r="DN92" s="291"/>
      <c r="DO92" s="291"/>
      <c r="DP92" s="291"/>
      <c r="DQ92" s="291"/>
      <c r="DR92" s="291"/>
      <c r="DS92" s="291"/>
      <c r="DT92" s="291"/>
      <c r="DU92" s="291"/>
      <c r="DV92" s="291"/>
      <c r="DW92" s="291"/>
      <c r="DX92" s="291"/>
      <c r="DY92" s="291"/>
      <c r="DZ92" s="291"/>
      <c r="EA92" s="291"/>
      <c r="EB92" s="291"/>
      <c r="EC92" s="291"/>
      <c r="ED92" s="291"/>
      <c r="EE92" s="291"/>
      <c r="EF92" s="291"/>
      <c r="EG92" s="291"/>
      <c r="EH92" s="291"/>
      <c r="EI92" s="291"/>
      <c r="EJ92" s="291"/>
      <c r="EK92" s="291"/>
      <c r="EL92" s="291"/>
      <c r="EM92" s="291"/>
      <c r="EN92" s="291"/>
      <c r="EO92" s="291"/>
      <c r="EP92" s="291"/>
      <c r="EQ92" s="291"/>
      <c r="ER92" s="291"/>
      <c r="ES92" s="291"/>
      <c r="ET92" s="291"/>
      <c r="EU92" s="291"/>
      <c r="EV92" s="291"/>
      <c r="EW92" s="291"/>
      <c r="EX92" s="291"/>
      <c r="EY92" s="291"/>
      <c r="EZ92" s="291"/>
      <c r="FA92" s="291"/>
      <c r="FB92" s="291"/>
      <c r="FC92" s="291"/>
      <c r="FD92" s="291"/>
      <c r="FE92" s="291"/>
      <c r="FF92" s="291"/>
      <c r="FG92" s="291"/>
      <c r="FH92" s="291"/>
      <c r="FI92" s="291"/>
      <c r="FJ92" s="291"/>
      <c r="FK92" s="291"/>
      <c r="FL92" s="291"/>
      <c r="FM92" s="291"/>
      <c r="FN92" s="291"/>
      <c r="FO92" s="291"/>
      <c r="FP92" s="291"/>
      <c r="FQ92" s="291"/>
      <c r="FR92" s="291"/>
      <c r="FS92" s="291"/>
      <c r="FT92" s="291"/>
      <c r="FU92" s="291"/>
      <c r="FV92" s="291"/>
      <c r="FW92" s="291"/>
      <c r="FX92" s="291"/>
      <c r="FY92" s="291"/>
      <c r="FZ92" s="291"/>
      <c r="GA92" s="291"/>
      <c r="GB92" s="291"/>
      <c r="GC92" s="291"/>
      <c r="GD92" s="291"/>
      <c r="GE92" s="291"/>
      <c r="GF92" s="291"/>
      <c r="GG92" s="291"/>
      <c r="GH92" s="291"/>
      <c r="GI92" s="291"/>
      <c r="GJ92" s="291"/>
      <c r="GK92" s="291"/>
      <c r="GL92" s="291"/>
      <c r="GM92" s="291"/>
      <c r="GN92" s="291"/>
      <c r="GO92" s="291"/>
      <c r="GP92" s="291"/>
      <c r="GQ92" s="291"/>
      <c r="GR92" s="291"/>
      <c r="GS92" s="291"/>
      <c r="GT92" s="291"/>
      <c r="GU92" s="291"/>
      <c r="GV92" s="291"/>
      <c r="GW92" s="291"/>
      <c r="GX92" s="291"/>
      <c r="GY92" s="291"/>
      <c r="GZ92" s="291"/>
      <c r="HA92" s="291"/>
      <c r="HB92" s="291"/>
      <c r="HC92" s="291"/>
      <c r="HD92" s="291"/>
      <c r="HE92" s="291"/>
      <c r="HF92" s="291"/>
      <c r="HG92" s="291"/>
      <c r="HH92" s="291"/>
      <c r="HI92" s="291"/>
      <c r="HJ92" s="291"/>
      <c r="HK92" s="291"/>
      <c r="HL92" s="291"/>
      <c r="HM92" s="291"/>
      <c r="HN92" s="291"/>
      <c r="HO92" s="291"/>
      <c r="HP92" s="291"/>
      <c r="HQ92" s="291"/>
      <c r="HR92" s="291"/>
      <c r="HS92" s="291"/>
      <c r="HT92" s="291"/>
      <c r="HU92" s="291"/>
      <c r="HV92" s="291"/>
      <c r="HW92" s="291"/>
      <c r="HX92" s="291"/>
      <c r="HY92" s="291"/>
      <c r="HZ92" s="291"/>
      <c r="IA92" s="291"/>
      <c r="IB92" s="291"/>
      <c r="IC92" s="291"/>
      <c r="ID92" s="291"/>
      <c r="IE92" s="291"/>
      <c r="IF92" s="291"/>
      <c r="IG92" s="291"/>
      <c r="IH92" s="291"/>
      <c r="II92" s="291"/>
      <c r="IJ92" s="291"/>
      <c r="IK92" s="291"/>
      <c r="IL92" s="291"/>
      <c r="IM92" s="291"/>
      <c r="IN92" s="291"/>
      <c r="IO92" s="291"/>
      <c r="IP92" s="291"/>
      <c r="IQ92" s="291"/>
      <c r="IR92" s="291"/>
      <c r="IS92" s="291"/>
      <c r="IT92" s="291"/>
      <c r="IU92" s="291"/>
      <c r="IV92" s="291"/>
      <c r="IW92" s="291"/>
    </row>
    <row r="93" customFormat="false" ht="12.75" hidden="false" customHeight="false" outlineLevel="1" collapsed="false">
      <c r="A93" s="2" t="s">
        <v>520</v>
      </c>
      <c r="B93" s="2" t="s">
        <v>413</v>
      </c>
      <c r="C93" s="2" t="s">
        <v>414</v>
      </c>
      <c r="D93" s="2" t="s">
        <v>186</v>
      </c>
      <c r="E93" s="300" t="s">
        <v>186</v>
      </c>
      <c r="F93" s="301"/>
      <c r="G93" s="302"/>
      <c r="H93" s="288"/>
      <c r="I93" s="289"/>
      <c r="J93" s="288"/>
      <c r="K93" s="288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  <c r="BF93" s="291"/>
      <c r="BG93" s="291"/>
      <c r="BH93" s="291"/>
      <c r="BI93" s="291"/>
      <c r="BJ93" s="291"/>
      <c r="BK93" s="291"/>
      <c r="BL93" s="291"/>
      <c r="BM93" s="291"/>
      <c r="BN93" s="291"/>
      <c r="BO93" s="291"/>
      <c r="BP93" s="291"/>
      <c r="BQ93" s="291"/>
      <c r="BR93" s="291"/>
      <c r="BS93" s="291"/>
      <c r="BT93" s="291"/>
      <c r="BU93" s="291"/>
      <c r="BV93" s="291"/>
      <c r="BW93" s="291"/>
      <c r="BX93" s="291"/>
      <c r="BY93" s="291"/>
      <c r="BZ93" s="291"/>
      <c r="CA93" s="291"/>
      <c r="CB93" s="291"/>
      <c r="CC93" s="291"/>
      <c r="CD93" s="291"/>
      <c r="CE93" s="291"/>
      <c r="CF93" s="291"/>
      <c r="CG93" s="291"/>
      <c r="CH93" s="291"/>
      <c r="CI93" s="291"/>
      <c r="CJ93" s="291"/>
      <c r="CK93" s="291"/>
      <c r="CL93" s="291"/>
      <c r="CM93" s="291"/>
      <c r="CN93" s="291"/>
      <c r="CO93" s="291"/>
      <c r="CP93" s="291"/>
      <c r="CQ93" s="291"/>
      <c r="CR93" s="291"/>
      <c r="CS93" s="291"/>
      <c r="CT93" s="291"/>
      <c r="CU93" s="291"/>
      <c r="CV93" s="291"/>
      <c r="CW93" s="291"/>
      <c r="CX93" s="291"/>
      <c r="CY93" s="291"/>
      <c r="CZ93" s="291"/>
      <c r="DA93" s="291"/>
      <c r="DB93" s="291"/>
      <c r="DC93" s="291"/>
      <c r="DD93" s="291"/>
      <c r="DE93" s="291"/>
      <c r="DF93" s="291"/>
      <c r="DG93" s="291"/>
      <c r="DH93" s="291"/>
      <c r="DI93" s="291"/>
      <c r="DJ93" s="291"/>
      <c r="DK93" s="291"/>
      <c r="DL93" s="291"/>
      <c r="DM93" s="291"/>
      <c r="DN93" s="291"/>
      <c r="DO93" s="291"/>
      <c r="DP93" s="291"/>
      <c r="DQ93" s="291"/>
      <c r="DR93" s="291"/>
      <c r="DS93" s="291"/>
      <c r="DT93" s="291"/>
      <c r="DU93" s="291"/>
      <c r="DV93" s="291"/>
      <c r="DW93" s="291"/>
      <c r="DX93" s="291"/>
      <c r="DY93" s="291"/>
      <c r="DZ93" s="291"/>
      <c r="EA93" s="291"/>
      <c r="EB93" s="291"/>
      <c r="EC93" s="291"/>
      <c r="ED93" s="291"/>
      <c r="EE93" s="291"/>
      <c r="EF93" s="291"/>
      <c r="EG93" s="291"/>
      <c r="EH93" s="291"/>
      <c r="EI93" s="291"/>
      <c r="EJ93" s="291"/>
      <c r="EK93" s="291"/>
      <c r="EL93" s="291"/>
      <c r="EM93" s="291"/>
      <c r="EN93" s="291"/>
      <c r="EO93" s="291"/>
      <c r="EP93" s="291"/>
      <c r="EQ93" s="291"/>
      <c r="ER93" s="291"/>
      <c r="ES93" s="291"/>
      <c r="ET93" s="291"/>
      <c r="EU93" s="291"/>
      <c r="EV93" s="291"/>
      <c r="EW93" s="291"/>
      <c r="EX93" s="291"/>
      <c r="EY93" s="291"/>
      <c r="EZ93" s="291"/>
      <c r="FA93" s="291"/>
      <c r="FB93" s="291"/>
      <c r="FC93" s="291"/>
      <c r="FD93" s="291"/>
      <c r="FE93" s="291"/>
      <c r="FF93" s="291"/>
      <c r="FG93" s="291"/>
      <c r="FH93" s="291"/>
      <c r="FI93" s="291"/>
      <c r="FJ93" s="291"/>
      <c r="FK93" s="291"/>
      <c r="FL93" s="291"/>
      <c r="FM93" s="291"/>
      <c r="FN93" s="291"/>
      <c r="FO93" s="291"/>
      <c r="FP93" s="291"/>
      <c r="FQ93" s="291"/>
      <c r="FR93" s="291"/>
      <c r="FS93" s="291"/>
      <c r="FT93" s="291"/>
      <c r="FU93" s="291"/>
      <c r="FV93" s="291"/>
      <c r="FW93" s="291"/>
      <c r="FX93" s="291"/>
      <c r="FY93" s="291"/>
      <c r="FZ93" s="291"/>
      <c r="GA93" s="291"/>
      <c r="GB93" s="291"/>
      <c r="GC93" s="291"/>
      <c r="GD93" s="291"/>
      <c r="GE93" s="291"/>
      <c r="GF93" s="291"/>
      <c r="GG93" s="291"/>
      <c r="GH93" s="291"/>
      <c r="GI93" s="291"/>
      <c r="GJ93" s="291"/>
      <c r="GK93" s="291"/>
      <c r="GL93" s="291"/>
      <c r="GM93" s="291"/>
      <c r="GN93" s="291"/>
      <c r="GO93" s="291"/>
      <c r="GP93" s="291"/>
      <c r="GQ93" s="291"/>
      <c r="GR93" s="291"/>
      <c r="GS93" s="291"/>
      <c r="GT93" s="291"/>
      <c r="GU93" s="291"/>
      <c r="GV93" s="291"/>
      <c r="GW93" s="291"/>
      <c r="GX93" s="291"/>
      <c r="GY93" s="291"/>
      <c r="GZ93" s="291"/>
      <c r="HA93" s="291"/>
      <c r="HB93" s="291"/>
      <c r="HC93" s="291"/>
      <c r="HD93" s="291"/>
      <c r="HE93" s="291"/>
      <c r="HF93" s="291"/>
      <c r="HG93" s="291"/>
      <c r="HH93" s="291"/>
      <c r="HI93" s="291"/>
      <c r="HJ93" s="291"/>
      <c r="HK93" s="291"/>
      <c r="HL93" s="291"/>
      <c r="HM93" s="291"/>
      <c r="HN93" s="291"/>
      <c r="HO93" s="291"/>
      <c r="HP93" s="291"/>
      <c r="HQ93" s="291"/>
      <c r="HR93" s="291"/>
      <c r="HS93" s="291"/>
      <c r="HT93" s="291"/>
      <c r="HU93" s="291"/>
      <c r="HV93" s="291"/>
      <c r="HW93" s="291"/>
      <c r="HX93" s="291"/>
      <c r="HY93" s="291"/>
      <c r="HZ93" s="291"/>
      <c r="IA93" s="291"/>
      <c r="IB93" s="291"/>
      <c r="IC93" s="291"/>
      <c r="ID93" s="291"/>
      <c r="IE93" s="291"/>
      <c r="IF93" s="291"/>
      <c r="IG93" s="291"/>
      <c r="IH93" s="291"/>
      <c r="II93" s="291"/>
      <c r="IJ93" s="291"/>
      <c r="IK93" s="291"/>
      <c r="IL93" s="291"/>
      <c r="IM93" s="291"/>
      <c r="IN93" s="291"/>
      <c r="IO93" s="291"/>
      <c r="IP93" s="291"/>
      <c r="IQ93" s="291"/>
      <c r="IR93" s="291"/>
      <c r="IS93" s="291"/>
      <c r="IT93" s="291"/>
      <c r="IU93" s="291"/>
      <c r="IV93" s="291"/>
      <c r="IW93" s="291"/>
    </row>
    <row r="94" customFormat="false" ht="12.75" hidden="false" customHeight="false" outlineLevel="2" collapsed="false">
      <c r="A94" s="2" t="str">
        <f aca="false">B94&amp;C94&amp;D94</f>
        <v>O&amp;M Mobilization BudgetOperating ExpensesTraining</v>
      </c>
      <c r="B94" s="2" t="s">
        <v>413</v>
      </c>
      <c r="C94" s="2" t="s">
        <v>414</v>
      </c>
      <c r="D94" s="2" t="s">
        <v>186</v>
      </c>
      <c r="E94" s="292" t="s">
        <v>521</v>
      </c>
      <c r="F94" s="78" t="s">
        <v>522</v>
      </c>
      <c r="G94" s="78"/>
      <c r="H94" s="306" t="n">
        <f aca="false">Training!I51*1000</f>
        <v>156580</v>
      </c>
      <c r="I94" s="294" t="n">
        <v>1</v>
      </c>
      <c r="J94" s="295" t="n">
        <f aca="false">I94*H94</f>
        <v>156580</v>
      </c>
      <c r="K94" s="295" t="n">
        <f aca="false">H94-J94</f>
        <v>0</v>
      </c>
      <c r="M94" s="2"/>
      <c r="N94" s="2"/>
    </row>
    <row r="95" customFormat="false" ht="12.75" hidden="true" customHeight="false" outlineLevel="2" collapsed="false">
      <c r="A95" s="2" t="str">
        <f aca="false">B95&amp;C95&amp;D95</f>
        <v>O&amp;M Mobilization BudgetOperating ExpensesTraining</v>
      </c>
      <c r="B95" s="2" t="s">
        <v>413</v>
      </c>
      <c r="C95" s="2" t="s">
        <v>414</v>
      </c>
      <c r="D95" s="2" t="s">
        <v>186</v>
      </c>
      <c r="E95" s="292" t="s">
        <v>523</v>
      </c>
      <c r="F95" s="78"/>
      <c r="G95" s="78"/>
      <c r="H95" s="293"/>
      <c r="I95" s="294" t="n">
        <v>0</v>
      </c>
      <c r="J95" s="295" t="n">
        <f aca="false">I95*H95</f>
        <v>0</v>
      </c>
      <c r="K95" s="295" t="n">
        <f aca="false">H95-J95</f>
        <v>0</v>
      </c>
      <c r="M95" s="2"/>
      <c r="N95" s="2"/>
    </row>
    <row r="96" customFormat="false" ht="12.75" hidden="true" customHeight="false" outlineLevel="2" collapsed="false">
      <c r="A96" s="2" t="str">
        <f aca="false">B96&amp;C96&amp;D96</f>
        <v>O&amp;M Mobilization BudgetOperating ExpensesTraining</v>
      </c>
      <c r="B96" s="2" t="s">
        <v>413</v>
      </c>
      <c r="C96" s="2" t="s">
        <v>414</v>
      </c>
      <c r="D96" s="2" t="s">
        <v>186</v>
      </c>
      <c r="E96" s="292" t="s">
        <v>524</v>
      </c>
      <c r="F96" s="78"/>
      <c r="G96" s="78"/>
      <c r="H96" s="293"/>
      <c r="I96" s="294" t="n">
        <v>0</v>
      </c>
      <c r="J96" s="295" t="n">
        <f aca="false">I96*H96</f>
        <v>0</v>
      </c>
      <c r="K96" s="295" t="n">
        <f aca="false">H96-J96</f>
        <v>0</v>
      </c>
      <c r="M96" s="2"/>
      <c r="N96" s="2"/>
    </row>
    <row r="97" customFormat="false" ht="12.75" hidden="true" customHeight="false" outlineLevel="2" collapsed="false">
      <c r="A97" s="2" t="str">
        <f aca="false">B97&amp;C97&amp;D97</f>
        <v>O&amp;M Mobilization BudgetOperating ExpensesTraining</v>
      </c>
      <c r="B97" s="2" t="s">
        <v>413</v>
      </c>
      <c r="C97" s="2" t="s">
        <v>414</v>
      </c>
      <c r="D97" s="2" t="s">
        <v>186</v>
      </c>
      <c r="E97" s="292" t="s">
        <v>525</v>
      </c>
      <c r="F97" s="78"/>
      <c r="G97" s="78"/>
      <c r="H97" s="293"/>
      <c r="I97" s="294" t="n">
        <v>0</v>
      </c>
      <c r="J97" s="295" t="n">
        <f aca="false">I97*H97</f>
        <v>0</v>
      </c>
      <c r="K97" s="295" t="n">
        <f aca="false">H97-J97</f>
        <v>0</v>
      </c>
      <c r="M97" s="2"/>
      <c r="N97" s="2"/>
    </row>
    <row r="98" customFormat="false" ht="12.75" hidden="true" customHeight="false" outlineLevel="2" collapsed="false">
      <c r="A98" s="2" t="str">
        <f aca="false">B98&amp;C98&amp;D98</f>
        <v>O&amp;M Mobilization BudgetOperating ExpensesTraining</v>
      </c>
      <c r="B98" s="2" t="s">
        <v>413</v>
      </c>
      <c r="C98" s="2" t="s">
        <v>414</v>
      </c>
      <c r="D98" s="2" t="s">
        <v>186</v>
      </c>
      <c r="E98" s="292" t="s">
        <v>526</v>
      </c>
      <c r="F98" s="78"/>
      <c r="G98" s="78"/>
      <c r="H98" s="293"/>
      <c r="I98" s="294" t="n">
        <v>0</v>
      </c>
      <c r="J98" s="295" t="n">
        <f aca="false">I98*H98</f>
        <v>0</v>
      </c>
      <c r="K98" s="295" t="n">
        <f aca="false">H98-J98</f>
        <v>0</v>
      </c>
      <c r="M98" s="2"/>
      <c r="N98" s="2"/>
    </row>
    <row r="99" customFormat="false" ht="12.75" hidden="true" customHeight="false" outlineLevel="2" collapsed="false">
      <c r="A99" s="2" t="str">
        <f aca="false">B99&amp;C99&amp;D99</f>
        <v>O&amp;M Mobilization BudgetOperating ExpensesTraining</v>
      </c>
      <c r="B99" s="2" t="s">
        <v>413</v>
      </c>
      <c r="C99" s="2" t="s">
        <v>414</v>
      </c>
      <c r="D99" s="2" t="s">
        <v>186</v>
      </c>
      <c r="E99" s="292" t="s">
        <v>527</v>
      </c>
      <c r="F99" s="78"/>
      <c r="G99" s="78"/>
      <c r="H99" s="293"/>
      <c r="I99" s="294" t="n">
        <v>0</v>
      </c>
      <c r="J99" s="295" t="n">
        <f aca="false">I99*H99</f>
        <v>0</v>
      </c>
      <c r="K99" s="295" t="n">
        <f aca="false">H99-J99</f>
        <v>0</v>
      </c>
      <c r="M99" s="2"/>
      <c r="N99" s="2"/>
    </row>
    <row r="100" customFormat="false" ht="12.75" hidden="true" customHeight="false" outlineLevel="2" collapsed="false">
      <c r="A100" s="2" t="str">
        <f aca="false">B100&amp;C100&amp;D100</f>
        <v>O&amp;M Mobilization BudgetOperating ExpensesTraining</v>
      </c>
      <c r="B100" s="2" t="s">
        <v>413</v>
      </c>
      <c r="C100" s="2" t="s">
        <v>414</v>
      </c>
      <c r="D100" s="2" t="s">
        <v>186</v>
      </c>
      <c r="E100" s="292" t="s">
        <v>528</v>
      </c>
      <c r="F100" s="78"/>
      <c r="G100" s="78"/>
      <c r="H100" s="293"/>
      <c r="I100" s="294" t="n">
        <v>0</v>
      </c>
      <c r="J100" s="295" t="n">
        <f aca="false">I100*H100</f>
        <v>0</v>
      </c>
      <c r="K100" s="295" t="n">
        <f aca="false">H100-J100</f>
        <v>0</v>
      </c>
      <c r="M100" s="2"/>
      <c r="N100" s="2"/>
    </row>
    <row r="101" customFormat="false" ht="12.75" hidden="true" customHeight="false" outlineLevel="2" collapsed="false">
      <c r="A101" s="2" t="str">
        <f aca="false">B101&amp;C101&amp;D101</f>
        <v>O&amp;M Mobilization BudgetOperating ExpensesTraining</v>
      </c>
      <c r="B101" s="2" t="s">
        <v>413</v>
      </c>
      <c r="C101" s="2" t="s">
        <v>414</v>
      </c>
      <c r="D101" s="2" t="s">
        <v>186</v>
      </c>
      <c r="E101" s="292" t="s">
        <v>529</v>
      </c>
      <c r="F101" s="78"/>
      <c r="G101" s="78"/>
      <c r="H101" s="293"/>
      <c r="I101" s="294" t="n">
        <v>0</v>
      </c>
      <c r="J101" s="295" t="n">
        <f aca="false">I101*H101</f>
        <v>0</v>
      </c>
      <c r="K101" s="295" t="n">
        <f aca="false">H101-J101</f>
        <v>0</v>
      </c>
      <c r="M101" s="2"/>
      <c r="N101" s="2"/>
    </row>
    <row r="102" customFormat="false" ht="12.75" hidden="true" customHeight="false" outlineLevel="2" collapsed="false">
      <c r="A102" s="2" t="str">
        <f aca="false">B102&amp;C102&amp;D102</f>
        <v>O&amp;M Mobilization BudgetOperating ExpensesTraining</v>
      </c>
      <c r="B102" s="2" t="s">
        <v>413</v>
      </c>
      <c r="C102" s="2" t="s">
        <v>414</v>
      </c>
      <c r="D102" s="2" t="s">
        <v>186</v>
      </c>
      <c r="E102" s="292" t="s">
        <v>530</v>
      </c>
      <c r="F102" s="78"/>
      <c r="G102" s="78"/>
      <c r="H102" s="293"/>
      <c r="I102" s="294" t="n">
        <v>0</v>
      </c>
      <c r="J102" s="295" t="n">
        <f aca="false">I102*H102</f>
        <v>0</v>
      </c>
      <c r="K102" s="295" t="n">
        <f aca="false">H102-J102</f>
        <v>0</v>
      </c>
      <c r="M102" s="2"/>
      <c r="N102" s="2"/>
    </row>
    <row r="103" customFormat="false" ht="12.75" hidden="true" customHeight="false" outlineLevel="2" collapsed="false">
      <c r="A103" s="2" t="str">
        <f aca="false">B103&amp;C103&amp;D103</f>
        <v>O&amp;M Mobilization BudgetOperating ExpensesTraining</v>
      </c>
      <c r="B103" s="2" t="s">
        <v>413</v>
      </c>
      <c r="C103" s="2" t="s">
        <v>414</v>
      </c>
      <c r="D103" s="2" t="s">
        <v>186</v>
      </c>
      <c r="E103" s="292" t="s">
        <v>531</v>
      </c>
      <c r="F103" s="78"/>
      <c r="G103" s="78"/>
      <c r="H103" s="293"/>
      <c r="I103" s="294" t="n">
        <v>0</v>
      </c>
      <c r="J103" s="295" t="n">
        <f aca="false">I103*H103</f>
        <v>0</v>
      </c>
      <c r="K103" s="295" t="n">
        <f aca="false">H103-J103</f>
        <v>0</v>
      </c>
      <c r="M103" s="2"/>
      <c r="N103" s="2"/>
    </row>
    <row r="104" customFormat="false" ht="12.75" hidden="true" customHeight="false" outlineLevel="2" collapsed="false">
      <c r="A104" s="2" t="str">
        <f aca="false">B104&amp;C104&amp;D104</f>
        <v>O&amp;M Mobilization BudgetOperating ExpensesTraining</v>
      </c>
      <c r="B104" s="2" t="s">
        <v>413</v>
      </c>
      <c r="C104" s="2" t="s">
        <v>414</v>
      </c>
      <c r="D104" s="2" t="s">
        <v>186</v>
      </c>
      <c r="E104" s="292" t="s">
        <v>532</v>
      </c>
      <c r="F104" s="78"/>
      <c r="G104" s="78"/>
      <c r="H104" s="293"/>
      <c r="I104" s="294" t="n">
        <v>0</v>
      </c>
      <c r="J104" s="295" t="n">
        <f aca="false">I104*H104</f>
        <v>0</v>
      </c>
      <c r="K104" s="295" t="n">
        <f aca="false">H104-J104</f>
        <v>0</v>
      </c>
      <c r="M104" s="2"/>
      <c r="N104" s="2"/>
    </row>
    <row r="105" customFormat="false" ht="12.75" hidden="true" customHeight="false" outlineLevel="2" collapsed="false">
      <c r="A105" s="2" t="str">
        <f aca="false">B105&amp;C105&amp;D105</f>
        <v>O&amp;M Mobilization BudgetOperating ExpensesTraining</v>
      </c>
      <c r="B105" s="2" t="s">
        <v>413</v>
      </c>
      <c r="C105" s="2" t="s">
        <v>414</v>
      </c>
      <c r="D105" s="2" t="s">
        <v>186</v>
      </c>
      <c r="E105" s="292" t="s">
        <v>533</v>
      </c>
      <c r="F105" s="78"/>
      <c r="G105" s="78"/>
      <c r="H105" s="293"/>
      <c r="I105" s="294" t="n">
        <v>0</v>
      </c>
      <c r="J105" s="295" t="n">
        <f aca="false">I105*H105</f>
        <v>0</v>
      </c>
      <c r="K105" s="295" t="n">
        <f aca="false">H105-J105</f>
        <v>0</v>
      </c>
      <c r="M105" s="2"/>
      <c r="N105" s="2"/>
    </row>
    <row r="106" customFormat="false" ht="13.5" hidden="true" customHeight="true" outlineLevel="2" collapsed="false">
      <c r="A106" s="2" t="str">
        <f aca="false">B106&amp;C106&amp;D106</f>
        <v>O&amp;M Mobilization BudgetOperating ExpensesTraining</v>
      </c>
      <c r="B106" s="2" t="s">
        <v>413</v>
      </c>
      <c r="C106" s="2" t="s">
        <v>414</v>
      </c>
      <c r="D106" s="2" t="s">
        <v>186</v>
      </c>
      <c r="E106" s="292" t="s">
        <v>534</v>
      </c>
      <c r="F106" s="78"/>
      <c r="G106" s="78"/>
      <c r="H106" s="293"/>
      <c r="I106" s="294" t="n">
        <v>0</v>
      </c>
      <c r="J106" s="295" t="n">
        <f aca="false">I106*H106</f>
        <v>0</v>
      </c>
      <c r="K106" s="295" t="n">
        <f aca="false">H106-J106</f>
        <v>0</v>
      </c>
      <c r="M106" s="2"/>
      <c r="N106" s="2"/>
    </row>
    <row r="107" customFormat="false" ht="12.75" hidden="true" customHeight="false" outlineLevel="2" collapsed="false">
      <c r="A107" s="2" t="str">
        <f aca="false">B107&amp;C107&amp;D107</f>
        <v>O&amp;M Mobilization BudgetOperating ExpensesTraining</v>
      </c>
      <c r="B107" s="2" t="s">
        <v>413</v>
      </c>
      <c r="C107" s="2" t="s">
        <v>414</v>
      </c>
      <c r="D107" s="2" t="s">
        <v>186</v>
      </c>
      <c r="E107" s="292" t="s">
        <v>535</v>
      </c>
      <c r="F107" s="78"/>
      <c r="G107" s="78"/>
      <c r="H107" s="293"/>
      <c r="I107" s="294" t="n">
        <v>0</v>
      </c>
      <c r="J107" s="295" t="n">
        <f aca="false">I107*H107</f>
        <v>0</v>
      </c>
      <c r="K107" s="295" t="n">
        <f aca="false">H107-J107</f>
        <v>0</v>
      </c>
      <c r="M107" s="2"/>
      <c r="N107" s="2"/>
    </row>
    <row r="108" customFormat="false" ht="12.75" hidden="false" customHeight="false" outlineLevel="2" collapsed="false">
      <c r="E108" s="292"/>
      <c r="F108" s="78"/>
      <c r="G108" s="78"/>
      <c r="H108" s="293"/>
      <c r="I108" s="294" t="n">
        <v>0</v>
      </c>
      <c r="J108" s="295" t="n">
        <f aca="false">I108*H108</f>
        <v>0</v>
      </c>
      <c r="K108" s="295" t="n">
        <f aca="false">H108-J108</f>
        <v>0</v>
      </c>
      <c r="M108" s="2"/>
      <c r="N108" s="2"/>
    </row>
    <row r="109" customFormat="false" ht="12.75" hidden="false" customHeight="false" outlineLevel="1" collapsed="false">
      <c r="A109" s="291" t="s">
        <v>536</v>
      </c>
      <c r="B109" s="291" t="s">
        <v>413</v>
      </c>
      <c r="C109" s="291" t="s">
        <v>414</v>
      </c>
      <c r="D109" s="291" t="s">
        <v>186</v>
      </c>
      <c r="E109" s="292"/>
      <c r="F109" s="78"/>
      <c r="G109" s="297" t="s">
        <v>431</v>
      </c>
      <c r="H109" s="298" t="n">
        <f aca="false">SUBTOTAL(9,H94:H107)</f>
        <v>156580</v>
      </c>
      <c r="I109" s="299"/>
      <c r="J109" s="298" t="n">
        <f aca="false">SUBTOTAL(9,J94:J107)</f>
        <v>156580</v>
      </c>
      <c r="K109" s="298" t="n">
        <f aca="false">SUBTOTAL(9,K94:K107)</f>
        <v>0</v>
      </c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291"/>
      <c r="DJ109" s="291"/>
      <c r="DK109" s="291"/>
      <c r="DL109" s="291"/>
      <c r="DM109" s="291"/>
      <c r="DN109" s="291"/>
      <c r="DO109" s="291"/>
      <c r="DP109" s="291"/>
      <c r="DQ109" s="291"/>
      <c r="DR109" s="291"/>
      <c r="DS109" s="291"/>
      <c r="DT109" s="291"/>
      <c r="DU109" s="291"/>
      <c r="DV109" s="291"/>
      <c r="DW109" s="291"/>
      <c r="DX109" s="291"/>
      <c r="DY109" s="291"/>
      <c r="DZ109" s="291"/>
      <c r="EA109" s="291"/>
      <c r="EB109" s="291"/>
      <c r="EC109" s="291"/>
      <c r="ED109" s="291"/>
      <c r="EE109" s="291"/>
      <c r="EF109" s="291"/>
      <c r="EG109" s="291"/>
      <c r="EH109" s="291"/>
      <c r="EI109" s="291"/>
      <c r="EJ109" s="291"/>
      <c r="EK109" s="291"/>
      <c r="EL109" s="291"/>
      <c r="EM109" s="291"/>
      <c r="EN109" s="291"/>
      <c r="EO109" s="291"/>
      <c r="EP109" s="291"/>
      <c r="EQ109" s="291"/>
      <c r="ER109" s="291"/>
      <c r="ES109" s="291"/>
      <c r="ET109" s="291"/>
      <c r="EU109" s="291"/>
      <c r="EV109" s="291"/>
      <c r="EW109" s="291"/>
      <c r="EX109" s="291"/>
      <c r="EY109" s="291"/>
      <c r="EZ109" s="291"/>
      <c r="FA109" s="291"/>
      <c r="FB109" s="291"/>
      <c r="FC109" s="291"/>
      <c r="FD109" s="291"/>
      <c r="FE109" s="291"/>
      <c r="FF109" s="291"/>
      <c r="FG109" s="291"/>
      <c r="FH109" s="291"/>
      <c r="FI109" s="291"/>
      <c r="FJ109" s="291"/>
      <c r="FK109" s="291"/>
      <c r="FL109" s="291"/>
      <c r="FM109" s="291"/>
      <c r="FN109" s="291"/>
      <c r="FO109" s="291"/>
      <c r="FP109" s="291"/>
      <c r="FQ109" s="291"/>
      <c r="FR109" s="291"/>
      <c r="FS109" s="291"/>
      <c r="FT109" s="291"/>
      <c r="FU109" s="291"/>
      <c r="FV109" s="291"/>
      <c r="FW109" s="291"/>
      <c r="FX109" s="291"/>
      <c r="FY109" s="291"/>
      <c r="FZ109" s="291"/>
      <c r="GA109" s="291"/>
      <c r="GB109" s="291"/>
      <c r="GC109" s="291"/>
      <c r="GD109" s="291"/>
      <c r="GE109" s="291"/>
      <c r="GF109" s="291"/>
      <c r="GG109" s="291"/>
      <c r="GH109" s="291"/>
      <c r="GI109" s="291"/>
      <c r="GJ109" s="291"/>
      <c r="GK109" s="291"/>
      <c r="GL109" s="291"/>
      <c r="GM109" s="291"/>
      <c r="GN109" s="291"/>
      <c r="GO109" s="291"/>
      <c r="GP109" s="291"/>
      <c r="GQ109" s="291"/>
      <c r="GR109" s="291"/>
      <c r="GS109" s="291"/>
      <c r="GT109" s="291"/>
      <c r="GU109" s="291"/>
      <c r="GV109" s="291"/>
      <c r="GW109" s="291"/>
      <c r="GX109" s="291"/>
      <c r="GY109" s="291"/>
      <c r="GZ109" s="291"/>
      <c r="HA109" s="291"/>
      <c r="HB109" s="291"/>
      <c r="HC109" s="291"/>
      <c r="HD109" s="291"/>
      <c r="HE109" s="291"/>
      <c r="HF109" s="291"/>
      <c r="HG109" s="291"/>
      <c r="HH109" s="291"/>
      <c r="HI109" s="291"/>
      <c r="HJ109" s="291"/>
      <c r="HK109" s="291"/>
      <c r="HL109" s="291"/>
      <c r="HM109" s="291"/>
      <c r="HN109" s="291"/>
      <c r="HO109" s="291"/>
      <c r="HP109" s="291"/>
      <c r="HQ109" s="291"/>
      <c r="HR109" s="291"/>
      <c r="HS109" s="291"/>
      <c r="HT109" s="291"/>
      <c r="HU109" s="291"/>
      <c r="HV109" s="291"/>
      <c r="HW109" s="291"/>
      <c r="HX109" s="291"/>
      <c r="HY109" s="291"/>
      <c r="HZ109" s="291"/>
      <c r="IA109" s="291"/>
      <c r="IB109" s="291"/>
      <c r="IC109" s="291"/>
      <c r="ID109" s="291"/>
      <c r="IE109" s="291"/>
      <c r="IF109" s="291"/>
      <c r="IG109" s="291"/>
      <c r="IH109" s="291"/>
      <c r="II109" s="291"/>
      <c r="IJ109" s="291"/>
      <c r="IK109" s="291"/>
      <c r="IL109" s="291"/>
      <c r="IM109" s="291"/>
      <c r="IN109" s="291"/>
      <c r="IO109" s="291"/>
      <c r="IP109" s="291"/>
      <c r="IQ109" s="291"/>
      <c r="IR109" s="291"/>
      <c r="IS109" s="291"/>
      <c r="IT109" s="291"/>
      <c r="IU109" s="291"/>
      <c r="IV109" s="291"/>
      <c r="IW109" s="291"/>
    </row>
    <row r="110" customFormat="false" ht="12.75" hidden="false" customHeight="false" outlineLevel="1" collapsed="false">
      <c r="A110" s="2" t="s">
        <v>537</v>
      </c>
      <c r="B110" s="2" t="s">
        <v>413</v>
      </c>
      <c r="C110" s="2" t="s">
        <v>414</v>
      </c>
      <c r="D110" s="2" t="s">
        <v>538</v>
      </c>
      <c r="E110" s="310" t="s">
        <v>538</v>
      </c>
      <c r="F110" s="311"/>
      <c r="G110" s="312"/>
      <c r="H110" s="313"/>
      <c r="I110" s="289"/>
      <c r="J110" s="288"/>
      <c r="K110" s="288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91"/>
      <c r="DJ110" s="291"/>
      <c r="DK110" s="291"/>
      <c r="DL110" s="291"/>
      <c r="DM110" s="291"/>
      <c r="DN110" s="291"/>
      <c r="DO110" s="291"/>
      <c r="DP110" s="291"/>
      <c r="DQ110" s="291"/>
      <c r="DR110" s="291"/>
      <c r="DS110" s="291"/>
      <c r="DT110" s="291"/>
      <c r="DU110" s="291"/>
      <c r="DV110" s="291"/>
      <c r="DW110" s="291"/>
      <c r="DX110" s="291"/>
      <c r="DY110" s="291"/>
      <c r="DZ110" s="291"/>
      <c r="EA110" s="291"/>
      <c r="EB110" s="291"/>
      <c r="EC110" s="291"/>
      <c r="ED110" s="291"/>
      <c r="EE110" s="291"/>
      <c r="EF110" s="291"/>
      <c r="EG110" s="291"/>
      <c r="EH110" s="291"/>
      <c r="EI110" s="291"/>
      <c r="EJ110" s="291"/>
      <c r="EK110" s="291"/>
      <c r="EL110" s="291"/>
      <c r="EM110" s="291"/>
      <c r="EN110" s="291"/>
      <c r="EO110" s="291"/>
      <c r="EP110" s="291"/>
      <c r="EQ110" s="291"/>
      <c r="ER110" s="291"/>
      <c r="ES110" s="291"/>
      <c r="ET110" s="291"/>
      <c r="EU110" s="291"/>
      <c r="EV110" s="291"/>
      <c r="EW110" s="291"/>
      <c r="EX110" s="291"/>
      <c r="EY110" s="291"/>
      <c r="EZ110" s="291"/>
      <c r="FA110" s="291"/>
      <c r="FB110" s="291"/>
      <c r="FC110" s="291"/>
      <c r="FD110" s="291"/>
      <c r="FE110" s="291"/>
      <c r="FF110" s="291"/>
      <c r="FG110" s="291"/>
      <c r="FH110" s="291"/>
      <c r="FI110" s="291"/>
      <c r="FJ110" s="291"/>
      <c r="FK110" s="291"/>
      <c r="FL110" s="291"/>
      <c r="FM110" s="291"/>
      <c r="FN110" s="291"/>
      <c r="FO110" s="291"/>
      <c r="FP110" s="291"/>
      <c r="FQ110" s="291"/>
      <c r="FR110" s="291"/>
      <c r="FS110" s="291"/>
      <c r="FT110" s="291"/>
      <c r="FU110" s="291"/>
      <c r="FV110" s="291"/>
      <c r="FW110" s="291"/>
      <c r="FX110" s="291"/>
      <c r="FY110" s="291"/>
      <c r="FZ110" s="291"/>
      <c r="GA110" s="291"/>
      <c r="GB110" s="291"/>
      <c r="GC110" s="291"/>
      <c r="GD110" s="291"/>
      <c r="GE110" s="291"/>
      <c r="GF110" s="291"/>
      <c r="GG110" s="291"/>
      <c r="GH110" s="291"/>
      <c r="GI110" s="291"/>
      <c r="GJ110" s="291"/>
      <c r="GK110" s="291"/>
      <c r="GL110" s="291"/>
      <c r="GM110" s="291"/>
      <c r="GN110" s="291"/>
      <c r="GO110" s="291"/>
      <c r="GP110" s="291"/>
      <c r="GQ110" s="291"/>
      <c r="GR110" s="291"/>
      <c r="GS110" s="291"/>
      <c r="GT110" s="291"/>
      <c r="GU110" s="291"/>
      <c r="GV110" s="291"/>
      <c r="GW110" s="291"/>
      <c r="GX110" s="291"/>
      <c r="GY110" s="291"/>
      <c r="GZ110" s="291"/>
      <c r="HA110" s="291"/>
      <c r="HB110" s="291"/>
      <c r="HC110" s="291"/>
      <c r="HD110" s="291"/>
      <c r="HE110" s="291"/>
      <c r="HF110" s="291"/>
      <c r="HG110" s="291"/>
      <c r="HH110" s="291"/>
      <c r="HI110" s="291"/>
      <c r="HJ110" s="291"/>
      <c r="HK110" s="291"/>
      <c r="HL110" s="291"/>
      <c r="HM110" s="291"/>
      <c r="HN110" s="291"/>
      <c r="HO110" s="291"/>
      <c r="HP110" s="291"/>
      <c r="HQ110" s="291"/>
      <c r="HR110" s="291"/>
      <c r="HS110" s="291"/>
      <c r="HT110" s="291"/>
      <c r="HU110" s="291"/>
      <c r="HV110" s="291"/>
      <c r="HW110" s="291"/>
      <c r="HX110" s="291"/>
      <c r="HY110" s="291"/>
      <c r="HZ110" s="291"/>
      <c r="IA110" s="291"/>
      <c r="IB110" s="291"/>
      <c r="IC110" s="291"/>
      <c r="ID110" s="291"/>
      <c r="IE110" s="291"/>
      <c r="IF110" s="291"/>
      <c r="IG110" s="291"/>
      <c r="IH110" s="291"/>
      <c r="II110" s="291"/>
      <c r="IJ110" s="291"/>
      <c r="IK110" s="291"/>
      <c r="IL110" s="291"/>
      <c r="IM110" s="291"/>
      <c r="IN110" s="291"/>
      <c r="IO110" s="291"/>
      <c r="IP110" s="291"/>
      <c r="IQ110" s="291"/>
      <c r="IR110" s="291"/>
      <c r="IS110" s="291"/>
      <c r="IT110" s="291"/>
      <c r="IU110" s="291"/>
      <c r="IV110" s="291"/>
      <c r="IW110" s="291"/>
    </row>
    <row r="111" customFormat="false" ht="12.75" hidden="false" customHeight="false" outlineLevel="2" collapsed="false">
      <c r="A111" s="2" t="str">
        <f aca="false">B111&amp;C111&amp;D111</f>
        <v>O&amp;M Mobilization BudgetOperating ExpensesManuals/Operating Procedures</v>
      </c>
      <c r="B111" s="2" t="s">
        <v>413</v>
      </c>
      <c r="C111" s="2" t="s">
        <v>414</v>
      </c>
      <c r="D111" s="2" t="s">
        <v>538</v>
      </c>
      <c r="E111" s="292" t="s">
        <v>539</v>
      </c>
      <c r="F111" s="78" t="s">
        <v>540</v>
      </c>
      <c r="G111" s="78"/>
      <c r="H111" s="293" t="n">
        <f aca="false">5*400</f>
        <v>2000</v>
      </c>
      <c r="I111" s="314" t="n">
        <v>1</v>
      </c>
      <c r="J111" s="295" t="n">
        <f aca="false">I111*H111</f>
        <v>2000</v>
      </c>
      <c r="K111" s="295" t="n">
        <f aca="false">H111-J111</f>
        <v>0</v>
      </c>
      <c r="M111" s="2"/>
      <c r="N111" s="2"/>
    </row>
    <row r="112" customFormat="false" ht="12.75" hidden="false" customHeight="false" outlineLevel="2" collapsed="false">
      <c r="A112" s="2" t="str">
        <f aca="false">B112&amp;C112&amp;D112</f>
        <v>O&amp;M Mobilization BudgetOperating ExpensesManuals/Operating Procedures</v>
      </c>
      <c r="B112" s="2" t="s">
        <v>413</v>
      </c>
      <c r="C112" s="2" t="s">
        <v>414</v>
      </c>
      <c r="D112" s="2" t="s">
        <v>538</v>
      </c>
      <c r="E112" s="292" t="s">
        <v>541</v>
      </c>
      <c r="F112" s="78" t="s">
        <v>542</v>
      </c>
      <c r="G112" s="78"/>
      <c r="H112" s="293" t="n">
        <f aca="false">5*2*400</f>
        <v>4000</v>
      </c>
      <c r="I112" s="314" t="n">
        <v>1</v>
      </c>
      <c r="J112" s="295" t="n">
        <f aca="false">I112*H112</f>
        <v>4000</v>
      </c>
      <c r="K112" s="295" t="n">
        <f aca="false">H112-J112</f>
        <v>0</v>
      </c>
      <c r="M112" s="2"/>
      <c r="N112" s="2"/>
    </row>
    <row r="113" customFormat="false" ht="12.75" hidden="false" customHeight="false" outlineLevel="2" collapsed="false">
      <c r="E113" s="292" t="s">
        <v>543</v>
      </c>
      <c r="F113" s="78" t="s">
        <v>544</v>
      </c>
      <c r="G113" s="78"/>
      <c r="H113" s="293" t="n">
        <f aca="false">H112/2</f>
        <v>2000</v>
      </c>
      <c r="I113" s="314" t="n">
        <v>1</v>
      </c>
      <c r="J113" s="295" t="n">
        <f aca="false">I113*H113</f>
        <v>2000</v>
      </c>
      <c r="K113" s="295" t="n">
        <f aca="false">H113-J113</f>
        <v>0</v>
      </c>
      <c r="M113" s="2"/>
      <c r="N113" s="2"/>
    </row>
    <row r="114" customFormat="false" ht="12.75" hidden="false" customHeight="false" outlineLevel="2" collapsed="false">
      <c r="A114" s="2" t="str">
        <f aca="false">B114&amp;C114&amp;D114</f>
        <v>O&amp;M Mobilization BudgetOperating ExpensesManuals/Operating Procedures</v>
      </c>
      <c r="B114" s="2" t="s">
        <v>413</v>
      </c>
      <c r="C114" s="2" t="s">
        <v>414</v>
      </c>
      <c r="D114" s="2" t="s">
        <v>538</v>
      </c>
      <c r="E114" s="292" t="s">
        <v>545</v>
      </c>
      <c r="F114" s="78" t="s">
        <v>546</v>
      </c>
      <c r="G114" s="78"/>
      <c r="H114" s="293" t="n">
        <v>2000</v>
      </c>
      <c r="I114" s="314" t="n">
        <v>1</v>
      </c>
      <c r="J114" s="295" t="n">
        <f aca="false">I114*H114</f>
        <v>2000</v>
      </c>
      <c r="K114" s="295" t="n">
        <f aca="false">H114-J114</f>
        <v>0</v>
      </c>
      <c r="M114" s="2"/>
      <c r="N114" s="2"/>
    </row>
    <row r="115" customFormat="false" ht="12.75" hidden="false" customHeight="false" outlineLevel="2" collapsed="false">
      <c r="A115" s="2" t="str">
        <f aca="false">B115&amp;C115&amp;D115</f>
        <v>O&amp;M Mobilization BudgetOperating ExpensesManuals/Operating Procedures</v>
      </c>
      <c r="B115" s="2" t="s">
        <v>413</v>
      </c>
      <c r="C115" s="2" t="s">
        <v>414</v>
      </c>
      <c r="D115" s="2" t="s">
        <v>538</v>
      </c>
      <c r="E115" s="292" t="s">
        <v>547</v>
      </c>
      <c r="F115" s="78" t="s">
        <v>546</v>
      </c>
      <c r="G115" s="78"/>
      <c r="H115" s="293" t="n">
        <v>2000</v>
      </c>
      <c r="I115" s="314" t="n">
        <v>1</v>
      </c>
      <c r="J115" s="295" t="n">
        <f aca="false">I115*H115</f>
        <v>2000</v>
      </c>
      <c r="K115" s="295" t="n">
        <f aca="false">H115-J115</f>
        <v>0</v>
      </c>
      <c r="M115" s="2"/>
      <c r="N115" s="2"/>
    </row>
    <row r="116" customFormat="false" ht="12.75" hidden="false" customHeight="false" outlineLevel="2" collapsed="false">
      <c r="A116" s="2" t="str">
        <f aca="false">B116&amp;C116&amp;D116</f>
        <v>O&amp;M Mobilization BudgetOperating ExpensesManuals/Operating Procedures</v>
      </c>
      <c r="B116" s="2" t="s">
        <v>413</v>
      </c>
      <c r="C116" s="2" t="s">
        <v>414</v>
      </c>
      <c r="D116" s="2" t="s">
        <v>538</v>
      </c>
      <c r="E116" s="292" t="s">
        <v>548</v>
      </c>
      <c r="F116" s="78" t="s">
        <v>549</v>
      </c>
      <c r="G116" s="78"/>
      <c r="H116" s="293" t="n">
        <f aca="false">40*400</f>
        <v>16000</v>
      </c>
      <c r="I116" s="314" t="n">
        <v>1</v>
      </c>
      <c r="J116" s="295" t="n">
        <f aca="false">I116*H116</f>
        <v>16000</v>
      </c>
      <c r="K116" s="295" t="n">
        <f aca="false">H116-J116</f>
        <v>0</v>
      </c>
      <c r="M116" s="2"/>
      <c r="N116" s="2"/>
    </row>
    <row r="117" customFormat="false" ht="12.75" hidden="false" customHeight="false" outlineLevel="2" collapsed="false">
      <c r="A117" s="2" t="str">
        <f aca="false">B117&amp;C117&amp;D117</f>
        <v>O&amp;M Mobilization BudgetOperating ExpensesManuals/Operating Procedures</v>
      </c>
      <c r="B117" s="2" t="s">
        <v>413</v>
      </c>
      <c r="C117" s="2" t="s">
        <v>414</v>
      </c>
      <c r="D117" s="2" t="s">
        <v>538</v>
      </c>
      <c r="E117" s="292" t="s">
        <v>550</v>
      </c>
      <c r="F117" s="78" t="s">
        <v>546</v>
      </c>
      <c r="G117" s="78"/>
      <c r="H117" s="293" t="n">
        <v>2000</v>
      </c>
      <c r="I117" s="314" t="n">
        <v>1</v>
      </c>
      <c r="J117" s="295" t="n">
        <f aca="false">I117*H117</f>
        <v>2000</v>
      </c>
      <c r="K117" s="295" t="n">
        <f aca="false">H117-J117</f>
        <v>0</v>
      </c>
      <c r="M117" s="2"/>
      <c r="N117" s="2"/>
    </row>
    <row r="118" customFormat="false" ht="12.75" hidden="false" customHeight="false" outlineLevel="2" collapsed="false">
      <c r="A118" s="2" t="str">
        <f aca="false">B118&amp;C118&amp;D118</f>
        <v>O&amp;M Mobilization BudgetOperating ExpensesManuals/Operating Procedures</v>
      </c>
      <c r="B118" s="2" t="s">
        <v>413</v>
      </c>
      <c r="C118" s="2" t="s">
        <v>414</v>
      </c>
      <c r="D118" s="2" t="s">
        <v>538</v>
      </c>
      <c r="E118" s="292" t="s">
        <v>551</v>
      </c>
      <c r="F118" s="78" t="s">
        <v>552</v>
      </c>
      <c r="G118" s="78"/>
      <c r="H118" s="293" t="n">
        <v>8000</v>
      </c>
      <c r="I118" s="314" t="n">
        <v>1</v>
      </c>
      <c r="J118" s="295" t="n">
        <f aca="false">I118*H118</f>
        <v>8000</v>
      </c>
      <c r="K118" s="295" t="n">
        <f aca="false">H118-J118</f>
        <v>0</v>
      </c>
      <c r="M118" s="2"/>
      <c r="N118" s="2"/>
    </row>
    <row r="119" customFormat="false" ht="12.75" hidden="false" customHeight="false" outlineLevel="2" collapsed="false">
      <c r="A119" s="2" t="str">
        <f aca="false">B119&amp;C119&amp;D119</f>
        <v>O&amp;M Mobilization BudgetOperating ExpensesManuals/Operating Procedures</v>
      </c>
      <c r="B119" s="2" t="s">
        <v>413</v>
      </c>
      <c r="C119" s="2" t="s">
        <v>414</v>
      </c>
      <c r="D119" s="2" t="s">
        <v>538</v>
      </c>
      <c r="E119" s="292" t="s">
        <v>553</v>
      </c>
      <c r="F119" s="78" t="s">
        <v>554</v>
      </c>
      <c r="G119" s="78"/>
      <c r="H119" s="293" t="n">
        <f aca="false">10*400</f>
        <v>4000</v>
      </c>
      <c r="I119" s="314" t="n">
        <v>1</v>
      </c>
      <c r="J119" s="295" t="n">
        <f aca="false">I119*H119</f>
        <v>4000</v>
      </c>
      <c r="K119" s="295" t="n">
        <f aca="false">H119-J119</f>
        <v>0</v>
      </c>
      <c r="M119" s="2"/>
      <c r="N119" s="2"/>
    </row>
    <row r="120" customFormat="false" ht="12.75" hidden="false" customHeight="false" outlineLevel="2" collapsed="false">
      <c r="A120" s="2" t="str">
        <f aca="false">B120&amp;C120&amp;D120</f>
        <v>O&amp;M Mobilization BudgetOperating ExpensesManuals/Operating Procedures</v>
      </c>
      <c r="B120" s="2" t="s">
        <v>413</v>
      </c>
      <c r="C120" s="2" t="s">
        <v>414</v>
      </c>
      <c r="D120" s="2" t="s">
        <v>538</v>
      </c>
      <c r="E120" s="292" t="s">
        <v>555</v>
      </c>
      <c r="F120" s="78" t="s">
        <v>554</v>
      </c>
      <c r="G120" s="78"/>
      <c r="H120" s="293" t="n">
        <f aca="false">10*400</f>
        <v>4000</v>
      </c>
      <c r="I120" s="314" t="n">
        <v>1</v>
      </c>
      <c r="J120" s="295" t="n">
        <f aca="false">I120*H120</f>
        <v>4000</v>
      </c>
      <c r="K120" s="295" t="n">
        <f aca="false">H120-J120</f>
        <v>0</v>
      </c>
      <c r="M120" s="2"/>
      <c r="N120" s="2"/>
    </row>
    <row r="121" customFormat="false" ht="12.75" hidden="false" customHeight="false" outlineLevel="2" collapsed="false">
      <c r="A121" s="2" t="str">
        <f aca="false">B121&amp;C121&amp;D121</f>
        <v>O&amp;M Mobilization BudgetOperating ExpensesManuals/Operating Procedures</v>
      </c>
      <c r="B121" s="2" t="s">
        <v>413</v>
      </c>
      <c r="C121" s="2" t="s">
        <v>414</v>
      </c>
      <c r="D121" s="2" t="s">
        <v>538</v>
      </c>
      <c r="E121" s="292" t="s">
        <v>556</v>
      </c>
      <c r="F121" s="78" t="s">
        <v>546</v>
      </c>
      <c r="G121" s="78"/>
      <c r="H121" s="293" t="n">
        <f aca="false">5*400</f>
        <v>2000</v>
      </c>
      <c r="I121" s="314" t="n">
        <v>1</v>
      </c>
      <c r="J121" s="295" t="n">
        <f aca="false">I121*H121</f>
        <v>2000</v>
      </c>
      <c r="K121" s="295" t="n">
        <f aca="false">H121-J121</f>
        <v>0</v>
      </c>
      <c r="M121" s="2"/>
      <c r="N121" s="2"/>
    </row>
    <row r="122" customFormat="false" ht="12.75" hidden="false" customHeight="false" outlineLevel="2" collapsed="false">
      <c r="A122" s="2" t="str">
        <f aca="false">B122&amp;C122&amp;D122</f>
        <v>O&amp;M Mobilization BudgetOperating ExpensesManuals/Operating Procedures</v>
      </c>
      <c r="B122" s="2" t="s">
        <v>413</v>
      </c>
      <c r="C122" s="2" t="s">
        <v>414</v>
      </c>
      <c r="D122" s="2" t="s">
        <v>538</v>
      </c>
      <c r="E122" s="292" t="s">
        <v>557</v>
      </c>
      <c r="F122" s="78" t="s">
        <v>546</v>
      </c>
      <c r="G122" s="78"/>
      <c r="H122" s="293" t="n">
        <f aca="false">5*400</f>
        <v>2000</v>
      </c>
      <c r="I122" s="314" t="n">
        <v>1</v>
      </c>
      <c r="J122" s="295" t="n">
        <f aca="false">I122*H122</f>
        <v>2000</v>
      </c>
      <c r="K122" s="295" t="n">
        <f aca="false">H122-J122</f>
        <v>0</v>
      </c>
      <c r="M122" s="2"/>
      <c r="N122" s="2"/>
    </row>
    <row r="123" customFormat="false" ht="12.75" hidden="false" customHeight="false" outlineLevel="2" collapsed="false">
      <c r="E123" s="292" t="s">
        <v>476</v>
      </c>
      <c r="F123" s="78" t="s">
        <v>554</v>
      </c>
      <c r="G123" s="78"/>
      <c r="H123" s="293" t="n">
        <f aca="false">10*400</f>
        <v>4000</v>
      </c>
      <c r="I123" s="314" t="n">
        <v>1</v>
      </c>
      <c r="J123" s="295" t="n">
        <f aca="false">I123*H123</f>
        <v>4000</v>
      </c>
      <c r="K123" s="295" t="n">
        <f aca="false">H123-J123</f>
        <v>0</v>
      </c>
      <c r="M123" s="2"/>
      <c r="N123" s="2"/>
    </row>
    <row r="124" customFormat="false" ht="12.75" hidden="false" customHeight="false" outlineLevel="2" collapsed="false">
      <c r="E124" s="292" t="s">
        <v>237</v>
      </c>
      <c r="F124" s="78" t="s">
        <v>554</v>
      </c>
      <c r="G124" s="78"/>
      <c r="H124" s="293" t="n">
        <v>4000</v>
      </c>
      <c r="I124" s="314" t="n">
        <v>1</v>
      </c>
      <c r="J124" s="295" t="n">
        <f aca="false">I124*H124</f>
        <v>4000</v>
      </c>
      <c r="K124" s="295" t="n">
        <f aca="false">H124-J124</f>
        <v>0</v>
      </c>
      <c r="M124" s="2"/>
      <c r="N124" s="2"/>
    </row>
    <row r="125" customFormat="false" ht="12.75" hidden="false" customHeight="false" outlineLevel="2" collapsed="false">
      <c r="A125" s="2" t="str">
        <f aca="false">B125&amp;C125&amp;D125</f>
        <v>O&amp;M Mobilization BudgetOperating ExpensesManuals/Operating Procedures</v>
      </c>
      <c r="B125" s="2" t="s">
        <v>413</v>
      </c>
      <c r="C125" s="2" t="s">
        <v>414</v>
      </c>
      <c r="D125" s="2" t="s">
        <v>538</v>
      </c>
      <c r="E125" s="292"/>
      <c r="F125" s="78"/>
      <c r="G125" s="78"/>
      <c r="H125" s="293"/>
      <c r="I125" s="314" t="n">
        <v>1</v>
      </c>
      <c r="J125" s="295" t="n">
        <f aca="false">I125*H125</f>
        <v>0</v>
      </c>
      <c r="K125" s="295" t="n">
        <f aca="false">H125-J125</f>
        <v>0</v>
      </c>
      <c r="M125" s="2"/>
      <c r="N125" s="2"/>
    </row>
    <row r="126" customFormat="false" ht="12.75" hidden="false" customHeight="false" outlineLevel="2" collapsed="false">
      <c r="A126" s="2" t="str">
        <f aca="false">B126&amp;C126&amp;D126</f>
        <v>O&amp;M Mobilization BudgetOperating ExpensesManuals/Operating Procedures</v>
      </c>
      <c r="B126" s="2" t="s">
        <v>413</v>
      </c>
      <c r="C126" s="2" t="s">
        <v>414</v>
      </c>
      <c r="D126" s="2" t="s">
        <v>538</v>
      </c>
      <c r="E126" s="292" t="s">
        <v>558</v>
      </c>
      <c r="F126" s="78"/>
      <c r="G126" s="78"/>
      <c r="H126" s="293" t="n">
        <v>3000</v>
      </c>
      <c r="I126" s="314" t="n">
        <v>1</v>
      </c>
      <c r="J126" s="295" t="n">
        <f aca="false">I126*H126</f>
        <v>3000</v>
      </c>
      <c r="K126" s="295" t="n">
        <f aca="false">H126-J126</f>
        <v>0</v>
      </c>
      <c r="M126" s="2"/>
      <c r="N126" s="2"/>
    </row>
    <row r="127" customFormat="false" ht="12.75" hidden="false" customHeight="false" outlineLevel="2" collapsed="false">
      <c r="E127" s="292" t="s">
        <v>559</v>
      </c>
      <c r="F127" s="78" t="s">
        <v>560</v>
      </c>
      <c r="G127" s="78"/>
      <c r="H127" s="293" t="n">
        <f aca="false">0.05*H126</f>
        <v>150</v>
      </c>
      <c r="I127" s="314" t="n">
        <v>1</v>
      </c>
      <c r="J127" s="295" t="n">
        <f aca="false">I127*H127</f>
        <v>150</v>
      </c>
      <c r="K127" s="295" t="n">
        <f aca="false">H127-J127</f>
        <v>0</v>
      </c>
      <c r="M127" s="2"/>
      <c r="N127" s="2"/>
    </row>
    <row r="128" customFormat="false" ht="12.75" hidden="false" customHeight="false" outlineLevel="2" collapsed="false">
      <c r="A128" s="2" t="str">
        <f aca="false">B128&amp;C128&amp;D128</f>
        <v>O&amp;M Mobilization BudgetOperating ExpensesManuals/Operating Procedures</v>
      </c>
      <c r="B128" s="2" t="s">
        <v>413</v>
      </c>
      <c r="C128" s="2" t="s">
        <v>414</v>
      </c>
      <c r="D128" s="2" t="s">
        <v>538</v>
      </c>
      <c r="E128" s="292"/>
      <c r="F128" s="78"/>
      <c r="G128" s="78"/>
      <c r="H128" s="315"/>
      <c r="I128" s="309"/>
      <c r="J128" s="295"/>
      <c r="K128" s="295"/>
      <c r="M128" s="2"/>
      <c r="N128" s="2"/>
    </row>
    <row r="129" customFormat="false" ht="12.75" hidden="false" customHeight="false" outlineLevel="1" collapsed="false">
      <c r="A129" s="291" t="s">
        <v>561</v>
      </c>
      <c r="B129" s="291" t="s">
        <v>413</v>
      </c>
      <c r="C129" s="291" t="s">
        <v>414</v>
      </c>
      <c r="D129" s="291" t="s">
        <v>538</v>
      </c>
      <c r="E129" s="292"/>
      <c r="F129" s="78"/>
      <c r="G129" s="297" t="s">
        <v>431</v>
      </c>
      <c r="H129" s="298" t="n">
        <f aca="false">SUBTOTAL(9,H111:H128)</f>
        <v>61150</v>
      </c>
      <c r="I129" s="299"/>
      <c r="J129" s="298" t="n">
        <f aca="false">SUBTOTAL(9,J111:J128)</f>
        <v>61150</v>
      </c>
      <c r="K129" s="298" t="n">
        <f aca="false">SUBTOTAL(9,K111:K128)</f>
        <v>0</v>
      </c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  <c r="BE129" s="291"/>
      <c r="BF129" s="291"/>
      <c r="BG129" s="291"/>
      <c r="BH129" s="291"/>
      <c r="BI129" s="291"/>
      <c r="BJ129" s="291"/>
      <c r="BK129" s="291"/>
      <c r="BL129" s="291"/>
      <c r="BM129" s="291"/>
      <c r="BN129" s="291"/>
      <c r="BO129" s="291"/>
      <c r="BP129" s="291"/>
      <c r="BQ129" s="291"/>
      <c r="BR129" s="291"/>
      <c r="BS129" s="291"/>
      <c r="BT129" s="291"/>
      <c r="BU129" s="291"/>
      <c r="BV129" s="291"/>
      <c r="BW129" s="291"/>
      <c r="BX129" s="291"/>
      <c r="BY129" s="291"/>
      <c r="BZ129" s="291"/>
      <c r="CA129" s="291"/>
      <c r="CB129" s="291"/>
      <c r="CC129" s="291"/>
      <c r="CD129" s="291"/>
      <c r="CE129" s="291"/>
      <c r="CF129" s="291"/>
      <c r="CG129" s="291"/>
      <c r="CH129" s="291"/>
      <c r="CI129" s="291"/>
      <c r="CJ129" s="291"/>
      <c r="CK129" s="291"/>
      <c r="CL129" s="291"/>
      <c r="CM129" s="291"/>
      <c r="CN129" s="291"/>
      <c r="CO129" s="291"/>
      <c r="CP129" s="291"/>
      <c r="CQ129" s="291"/>
      <c r="CR129" s="291"/>
      <c r="CS129" s="291"/>
      <c r="CT129" s="291"/>
      <c r="CU129" s="291"/>
      <c r="CV129" s="291"/>
      <c r="CW129" s="291"/>
      <c r="CX129" s="291"/>
      <c r="CY129" s="291"/>
      <c r="CZ129" s="291"/>
      <c r="DA129" s="291"/>
      <c r="DB129" s="291"/>
      <c r="DC129" s="291"/>
      <c r="DD129" s="291"/>
      <c r="DE129" s="291"/>
      <c r="DF129" s="291"/>
      <c r="DG129" s="291"/>
      <c r="DH129" s="291"/>
      <c r="DI129" s="291"/>
      <c r="DJ129" s="291"/>
      <c r="DK129" s="291"/>
      <c r="DL129" s="291"/>
      <c r="DM129" s="291"/>
      <c r="DN129" s="291"/>
      <c r="DO129" s="291"/>
      <c r="DP129" s="291"/>
      <c r="DQ129" s="291"/>
      <c r="DR129" s="291"/>
      <c r="DS129" s="291"/>
      <c r="DT129" s="291"/>
      <c r="DU129" s="291"/>
      <c r="DV129" s="291"/>
      <c r="DW129" s="291"/>
      <c r="DX129" s="291"/>
      <c r="DY129" s="291"/>
      <c r="DZ129" s="291"/>
      <c r="EA129" s="291"/>
      <c r="EB129" s="291"/>
      <c r="EC129" s="291"/>
      <c r="ED129" s="291"/>
      <c r="EE129" s="291"/>
      <c r="EF129" s="291"/>
      <c r="EG129" s="291"/>
      <c r="EH129" s="291"/>
      <c r="EI129" s="291"/>
      <c r="EJ129" s="291"/>
      <c r="EK129" s="291"/>
      <c r="EL129" s="291"/>
      <c r="EM129" s="291"/>
      <c r="EN129" s="291"/>
      <c r="EO129" s="291"/>
      <c r="EP129" s="291"/>
      <c r="EQ129" s="291"/>
      <c r="ER129" s="291"/>
      <c r="ES129" s="291"/>
      <c r="ET129" s="291"/>
      <c r="EU129" s="291"/>
      <c r="EV129" s="291"/>
      <c r="EW129" s="291"/>
      <c r="EX129" s="291"/>
      <c r="EY129" s="291"/>
      <c r="EZ129" s="291"/>
      <c r="FA129" s="291"/>
      <c r="FB129" s="291"/>
      <c r="FC129" s="291"/>
      <c r="FD129" s="291"/>
      <c r="FE129" s="291"/>
      <c r="FF129" s="291"/>
      <c r="FG129" s="291"/>
      <c r="FH129" s="291"/>
      <c r="FI129" s="291"/>
      <c r="FJ129" s="291"/>
      <c r="FK129" s="291"/>
      <c r="FL129" s="291"/>
      <c r="FM129" s="291"/>
      <c r="FN129" s="291"/>
      <c r="FO129" s="291"/>
      <c r="FP129" s="291"/>
      <c r="FQ129" s="291"/>
      <c r="FR129" s="291"/>
      <c r="FS129" s="291"/>
      <c r="FT129" s="291"/>
      <c r="FU129" s="291"/>
      <c r="FV129" s="291"/>
      <c r="FW129" s="291"/>
      <c r="FX129" s="291"/>
      <c r="FY129" s="291"/>
      <c r="FZ129" s="291"/>
      <c r="GA129" s="291"/>
      <c r="GB129" s="291"/>
      <c r="GC129" s="291"/>
      <c r="GD129" s="291"/>
      <c r="GE129" s="291"/>
      <c r="GF129" s="291"/>
      <c r="GG129" s="291"/>
      <c r="GH129" s="291"/>
      <c r="GI129" s="291"/>
      <c r="GJ129" s="291"/>
      <c r="GK129" s="291"/>
      <c r="GL129" s="291"/>
      <c r="GM129" s="291"/>
      <c r="GN129" s="291"/>
      <c r="GO129" s="291"/>
      <c r="GP129" s="291"/>
      <c r="GQ129" s="291"/>
      <c r="GR129" s="291"/>
      <c r="GS129" s="291"/>
      <c r="GT129" s="291"/>
      <c r="GU129" s="291"/>
      <c r="GV129" s="291"/>
      <c r="GW129" s="291"/>
      <c r="GX129" s="291"/>
      <c r="GY129" s="291"/>
      <c r="GZ129" s="291"/>
      <c r="HA129" s="291"/>
      <c r="HB129" s="291"/>
      <c r="HC129" s="291"/>
      <c r="HD129" s="291"/>
      <c r="HE129" s="291"/>
      <c r="HF129" s="291"/>
      <c r="HG129" s="291"/>
      <c r="HH129" s="291"/>
      <c r="HI129" s="291"/>
      <c r="HJ129" s="291"/>
      <c r="HK129" s="291"/>
      <c r="HL129" s="291"/>
      <c r="HM129" s="291"/>
      <c r="HN129" s="291"/>
      <c r="HO129" s="291"/>
      <c r="HP129" s="291"/>
      <c r="HQ129" s="291"/>
      <c r="HR129" s="291"/>
      <c r="HS129" s="291"/>
      <c r="HT129" s="291"/>
      <c r="HU129" s="291"/>
      <c r="HV129" s="291"/>
      <c r="HW129" s="291"/>
      <c r="HX129" s="291"/>
      <c r="HY129" s="291"/>
      <c r="HZ129" s="291"/>
      <c r="IA129" s="291"/>
      <c r="IB129" s="291"/>
      <c r="IC129" s="291"/>
      <c r="ID129" s="291"/>
      <c r="IE129" s="291"/>
      <c r="IF129" s="291"/>
      <c r="IG129" s="291"/>
      <c r="IH129" s="291"/>
      <c r="II129" s="291"/>
      <c r="IJ129" s="291"/>
      <c r="IK129" s="291"/>
      <c r="IL129" s="291"/>
      <c r="IM129" s="291"/>
      <c r="IN129" s="291"/>
      <c r="IO129" s="291"/>
      <c r="IP129" s="291"/>
      <c r="IQ129" s="291"/>
      <c r="IR129" s="291"/>
      <c r="IS129" s="291"/>
      <c r="IT129" s="291"/>
      <c r="IU129" s="291"/>
      <c r="IV129" s="291"/>
      <c r="IW129" s="291"/>
    </row>
    <row r="130" customFormat="false" ht="12.75" hidden="false" customHeight="false" outlineLevel="1" collapsed="false">
      <c r="A130" s="2" t="s">
        <v>562</v>
      </c>
      <c r="B130" s="2" t="s">
        <v>413</v>
      </c>
      <c r="C130" s="2" t="s">
        <v>414</v>
      </c>
      <c r="D130" s="2" t="s">
        <v>188</v>
      </c>
      <c r="E130" s="310" t="s">
        <v>188</v>
      </c>
      <c r="F130" s="311"/>
      <c r="G130" s="312"/>
      <c r="H130" s="288"/>
      <c r="I130" s="289"/>
      <c r="J130" s="288"/>
      <c r="K130" s="288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  <c r="BE130" s="291"/>
      <c r="BF130" s="291"/>
      <c r="BG130" s="291"/>
      <c r="BH130" s="291"/>
      <c r="BI130" s="291"/>
      <c r="BJ130" s="291"/>
      <c r="BK130" s="291"/>
      <c r="BL130" s="291"/>
      <c r="BM130" s="291"/>
      <c r="BN130" s="291"/>
      <c r="BO130" s="291"/>
      <c r="BP130" s="291"/>
      <c r="BQ130" s="291"/>
      <c r="BR130" s="291"/>
      <c r="BS130" s="291"/>
      <c r="BT130" s="291"/>
      <c r="BU130" s="291"/>
      <c r="BV130" s="291"/>
      <c r="BW130" s="291"/>
      <c r="BX130" s="291"/>
      <c r="BY130" s="291"/>
      <c r="BZ130" s="291"/>
      <c r="CA130" s="291"/>
      <c r="CB130" s="291"/>
      <c r="CC130" s="291"/>
      <c r="CD130" s="291"/>
      <c r="CE130" s="291"/>
      <c r="CF130" s="291"/>
      <c r="CG130" s="291"/>
      <c r="CH130" s="291"/>
      <c r="CI130" s="291"/>
      <c r="CJ130" s="291"/>
      <c r="CK130" s="291"/>
      <c r="CL130" s="291"/>
      <c r="CM130" s="291"/>
      <c r="CN130" s="291"/>
      <c r="CO130" s="291"/>
      <c r="CP130" s="291"/>
      <c r="CQ130" s="291"/>
      <c r="CR130" s="291"/>
      <c r="CS130" s="291"/>
      <c r="CT130" s="291"/>
      <c r="CU130" s="291"/>
      <c r="CV130" s="291"/>
      <c r="CW130" s="291"/>
      <c r="CX130" s="291"/>
      <c r="CY130" s="291"/>
      <c r="CZ130" s="291"/>
      <c r="DA130" s="291"/>
      <c r="DB130" s="291"/>
      <c r="DC130" s="291"/>
      <c r="DD130" s="291"/>
      <c r="DE130" s="291"/>
      <c r="DF130" s="291"/>
      <c r="DG130" s="291"/>
      <c r="DH130" s="291"/>
      <c r="DI130" s="291"/>
      <c r="DJ130" s="291"/>
      <c r="DK130" s="291"/>
      <c r="DL130" s="291"/>
      <c r="DM130" s="291"/>
      <c r="DN130" s="291"/>
      <c r="DO130" s="291"/>
      <c r="DP130" s="291"/>
      <c r="DQ130" s="291"/>
      <c r="DR130" s="291"/>
      <c r="DS130" s="291"/>
      <c r="DT130" s="291"/>
      <c r="DU130" s="291"/>
      <c r="DV130" s="291"/>
      <c r="DW130" s="291"/>
      <c r="DX130" s="291"/>
      <c r="DY130" s="291"/>
      <c r="DZ130" s="291"/>
      <c r="EA130" s="291"/>
      <c r="EB130" s="291"/>
      <c r="EC130" s="291"/>
      <c r="ED130" s="291"/>
      <c r="EE130" s="291"/>
      <c r="EF130" s="291"/>
      <c r="EG130" s="291"/>
      <c r="EH130" s="291"/>
      <c r="EI130" s="291"/>
      <c r="EJ130" s="291"/>
      <c r="EK130" s="291"/>
      <c r="EL130" s="291"/>
      <c r="EM130" s="291"/>
      <c r="EN130" s="291"/>
      <c r="EO130" s="291"/>
      <c r="EP130" s="291"/>
      <c r="EQ130" s="291"/>
      <c r="ER130" s="291"/>
      <c r="ES130" s="291"/>
      <c r="ET130" s="291"/>
      <c r="EU130" s="291"/>
      <c r="EV130" s="291"/>
      <c r="EW130" s="291"/>
      <c r="EX130" s="291"/>
      <c r="EY130" s="291"/>
      <c r="EZ130" s="291"/>
      <c r="FA130" s="291"/>
      <c r="FB130" s="291"/>
      <c r="FC130" s="291"/>
      <c r="FD130" s="291"/>
      <c r="FE130" s="291"/>
      <c r="FF130" s="291"/>
      <c r="FG130" s="291"/>
      <c r="FH130" s="291"/>
      <c r="FI130" s="291"/>
      <c r="FJ130" s="291"/>
      <c r="FK130" s="291"/>
      <c r="FL130" s="291"/>
      <c r="FM130" s="291"/>
      <c r="FN130" s="291"/>
      <c r="FO130" s="291"/>
      <c r="FP130" s="291"/>
      <c r="FQ130" s="291"/>
      <c r="FR130" s="291"/>
      <c r="FS130" s="291"/>
      <c r="FT130" s="291"/>
      <c r="FU130" s="291"/>
      <c r="FV130" s="291"/>
      <c r="FW130" s="291"/>
      <c r="FX130" s="291"/>
      <c r="FY130" s="291"/>
      <c r="FZ130" s="291"/>
      <c r="GA130" s="291"/>
      <c r="GB130" s="291"/>
      <c r="GC130" s="291"/>
      <c r="GD130" s="291"/>
      <c r="GE130" s="291"/>
      <c r="GF130" s="291"/>
      <c r="GG130" s="291"/>
      <c r="GH130" s="291"/>
      <c r="GI130" s="291"/>
      <c r="GJ130" s="291"/>
      <c r="GK130" s="291"/>
      <c r="GL130" s="291"/>
      <c r="GM130" s="291"/>
      <c r="GN130" s="291"/>
      <c r="GO130" s="291"/>
      <c r="GP130" s="291"/>
      <c r="GQ130" s="291"/>
      <c r="GR130" s="291"/>
      <c r="GS130" s="291"/>
      <c r="GT130" s="291"/>
      <c r="GU130" s="291"/>
      <c r="GV130" s="291"/>
      <c r="GW130" s="291"/>
      <c r="GX130" s="291"/>
      <c r="GY130" s="291"/>
      <c r="GZ130" s="291"/>
      <c r="HA130" s="291"/>
      <c r="HB130" s="291"/>
      <c r="HC130" s="291"/>
      <c r="HD130" s="291"/>
      <c r="HE130" s="291"/>
      <c r="HF130" s="291"/>
      <c r="HG130" s="291"/>
      <c r="HH130" s="291"/>
      <c r="HI130" s="291"/>
      <c r="HJ130" s="291"/>
      <c r="HK130" s="291"/>
      <c r="HL130" s="291"/>
      <c r="HM130" s="291"/>
      <c r="HN130" s="291"/>
      <c r="HO130" s="291"/>
      <c r="HP130" s="291"/>
      <c r="HQ130" s="291"/>
      <c r="HR130" s="291"/>
      <c r="HS130" s="291"/>
      <c r="HT130" s="291"/>
      <c r="HU130" s="291"/>
      <c r="HV130" s="291"/>
      <c r="HW130" s="291"/>
      <c r="HX130" s="291"/>
      <c r="HY130" s="291"/>
      <c r="HZ130" s="291"/>
      <c r="IA130" s="291"/>
      <c r="IB130" s="291"/>
      <c r="IC130" s="291"/>
      <c r="ID130" s="291"/>
      <c r="IE130" s="291"/>
      <c r="IF130" s="291"/>
      <c r="IG130" s="291"/>
      <c r="IH130" s="291"/>
      <c r="II130" s="291"/>
      <c r="IJ130" s="291"/>
      <c r="IK130" s="291"/>
      <c r="IL130" s="291"/>
      <c r="IM130" s="291"/>
      <c r="IN130" s="291"/>
      <c r="IO130" s="291"/>
      <c r="IP130" s="291"/>
      <c r="IQ130" s="291"/>
      <c r="IR130" s="291"/>
      <c r="IS130" s="291"/>
      <c r="IT130" s="291"/>
      <c r="IU130" s="291"/>
      <c r="IV130" s="291"/>
      <c r="IW130" s="291"/>
    </row>
    <row r="131" customFormat="false" ht="12.75" hidden="false" customHeight="false" outlineLevel="2" collapsed="false">
      <c r="A131" s="2" t="str">
        <f aca="false">B131&amp;C131&amp;D131</f>
        <v>O&amp;M Mobilization BudgetOperating ExpensesPermits</v>
      </c>
      <c r="B131" s="2" t="s">
        <v>413</v>
      </c>
      <c r="C131" s="2" t="s">
        <v>414</v>
      </c>
      <c r="D131" s="2" t="s">
        <v>188</v>
      </c>
      <c r="E131" s="292" t="s">
        <v>563</v>
      </c>
      <c r="F131" s="78"/>
      <c r="G131" s="78"/>
      <c r="H131" s="293" t="n">
        <v>0</v>
      </c>
      <c r="I131" s="294" t="n">
        <v>1</v>
      </c>
      <c r="J131" s="295" t="n">
        <f aca="false">I131*H131</f>
        <v>0</v>
      </c>
      <c r="K131" s="295" t="n">
        <f aca="false">H131-J131</f>
        <v>0</v>
      </c>
      <c r="M131" s="2"/>
      <c r="N131" s="2"/>
    </row>
    <row r="132" customFormat="false" ht="12.75" hidden="false" customHeight="false" outlineLevel="1" collapsed="false">
      <c r="A132" s="291" t="s">
        <v>564</v>
      </c>
      <c r="B132" s="291" t="s">
        <v>413</v>
      </c>
      <c r="C132" s="291" t="s">
        <v>414</v>
      </c>
      <c r="D132" s="291" t="s">
        <v>188</v>
      </c>
      <c r="E132" s="292"/>
      <c r="F132" s="78"/>
      <c r="G132" s="297" t="s">
        <v>431</v>
      </c>
      <c r="H132" s="298" t="n">
        <f aca="false">SUBTOTAL(9,H131)</f>
        <v>0</v>
      </c>
      <c r="I132" s="299"/>
      <c r="J132" s="298" t="n">
        <f aca="false">SUBTOTAL(9,J131)</f>
        <v>0</v>
      </c>
      <c r="K132" s="298" t="n">
        <f aca="false">SUBTOTAL(9,K131)</f>
        <v>0</v>
      </c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  <c r="BE132" s="291"/>
      <c r="BF132" s="291"/>
      <c r="BG132" s="291"/>
      <c r="BH132" s="291"/>
      <c r="BI132" s="291"/>
      <c r="BJ132" s="291"/>
      <c r="BK132" s="291"/>
      <c r="BL132" s="291"/>
      <c r="BM132" s="291"/>
      <c r="BN132" s="291"/>
      <c r="BO132" s="291"/>
      <c r="BP132" s="291"/>
      <c r="BQ132" s="291"/>
      <c r="BR132" s="291"/>
      <c r="BS132" s="291"/>
      <c r="BT132" s="291"/>
      <c r="BU132" s="291"/>
      <c r="BV132" s="291"/>
      <c r="BW132" s="291"/>
      <c r="BX132" s="291"/>
      <c r="BY132" s="291"/>
      <c r="BZ132" s="291"/>
      <c r="CA132" s="291"/>
      <c r="CB132" s="291"/>
      <c r="CC132" s="291"/>
      <c r="CD132" s="291"/>
      <c r="CE132" s="291"/>
      <c r="CF132" s="291"/>
      <c r="CG132" s="291"/>
      <c r="CH132" s="291"/>
      <c r="CI132" s="291"/>
      <c r="CJ132" s="291"/>
      <c r="CK132" s="291"/>
      <c r="CL132" s="291"/>
      <c r="CM132" s="291"/>
      <c r="CN132" s="291"/>
      <c r="CO132" s="291"/>
      <c r="CP132" s="291"/>
      <c r="CQ132" s="291"/>
      <c r="CR132" s="291"/>
      <c r="CS132" s="291"/>
      <c r="CT132" s="291"/>
      <c r="CU132" s="291"/>
      <c r="CV132" s="291"/>
      <c r="CW132" s="291"/>
      <c r="CX132" s="291"/>
      <c r="CY132" s="291"/>
      <c r="CZ132" s="291"/>
      <c r="DA132" s="291"/>
      <c r="DB132" s="291"/>
      <c r="DC132" s="291"/>
      <c r="DD132" s="291"/>
      <c r="DE132" s="291"/>
      <c r="DF132" s="291"/>
      <c r="DG132" s="291"/>
      <c r="DH132" s="291"/>
      <c r="DI132" s="291"/>
      <c r="DJ132" s="291"/>
      <c r="DK132" s="291"/>
      <c r="DL132" s="291"/>
      <c r="DM132" s="291"/>
      <c r="DN132" s="291"/>
      <c r="DO132" s="291"/>
      <c r="DP132" s="291"/>
      <c r="DQ132" s="291"/>
      <c r="DR132" s="291"/>
      <c r="DS132" s="291"/>
      <c r="DT132" s="291"/>
      <c r="DU132" s="291"/>
      <c r="DV132" s="291"/>
      <c r="DW132" s="291"/>
      <c r="DX132" s="291"/>
      <c r="DY132" s="291"/>
      <c r="DZ132" s="291"/>
      <c r="EA132" s="291"/>
      <c r="EB132" s="291"/>
      <c r="EC132" s="291"/>
      <c r="ED132" s="291"/>
      <c r="EE132" s="291"/>
      <c r="EF132" s="291"/>
      <c r="EG132" s="291"/>
      <c r="EH132" s="291"/>
      <c r="EI132" s="291"/>
      <c r="EJ132" s="291"/>
      <c r="EK132" s="291"/>
      <c r="EL132" s="291"/>
      <c r="EM132" s="291"/>
      <c r="EN132" s="291"/>
      <c r="EO132" s="291"/>
      <c r="EP132" s="291"/>
      <c r="EQ132" s="291"/>
      <c r="ER132" s="291"/>
      <c r="ES132" s="291"/>
      <c r="ET132" s="291"/>
      <c r="EU132" s="291"/>
      <c r="EV132" s="291"/>
      <c r="EW132" s="291"/>
      <c r="EX132" s="291"/>
      <c r="EY132" s="291"/>
      <c r="EZ132" s="291"/>
      <c r="FA132" s="291"/>
      <c r="FB132" s="291"/>
      <c r="FC132" s="291"/>
      <c r="FD132" s="291"/>
      <c r="FE132" s="291"/>
      <c r="FF132" s="291"/>
      <c r="FG132" s="291"/>
      <c r="FH132" s="291"/>
      <c r="FI132" s="291"/>
      <c r="FJ132" s="291"/>
      <c r="FK132" s="291"/>
      <c r="FL132" s="291"/>
      <c r="FM132" s="291"/>
      <c r="FN132" s="291"/>
      <c r="FO132" s="291"/>
      <c r="FP132" s="291"/>
      <c r="FQ132" s="291"/>
      <c r="FR132" s="291"/>
      <c r="FS132" s="291"/>
      <c r="FT132" s="291"/>
      <c r="FU132" s="291"/>
      <c r="FV132" s="291"/>
      <c r="FW132" s="291"/>
      <c r="FX132" s="291"/>
      <c r="FY132" s="291"/>
      <c r="FZ132" s="291"/>
      <c r="GA132" s="291"/>
      <c r="GB132" s="291"/>
      <c r="GC132" s="291"/>
      <c r="GD132" s="291"/>
      <c r="GE132" s="291"/>
      <c r="GF132" s="291"/>
      <c r="GG132" s="291"/>
      <c r="GH132" s="291"/>
      <c r="GI132" s="291"/>
      <c r="GJ132" s="291"/>
      <c r="GK132" s="291"/>
      <c r="GL132" s="291"/>
      <c r="GM132" s="291"/>
      <c r="GN132" s="291"/>
      <c r="GO132" s="291"/>
      <c r="GP132" s="291"/>
      <c r="GQ132" s="291"/>
      <c r="GR132" s="291"/>
      <c r="GS132" s="291"/>
      <c r="GT132" s="291"/>
      <c r="GU132" s="291"/>
      <c r="GV132" s="291"/>
      <c r="GW132" s="291"/>
      <c r="GX132" s="291"/>
      <c r="GY132" s="291"/>
      <c r="GZ132" s="291"/>
      <c r="HA132" s="291"/>
      <c r="HB132" s="291"/>
      <c r="HC132" s="291"/>
      <c r="HD132" s="291"/>
      <c r="HE132" s="291"/>
      <c r="HF132" s="291"/>
      <c r="HG132" s="291"/>
      <c r="HH132" s="291"/>
      <c r="HI132" s="291"/>
      <c r="HJ132" s="291"/>
      <c r="HK132" s="291"/>
      <c r="HL132" s="291"/>
      <c r="HM132" s="291"/>
      <c r="HN132" s="291"/>
      <c r="HO132" s="291"/>
      <c r="HP132" s="291"/>
      <c r="HQ132" s="291"/>
      <c r="HR132" s="291"/>
      <c r="HS132" s="291"/>
      <c r="HT132" s="291"/>
      <c r="HU132" s="291"/>
      <c r="HV132" s="291"/>
      <c r="HW132" s="291"/>
      <c r="HX132" s="291"/>
      <c r="HY132" s="291"/>
      <c r="HZ132" s="291"/>
      <c r="IA132" s="291"/>
      <c r="IB132" s="291"/>
      <c r="IC132" s="291"/>
      <c r="ID132" s="291"/>
      <c r="IE132" s="291"/>
      <c r="IF132" s="291"/>
      <c r="IG132" s="291"/>
      <c r="IH132" s="291"/>
      <c r="II132" s="291"/>
      <c r="IJ132" s="291"/>
      <c r="IK132" s="291"/>
      <c r="IL132" s="291"/>
      <c r="IM132" s="291"/>
      <c r="IN132" s="291"/>
      <c r="IO132" s="291"/>
      <c r="IP132" s="291"/>
      <c r="IQ132" s="291"/>
      <c r="IR132" s="291"/>
      <c r="IS132" s="291"/>
      <c r="IT132" s="291"/>
      <c r="IU132" s="291"/>
      <c r="IV132" s="291"/>
      <c r="IW132" s="291"/>
    </row>
    <row r="133" customFormat="false" ht="12.75" hidden="false" customHeight="false" outlineLevel="1" collapsed="false">
      <c r="A133" s="2" t="s">
        <v>565</v>
      </c>
      <c r="B133" s="2" t="s">
        <v>413</v>
      </c>
      <c r="C133" s="2" t="s">
        <v>414</v>
      </c>
      <c r="D133" s="2" t="s">
        <v>189</v>
      </c>
      <c r="E133" s="310" t="s">
        <v>566</v>
      </c>
      <c r="F133" s="311"/>
      <c r="G133" s="312"/>
      <c r="H133" s="288"/>
      <c r="I133" s="289"/>
      <c r="J133" s="288"/>
      <c r="K133" s="288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  <c r="BE133" s="291"/>
      <c r="BF133" s="291"/>
      <c r="BG133" s="291"/>
      <c r="BH133" s="291"/>
      <c r="BI133" s="291"/>
      <c r="BJ133" s="291"/>
      <c r="BK133" s="291"/>
      <c r="BL133" s="291"/>
      <c r="BM133" s="291"/>
      <c r="BN133" s="291"/>
      <c r="BO133" s="291"/>
      <c r="BP133" s="291"/>
      <c r="BQ133" s="291"/>
      <c r="BR133" s="291"/>
      <c r="BS133" s="291"/>
      <c r="BT133" s="291"/>
      <c r="BU133" s="291"/>
      <c r="BV133" s="291"/>
      <c r="BW133" s="291"/>
      <c r="BX133" s="291"/>
      <c r="BY133" s="291"/>
      <c r="BZ133" s="291"/>
      <c r="CA133" s="291"/>
      <c r="CB133" s="291"/>
      <c r="CC133" s="291"/>
      <c r="CD133" s="291"/>
      <c r="CE133" s="291"/>
      <c r="CF133" s="291"/>
      <c r="CG133" s="291"/>
      <c r="CH133" s="291"/>
      <c r="CI133" s="291"/>
      <c r="CJ133" s="291"/>
      <c r="CK133" s="291"/>
      <c r="CL133" s="291"/>
      <c r="CM133" s="291"/>
      <c r="CN133" s="291"/>
      <c r="CO133" s="291"/>
      <c r="CP133" s="291"/>
      <c r="CQ133" s="291"/>
      <c r="CR133" s="291"/>
      <c r="CS133" s="291"/>
      <c r="CT133" s="291"/>
      <c r="CU133" s="291"/>
      <c r="CV133" s="291"/>
      <c r="CW133" s="291"/>
      <c r="CX133" s="291"/>
      <c r="CY133" s="291"/>
      <c r="CZ133" s="291"/>
      <c r="DA133" s="291"/>
      <c r="DB133" s="291"/>
      <c r="DC133" s="291"/>
      <c r="DD133" s="291"/>
      <c r="DE133" s="291"/>
      <c r="DF133" s="291"/>
      <c r="DG133" s="291"/>
      <c r="DH133" s="291"/>
      <c r="DI133" s="291"/>
      <c r="DJ133" s="291"/>
      <c r="DK133" s="291"/>
      <c r="DL133" s="291"/>
      <c r="DM133" s="291"/>
      <c r="DN133" s="291"/>
      <c r="DO133" s="291"/>
      <c r="DP133" s="291"/>
      <c r="DQ133" s="291"/>
      <c r="DR133" s="291"/>
      <c r="DS133" s="291"/>
      <c r="DT133" s="291"/>
      <c r="DU133" s="291"/>
      <c r="DV133" s="291"/>
      <c r="DW133" s="291"/>
      <c r="DX133" s="291"/>
      <c r="DY133" s="291"/>
      <c r="DZ133" s="291"/>
      <c r="EA133" s="291"/>
      <c r="EB133" s="291"/>
      <c r="EC133" s="291"/>
      <c r="ED133" s="291"/>
      <c r="EE133" s="291"/>
      <c r="EF133" s="291"/>
      <c r="EG133" s="291"/>
      <c r="EH133" s="291"/>
      <c r="EI133" s="291"/>
      <c r="EJ133" s="291"/>
      <c r="EK133" s="291"/>
      <c r="EL133" s="291"/>
      <c r="EM133" s="291"/>
      <c r="EN133" s="291"/>
      <c r="EO133" s="291"/>
      <c r="EP133" s="291"/>
      <c r="EQ133" s="291"/>
      <c r="ER133" s="291"/>
      <c r="ES133" s="291"/>
      <c r="ET133" s="291"/>
      <c r="EU133" s="291"/>
      <c r="EV133" s="291"/>
      <c r="EW133" s="291"/>
      <c r="EX133" s="291"/>
      <c r="EY133" s="291"/>
      <c r="EZ133" s="291"/>
      <c r="FA133" s="291"/>
      <c r="FB133" s="291"/>
      <c r="FC133" s="291"/>
      <c r="FD133" s="291"/>
      <c r="FE133" s="291"/>
      <c r="FF133" s="291"/>
      <c r="FG133" s="291"/>
      <c r="FH133" s="291"/>
      <c r="FI133" s="291"/>
      <c r="FJ133" s="291"/>
      <c r="FK133" s="291"/>
      <c r="FL133" s="291"/>
      <c r="FM133" s="291"/>
      <c r="FN133" s="291"/>
      <c r="FO133" s="291"/>
      <c r="FP133" s="291"/>
      <c r="FQ133" s="291"/>
      <c r="FR133" s="291"/>
      <c r="FS133" s="291"/>
      <c r="FT133" s="291"/>
      <c r="FU133" s="291"/>
      <c r="FV133" s="291"/>
      <c r="FW133" s="291"/>
      <c r="FX133" s="291"/>
      <c r="FY133" s="291"/>
      <c r="FZ133" s="291"/>
      <c r="GA133" s="291"/>
      <c r="GB133" s="291"/>
      <c r="GC133" s="291"/>
      <c r="GD133" s="291"/>
      <c r="GE133" s="291"/>
      <c r="GF133" s="291"/>
      <c r="GG133" s="291"/>
      <c r="GH133" s="291"/>
      <c r="GI133" s="291"/>
      <c r="GJ133" s="291"/>
      <c r="GK133" s="291"/>
      <c r="GL133" s="291"/>
      <c r="GM133" s="291"/>
      <c r="GN133" s="291"/>
      <c r="GO133" s="291"/>
      <c r="GP133" s="291"/>
      <c r="GQ133" s="291"/>
      <c r="GR133" s="291"/>
      <c r="GS133" s="291"/>
      <c r="GT133" s="291"/>
      <c r="GU133" s="291"/>
      <c r="GV133" s="291"/>
      <c r="GW133" s="291"/>
      <c r="GX133" s="291"/>
      <c r="GY133" s="291"/>
      <c r="GZ133" s="291"/>
      <c r="HA133" s="291"/>
      <c r="HB133" s="291"/>
      <c r="HC133" s="291"/>
      <c r="HD133" s="291"/>
      <c r="HE133" s="291"/>
      <c r="HF133" s="291"/>
      <c r="HG133" s="291"/>
      <c r="HH133" s="291"/>
      <c r="HI133" s="291"/>
      <c r="HJ133" s="291"/>
      <c r="HK133" s="291"/>
      <c r="HL133" s="291"/>
      <c r="HM133" s="291"/>
      <c r="HN133" s="291"/>
      <c r="HO133" s="291"/>
      <c r="HP133" s="291"/>
      <c r="HQ133" s="291"/>
      <c r="HR133" s="291"/>
      <c r="HS133" s="291"/>
      <c r="HT133" s="291"/>
      <c r="HU133" s="291"/>
      <c r="HV133" s="291"/>
      <c r="HW133" s="291"/>
      <c r="HX133" s="291"/>
      <c r="HY133" s="291"/>
      <c r="HZ133" s="291"/>
      <c r="IA133" s="291"/>
      <c r="IB133" s="291"/>
      <c r="IC133" s="291"/>
      <c r="ID133" s="291"/>
      <c r="IE133" s="291"/>
      <c r="IF133" s="291"/>
      <c r="IG133" s="291"/>
      <c r="IH133" s="291"/>
      <c r="II133" s="291"/>
      <c r="IJ133" s="291"/>
      <c r="IK133" s="291"/>
      <c r="IL133" s="291"/>
      <c r="IM133" s="291"/>
      <c r="IN133" s="291"/>
      <c r="IO133" s="291"/>
      <c r="IP133" s="291"/>
      <c r="IQ133" s="291"/>
      <c r="IR133" s="291"/>
      <c r="IS133" s="291"/>
      <c r="IT133" s="291"/>
      <c r="IU133" s="291"/>
      <c r="IV133" s="291"/>
      <c r="IW133" s="291"/>
    </row>
    <row r="134" customFormat="false" ht="12.75" hidden="false" customHeight="false" outlineLevel="2" collapsed="false">
      <c r="A134" s="2" t="str">
        <f aca="false">B134&amp;C134&amp;D134</f>
        <v>O&amp;M Mobilization BudgetOperating ExpensesInsurance</v>
      </c>
      <c r="B134" s="2" t="s">
        <v>413</v>
      </c>
      <c r="C134" s="2" t="s">
        <v>414</v>
      </c>
      <c r="D134" s="2" t="s">
        <v>189</v>
      </c>
      <c r="E134" s="292"/>
      <c r="F134" s="78"/>
      <c r="G134" s="78"/>
      <c r="H134" s="293" t="n">
        <v>5000</v>
      </c>
      <c r="I134" s="294" t="n">
        <v>1</v>
      </c>
      <c r="J134" s="295" t="n">
        <f aca="false">I134*H134</f>
        <v>5000</v>
      </c>
      <c r="K134" s="295" t="n">
        <f aca="false">H134-J134</f>
        <v>0</v>
      </c>
      <c r="M134" s="2"/>
      <c r="N134" s="2"/>
    </row>
    <row r="135" customFormat="false" ht="12.75" hidden="false" customHeight="false" outlineLevel="2" collapsed="false">
      <c r="A135" s="2" t="str">
        <f aca="false">B135&amp;C135&amp;D135</f>
        <v>O&amp;M Mobilization BudgetOperating ExpensesInsurance</v>
      </c>
      <c r="B135" s="2" t="s">
        <v>413</v>
      </c>
      <c r="C135" s="2" t="s">
        <v>414</v>
      </c>
      <c r="D135" s="2" t="s">
        <v>189</v>
      </c>
      <c r="E135" s="292"/>
      <c r="F135" s="78"/>
      <c r="G135" s="78"/>
      <c r="H135" s="295"/>
      <c r="I135" s="309"/>
      <c r="J135" s="295"/>
      <c r="K135" s="295"/>
      <c r="M135" s="2"/>
      <c r="N135" s="2"/>
    </row>
    <row r="136" customFormat="false" ht="12.75" hidden="false" customHeight="false" outlineLevel="1" collapsed="false">
      <c r="A136" s="291" t="s">
        <v>567</v>
      </c>
      <c r="B136" s="291" t="s">
        <v>413</v>
      </c>
      <c r="C136" s="291" t="s">
        <v>414</v>
      </c>
      <c r="D136" s="291" t="s">
        <v>189</v>
      </c>
      <c r="E136" s="292"/>
      <c r="F136" s="78"/>
      <c r="G136" s="297" t="s">
        <v>431</v>
      </c>
      <c r="H136" s="298" t="n">
        <f aca="false">SUBTOTAL(9,H134:H135)</f>
        <v>5000</v>
      </c>
      <c r="I136" s="299"/>
      <c r="J136" s="298" t="n">
        <f aca="false">SUBTOTAL(9,J134:J135)</f>
        <v>5000</v>
      </c>
      <c r="K136" s="298" t="n">
        <f aca="false">SUBTOTAL(9,K134:K135)</f>
        <v>0</v>
      </c>
      <c r="L136" s="291"/>
      <c r="M136" s="291"/>
      <c r="N136" s="291"/>
      <c r="O136" s="291"/>
      <c r="P136" s="291"/>
      <c r="Q136" s="291"/>
      <c r="R136" s="291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  <c r="BE136" s="291"/>
      <c r="BF136" s="291"/>
      <c r="BG136" s="291"/>
      <c r="BH136" s="291"/>
      <c r="BI136" s="291"/>
      <c r="BJ136" s="291"/>
      <c r="BK136" s="291"/>
      <c r="BL136" s="291"/>
      <c r="BM136" s="291"/>
      <c r="BN136" s="291"/>
      <c r="BO136" s="291"/>
      <c r="BP136" s="291"/>
      <c r="BQ136" s="291"/>
      <c r="BR136" s="291"/>
      <c r="BS136" s="291"/>
      <c r="BT136" s="291"/>
      <c r="BU136" s="291"/>
      <c r="BV136" s="291"/>
      <c r="BW136" s="291"/>
      <c r="BX136" s="291"/>
      <c r="BY136" s="291"/>
      <c r="BZ136" s="291"/>
      <c r="CA136" s="291"/>
      <c r="CB136" s="291"/>
      <c r="CC136" s="291"/>
      <c r="CD136" s="291"/>
      <c r="CE136" s="291"/>
      <c r="CF136" s="291"/>
      <c r="CG136" s="291"/>
      <c r="CH136" s="291"/>
      <c r="CI136" s="291"/>
      <c r="CJ136" s="291"/>
      <c r="CK136" s="291"/>
      <c r="CL136" s="291"/>
      <c r="CM136" s="291"/>
      <c r="CN136" s="291"/>
      <c r="CO136" s="291"/>
      <c r="CP136" s="291"/>
      <c r="CQ136" s="291"/>
      <c r="CR136" s="291"/>
      <c r="CS136" s="291"/>
      <c r="CT136" s="291"/>
      <c r="CU136" s="291"/>
      <c r="CV136" s="291"/>
      <c r="CW136" s="291"/>
      <c r="CX136" s="291"/>
      <c r="CY136" s="291"/>
      <c r="CZ136" s="291"/>
      <c r="DA136" s="291"/>
      <c r="DB136" s="291"/>
      <c r="DC136" s="291"/>
      <c r="DD136" s="291"/>
      <c r="DE136" s="291"/>
      <c r="DF136" s="291"/>
      <c r="DG136" s="291"/>
      <c r="DH136" s="291"/>
      <c r="DI136" s="291"/>
      <c r="DJ136" s="291"/>
      <c r="DK136" s="291"/>
      <c r="DL136" s="291"/>
      <c r="DM136" s="291"/>
      <c r="DN136" s="291"/>
      <c r="DO136" s="291"/>
      <c r="DP136" s="291"/>
      <c r="DQ136" s="291"/>
      <c r="DR136" s="291"/>
      <c r="DS136" s="291"/>
      <c r="DT136" s="291"/>
      <c r="DU136" s="291"/>
      <c r="DV136" s="291"/>
      <c r="DW136" s="291"/>
      <c r="DX136" s="291"/>
      <c r="DY136" s="291"/>
      <c r="DZ136" s="291"/>
      <c r="EA136" s="291"/>
      <c r="EB136" s="291"/>
      <c r="EC136" s="291"/>
      <c r="ED136" s="291"/>
      <c r="EE136" s="291"/>
      <c r="EF136" s="291"/>
      <c r="EG136" s="291"/>
      <c r="EH136" s="291"/>
      <c r="EI136" s="291"/>
      <c r="EJ136" s="291"/>
      <c r="EK136" s="291"/>
      <c r="EL136" s="291"/>
      <c r="EM136" s="291"/>
      <c r="EN136" s="291"/>
      <c r="EO136" s="291"/>
      <c r="EP136" s="291"/>
      <c r="EQ136" s="291"/>
      <c r="ER136" s="291"/>
      <c r="ES136" s="291"/>
      <c r="ET136" s="291"/>
      <c r="EU136" s="291"/>
      <c r="EV136" s="291"/>
      <c r="EW136" s="291"/>
      <c r="EX136" s="291"/>
      <c r="EY136" s="291"/>
      <c r="EZ136" s="291"/>
      <c r="FA136" s="291"/>
      <c r="FB136" s="291"/>
      <c r="FC136" s="291"/>
      <c r="FD136" s="291"/>
      <c r="FE136" s="291"/>
      <c r="FF136" s="291"/>
      <c r="FG136" s="291"/>
      <c r="FH136" s="291"/>
      <c r="FI136" s="291"/>
      <c r="FJ136" s="291"/>
      <c r="FK136" s="291"/>
      <c r="FL136" s="291"/>
      <c r="FM136" s="291"/>
      <c r="FN136" s="291"/>
      <c r="FO136" s="291"/>
      <c r="FP136" s="291"/>
      <c r="FQ136" s="291"/>
      <c r="FR136" s="291"/>
      <c r="FS136" s="291"/>
      <c r="FT136" s="291"/>
      <c r="FU136" s="291"/>
      <c r="FV136" s="291"/>
      <c r="FW136" s="291"/>
      <c r="FX136" s="291"/>
      <c r="FY136" s="291"/>
      <c r="FZ136" s="291"/>
      <c r="GA136" s="291"/>
      <c r="GB136" s="291"/>
      <c r="GC136" s="291"/>
      <c r="GD136" s="291"/>
      <c r="GE136" s="291"/>
      <c r="GF136" s="291"/>
      <c r="GG136" s="291"/>
      <c r="GH136" s="291"/>
      <c r="GI136" s="291"/>
      <c r="GJ136" s="291"/>
      <c r="GK136" s="291"/>
      <c r="GL136" s="291"/>
      <c r="GM136" s="291"/>
      <c r="GN136" s="291"/>
      <c r="GO136" s="291"/>
      <c r="GP136" s="291"/>
      <c r="GQ136" s="291"/>
      <c r="GR136" s="291"/>
      <c r="GS136" s="291"/>
      <c r="GT136" s="291"/>
      <c r="GU136" s="291"/>
      <c r="GV136" s="291"/>
      <c r="GW136" s="291"/>
      <c r="GX136" s="291"/>
      <c r="GY136" s="291"/>
      <c r="GZ136" s="291"/>
      <c r="HA136" s="291"/>
      <c r="HB136" s="291"/>
      <c r="HC136" s="291"/>
      <c r="HD136" s="291"/>
      <c r="HE136" s="291"/>
      <c r="HF136" s="291"/>
      <c r="HG136" s="291"/>
      <c r="HH136" s="291"/>
      <c r="HI136" s="291"/>
      <c r="HJ136" s="291"/>
      <c r="HK136" s="291"/>
      <c r="HL136" s="291"/>
      <c r="HM136" s="291"/>
      <c r="HN136" s="291"/>
      <c r="HO136" s="291"/>
      <c r="HP136" s="291"/>
      <c r="HQ136" s="291"/>
      <c r="HR136" s="291"/>
      <c r="HS136" s="291"/>
      <c r="HT136" s="291"/>
      <c r="HU136" s="291"/>
      <c r="HV136" s="291"/>
      <c r="HW136" s="291"/>
      <c r="HX136" s="291"/>
      <c r="HY136" s="291"/>
      <c r="HZ136" s="291"/>
      <c r="IA136" s="291"/>
      <c r="IB136" s="291"/>
      <c r="IC136" s="291"/>
      <c r="ID136" s="291"/>
      <c r="IE136" s="291"/>
      <c r="IF136" s="291"/>
      <c r="IG136" s="291"/>
      <c r="IH136" s="291"/>
      <c r="II136" s="291"/>
      <c r="IJ136" s="291"/>
      <c r="IK136" s="291"/>
      <c r="IL136" s="291"/>
      <c r="IM136" s="291"/>
      <c r="IN136" s="291"/>
      <c r="IO136" s="291"/>
      <c r="IP136" s="291"/>
      <c r="IQ136" s="291"/>
      <c r="IR136" s="291"/>
      <c r="IS136" s="291"/>
      <c r="IT136" s="291"/>
      <c r="IU136" s="291"/>
      <c r="IV136" s="291"/>
      <c r="IW136" s="291"/>
    </row>
    <row r="137" customFormat="false" ht="12.75" hidden="false" customHeight="false" outlineLevel="1" collapsed="false">
      <c r="A137" s="291"/>
      <c r="B137" s="291"/>
      <c r="C137" s="291"/>
      <c r="D137" s="291"/>
      <c r="E137" s="310" t="s">
        <v>190</v>
      </c>
      <c r="F137" s="311"/>
      <c r="G137" s="312"/>
      <c r="H137" s="288"/>
      <c r="I137" s="289"/>
      <c r="J137" s="288"/>
      <c r="K137" s="288"/>
      <c r="L137" s="291"/>
      <c r="M137" s="291"/>
      <c r="N137" s="291"/>
      <c r="O137" s="291"/>
      <c r="P137" s="291"/>
      <c r="Q137" s="291"/>
      <c r="R137" s="291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  <c r="AG137" s="291"/>
      <c r="AH137" s="291"/>
      <c r="AI137" s="291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  <c r="BE137" s="291"/>
      <c r="BF137" s="291"/>
      <c r="BG137" s="291"/>
      <c r="BH137" s="291"/>
      <c r="BI137" s="291"/>
      <c r="BJ137" s="291"/>
      <c r="BK137" s="291"/>
      <c r="BL137" s="291"/>
      <c r="BM137" s="291"/>
      <c r="BN137" s="291"/>
      <c r="BO137" s="291"/>
      <c r="BP137" s="291"/>
      <c r="BQ137" s="291"/>
      <c r="BR137" s="291"/>
      <c r="BS137" s="291"/>
      <c r="BT137" s="291"/>
      <c r="BU137" s="291"/>
      <c r="BV137" s="291"/>
      <c r="BW137" s="291"/>
      <c r="BX137" s="291"/>
      <c r="BY137" s="291"/>
      <c r="BZ137" s="291"/>
      <c r="CA137" s="291"/>
      <c r="CB137" s="291"/>
      <c r="CC137" s="291"/>
      <c r="CD137" s="291"/>
      <c r="CE137" s="291"/>
      <c r="CF137" s="291"/>
      <c r="CG137" s="291"/>
      <c r="CH137" s="291"/>
      <c r="CI137" s="291"/>
      <c r="CJ137" s="291"/>
      <c r="CK137" s="291"/>
      <c r="CL137" s="291"/>
      <c r="CM137" s="291"/>
      <c r="CN137" s="291"/>
      <c r="CO137" s="291"/>
      <c r="CP137" s="291"/>
      <c r="CQ137" s="291"/>
      <c r="CR137" s="291"/>
      <c r="CS137" s="291"/>
      <c r="CT137" s="291"/>
      <c r="CU137" s="291"/>
      <c r="CV137" s="291"/>
      <c r="CW137" s="291"/>
      <c r="CX137" s="291"/>
      <c r="CY137" s="291"/>
      <c r="CZ137" s="291"/>
      <c r="DA137" s="291"/>
      <c r="DB137" s="291"/>
      <c r="DC137" s="291"/>
      <c r="DD137" s="291"/>
      <c r="DE137" s="291"/>
      <c r="DF137" s="291"/>
      <c r="DG137" s="291"/>
      <c r="DH137" s="291"/>
      <c r="DI137" s="291"/>
      <c r="DJ137" s="291"/>
      <c r="DK137" s="291"/>
      <c r="DL137" s="291"/>
      <c r="DM137" s="291"/>
      <c r="DN137" s="291"/>
      <c r="DO137" s="291"/>
      <c r="DP137" s="291"/>
      <c r="DQ137" s="291"/>
      <c r="DR137" s="291"/>
      <c r="DS137" s="291"/>
      <c r="DT137" s="291"/>
      <c r="DU137" s="291"/>
      <c r="DV137" s="291"/>
      <c r="DW137" s="291"/>
      <c r="DX137" s="291"/>
      <c r="DY137" s="291"/>
      <c r="DZ137" s="291"/>
      <c r="EA137" s="291"/>
      <c r="EB137" s="291"/>
      <c r="EC137" s="291"/>
      <c r="ED137" s="291"/>
      <c r="EE137" s="291"/>
      <c r="EF137" s="291"/>
      <c r="EG137" s="291"/>
      <c r="EH137" s="291"/>
      <c r="EI137" s="291"/>
      <c r="EJ137" s="291"/>
      <c r="EK137" s="291"/>
      <c r="EL137" s="291"/>
      <c r="EM137" s="291"/>
      <c r="EN137" s="291"/>
      <c r="EO137" s="291"/>
      <c r="EP137" s="291"/>
      <c r="EQ137" s="291"/>
      <c r="ER137" s="291"/>
      <c r="ES137" s="291"/>
      <c r="ET137" s="291"/>
      <c r="EU137" s="291"/>
      <c r="EV137" s="291"/>
      <c r="EW137" s="291"/>
      <c r="EX137" s="291"/>
      <c r="EY137" s="291"/>
      <c r="EZ137" s="291"/>
      <c r="FA137" s="291"/>
      <c r="FB137" s="291"/>
      <c r="FC137" s="291"/>
      <c r="FD137" s="291"/>
      <c r="FE137" s="291"/>
      <c r="FF137" s="291"/>
      <c r="FG137" s="291"/>
      <c r="FH137" s="291"/>
      <c r="FI137" s="291"/>
      <c r="FJ137" s="291"/>
      <c r="FK137" s="291"/>
      <c r="FL137" s="291"/>
      <c r="FM137" s="291"/>
      <c r="FN137" s="291"/>
      <c r="FO137" s="291"/>
      <c r="FP137" s="291"/>
      <c r="FQ137" s="291"/>
      <c r="FR137" s="291"/>
      <c r="FS137" s="291"/>
      <c r="FT137" s="291"/>
      <c r="FU137" s="291"/>
      <c r="FV137" s="291"/>
      <c r="FW137" s="291"/>
      <c r="FX137" s="291"/>
      <c r="FY137" s="291"/>
      <c r="FZ137" s="291"/>
      <c r="GA137" s="291"/>
      <c r="GB137" s="291"/>
      <c r="GC137" s="291"/>
      <c r="GD137" s="291"/>
      <c r="GE137" s="291"/>
      <c r="GF137" s="291"/>
      <c r="GG137" s="291"/>
      <c r="GH137" s="291"/>
      <c r="GI137" s="291"/>
      <c r="GJ137" s="291"/>
      <c r="GK137" s="291"/>
      <c r="GL137" s="291"/>
      <c r="GM137" s="291"/>
      <c r="GN137" s="291"/>
      <c r="GO137" s="291"/>
      <c r="GP137" s="291"/>
      <c r="GQ137" s="291"/>
      <c r="GR137" s="291"/>
      <c r="GS137" s="291"/>
      <c r="GT137" s="291"/>
      <c r="GU137" s="291"/>
      <c r="GV137" s="291"/>
      <c r="GW137" s="291"/>
      <c r="GX137" s="291"/>
      <c r="GY137" s="291"/>
      <c r="GZ137" s="291"/>
      <c r="HA137" s="291"/>
      <c r="HB137" s="291"/>
      <c r="HC137" s="291"/>
      <c r="HD137" s="291"/>
      <c r="HE137" s="291"/>
      <c r="HF137" s="291"/>
      <c r="HG137" s="291"/>
      <c r="HH137" s="291"/>
      <c r="HI137" s="291"/>
      <c r="HJ137" s="291"/>
      <c r="HK137" s="291"/>
      <c r="HL137" s="291"/>
      <c r="HM137" s="291"/>
      <c r="HN137" s="291"/>
      <c r="HO137" s="291"/>
      <c r="HP137" s="291"/>
      <c r="HQ137" s="291"/>
      <c r="HR137" s="291"/>
      <c r="HS137" s="291"/>
      <c r="HT137" s="291"/>
      <c r="HU137" s="291"/>
      <c r="HV137" s="291"/>
      <c r="HW137" s="291"/>
      <c r="HX137" s="291"/>
      <c r="HY137" s="291"/>
      <c r="HZ137" s="291"/>
      <c r="IA137" s="291"/>
      <c r="IB137" s="291"/>
      <c r="IC137" s="291"/>
      <c r="ID137" s="291"/>
      <c r="IE137" s="291"/>
      <c r="IF137" s="291"/>
      <c r="IG137" s="291"/>
      <c r="IH137" s="291"/>
      <c r="II137" s="291"/>
      <c r="IJ137" s="291"/>
      <c r="IK137" s="291"/>
      <c r="IL137" s="291"/>
      <c r="IM137" s="291"/>
      <c r="IN137" s="291"/>
      <c r="IO137" s="291"/>
      <c r="IP137" s="291"/>
      <c r="IQ137" s="291"/>
      <c r="IR137" s="291"/>
      <c r="IS137" s="291"/>
      <c r="IT137" s="291"/>
      <c r="IU137" s="291"/>
      <c r="IV137" s="291"/>
      <c r="IW137" s="291"/>
    </row>
    <row r="138" customFormat="false" ht="12.75" hidden="false" customHeight="false" outlineLevel="1" collapsed="false">
      <c r="A138" s="291"/>
      <c r="B138" s="291"/>
      <c r="C138" s="291"/>
      <c r="D138" s="291"/>
      <c r="E138" s="316" t="s">
        <v>190</v>
      </c>
      <c r="F138" s="44" t="s">
        <v>568</v>
      </c>
      <c r="G138" s="44"/>
      <c r="H138" s="293" t="n">
        <f aca="false">350*30</f>
        <v>10500</v>
      </c>
      <c r="I138" s="294" t="n">
        <v>1</v>
      </c>
      <c r="J138" s="295" t="n">
        <f aca="false">I138*H138</f>
        <v>10500</v>
      </c>
      <c r="K138" s="295" t="n">
        <f aca="false">H138-J138</f>
        <v>0</v>
      </c>
      <c r="L138" s="291"/>
      <c r="M138" s="291"/>
      <c r="N138" s="291"/>
      <c r="O138" s="291"/>
      <c r="P138" s="291"/>
      <c r="Q138" s="291"/>
      <c r="R138" s="291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91"/>
      <c r="AE138" s="291"/>
      <c r="AF138" s="291"/>
      <c r="AG138" s="291"/>
      <c r="AH138" s="291"/>
      <c r="AI138" s="291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  <c r="BE138" s="291"/>
      <c r="BF138" s="291"/>
      <c r="BG138" s="291"/>
      <c r="BH138" s="291"/>
      <c r="BI138" s="291"/>
      <c r="BJ138" s="291"/>
      <c r="BK138" s="291"/>
      <c r="BL138" s="291"/>
      <c r="BM138" s="291"/>
      <c r="BN138" s="291"/>
      <c r="BO138" s="291"/>
      <c r="BP138" s="291"/>
      <c r="BQ138" s="291"/>
      <c r="BR138" s="291"/>
      <c r="BS138" s="291"/>
      <c r="BT138" s="291"/>
      <c r="BU138" s="291"/>
      <c r="BV138" s="291"/>
      <c r="BW138" s="291"/>
      <c r="BX138" s="291"/>
      <c r="BY138" s="291"/>
      <c r="BZ138" s="291"/>
      <c r="CA138" s="291"/>
      <c r="CB138" s="291"/>
      <c r="CC138" s="291"/>
      <c r="CD138" s="291"/>
      <c r="CE138" s="291"/>
      <c r="CF138" s="291"/>
      <c r="CG138" s="291"/>
      <c r="CH138" s="291"/>
      <c r="CI138" s="291"/>
      <c r="CJ138" s="291"/>
      <c r="CK138" s="291"/>
      <c r="CL138" s="291"/>
      <c r="CM138" s="291"/>
      <c r="CN138" s="291"/>
      <c r="CO138" s="291"/>
      <c r="CP138" s="291"/>
      <c r="CQ138" s="291"/>
      <c r="CR138" s="291"/>
      <c r="CS138" s="291"/>
      <c r="CT138" s="291"/>
      <c r="CU138" s="291"/>
      <c r="CV138" s="291"/>
      <c r="CW138" s="291"/>
      <c r="CX138" s="291"/>
      <c r="CY138" s="291"/>
      <c r="CZ138" s="291"/>
      <c r="DA138" s="291"/>
      <c r="DB138" s="291"/>
      <c r="DC138" s="291"/>
      <c r="DD138" s="291"/>
      <c r="DE138" s="291"/>
      <c r="DF138" s="291"/>
      <c r="DG138" s="291"/>
      <c r="DH138" s="291"/>
      <c r="DI138" s="291"/>
      <c r="DJ138" s="291"/>
      <c r="DK138" s="291"/>
      <c r="DL138" s="291"/>
      <c r="DM138" s="291"/>
      <c r="DN138" s="291"/>
      <c r="DO138" s="291"/>
      <c r="DP138" s="291"/>
      <c r="DQ138" s="291"/>
      <c r="DR138" s="291"/>
      <c r="DS138" s="291"/>
      <c r="DT138" s="291"/>
      <c r="DU138" s="291"/>
      <c r="DV138" s="291"/>
      <c r="DW138" s="291"/>
      <c r="DX138" s="291"/>
      <c r="DY138" s="291"/>
      <c r="DZ138" s="291"/>
      <c r="EA138" s="291"/>
      <c r="EB138" s="291"/>
      <c r="EC138" s="291"/>
      <c r="ED138" s="291"/>
      <c r="EE138" s="291"/>
      <c r="EF138" s="291"/>
      <c r="EG138" s="291"/>
      <c r="EH138" s="291"/>
      <c r="EI138" s="291"/>
      <c r="EJ138" s="291"/>
      <c r="EK138" s="291"/>
      <c r="EL138" s="291"/>
      <c r="EM138" s="291"/>
      <c r="EN138" s="291"/>
      <c r="EO138" s="291"/>
      <c r="EP138" s="291"/>
      <c r="EQ138" s="291"/>
      <c r="ER138" s="291"/>
      <c r="ES138" s="291"/>
      <c r="ET138" s="291"/>
      <c r="EU138" s="291"/>
      <c r="EV138" s="291"/>
      <c r="EW138" s="291"/>
      <c r="EX138" s="291"/>
      <c r="EY138" s="291"/>
      <c r="EZ138" s="291"/>
      <c r="FA138" s="291"/>
      <c r="FB138" s="291"/>
      <c r="FC138" s="291"/>
      <c r="FD138" s="291"/>
      <c r="FE138" s="291"/>
      <c r="FF138" s="291"/>
      <c r="FG138" s="291"/>
      <c r="FH138" s="291"/>
      <c r="FI138" s="291"/>
      <c r="FJ138" s="291"/>
      <c r="FK138" s="291"/>
      <c r="FL138" s="291"/>
      <c r="FM138" s="291"/>
      <c r="FN138" s="291"/>
      <c r="FO138" s="291"/>
      <c r="FP138" s="291"/>
      <c r="FQ138" s="291"/>
      <c r="FR138" s="291"/>
      <c r="FS138" s="291"/>
      <c r="FT138" s="291"/>
      <c r="FU138" s="291"/>
      <c r="FV138" s="291"/>
      <c r="FW138" s="291"/>
      <c r="FX138" s="291"/>
      <c r="FY138" s="291"/>
      <c r="FZ138" s="291"/>
      <c r="GA138" s="291"/>
      <c r="GB138" s="291"/>
      <c r="GC138" s="291"/>
      <c r="GD138" s="291"/>
      <c r="GE138" s="291"/>
      <c r="GF138" s="291"/>
      <c r="GG138" s="291"/>
      <c r="GH138" s="291"/>
      <c r="GI138" s="291"/>
      <c r="GJ138" s="291"/>
      <c r="GK138" s="291"/>
      <c r="GL138" s="291"/>
      <c r="GM138" s="291"/>
      <c r="GN138" s="291"/>
      <c r="GO138" s="291"/>
      <c r="GP138" s="291"/>
      <c r="GQ138" s="291"/>
      <c r="GR138" s="291"/>
      <c r="GS138" s="291"/>
      <c r="GT138" s="291"/>
      <c r="GU138" s="291"/>
      <c r="GV138" s="291"/>
      <c r="GW138" s="291"/>
      <c r="GX138" s="291"/>
      <c r="GY138" s="291"/>
      <c r="GZ138" s="291"/>
      <c r="HA138" s="291"/>
      <c r="HB138" s="291"/>
      <c r="HC138" s="291"/>
      <c r="HD138" s="291"/>
      <c r="HE138" s="291"/>
      <c r="HF138" s="291"/>
      <c r="HG138" s="291"/>
      <c r="HH138" s="291"/>
      <c r="HI138" s="291"/>
      <c r="HJ138" s="291"/>
      <c r="HK138" s="291"/>
      <c r="HL138" s="291"/>
      <c r="HM138" s="291"/>
      <c r="HN138" s="291"/>
      <c r="HO138" s="291"/>
      <c r="HP138" s="291"/>
      <c r="HQ138" s="291"/>
      <c r="HR138" s="291"/>
      <c r="HS138" s="291"/>
      <c r="HT138" s="291"/>
      <c r="HU138" s="291"/>
      <c r="HV138" s="291"/>
      <c r="HW138" s="291"/>
      <c r="HX138" s="291"/>
      <c r="HY138" s="291"/>
      <c r="HZ138" s="291"/>
      <c r="IA138" s="291"/>
      <c r="IB138" s="291"/>
      <c r="IC138" s="291"/>
      <c r="ID138" s="291"/>
      <c r="IE138" s="291"/>
      <c r="IF138" s="291"/>
      <c r="IG138" s="291"/>
      <c r="IH138" s="291"/>
      <c r="II138" s="291"/>
      <c r="IJ138" s="291"/>
      <c r="IK138" s="291"/>
      <c r="IL138" s="291"/>
      <c r="IM138" s="291"/>
      <c r="IN138" s="291"/>
      <c r="IO138" s="291"/>
      <c r="IP138" s="291"/>
      <c r="IQ138" s="291"/>
      <c r="IR138" s="291"/>
      <c r="IS138" s="291"/>
      <c r="IT138" s="291"/>
      <c r="IU138" s="291"/>
      <c r="IV138" s="291"/>
      <c r="IW138" s="291"/>
    </row>
    <row r="139" customFormat="false" ht="12.75" hidden="false" customHeight="false" outlineLevel="1" collapsed="false">
      <c r="A139" s="291"/>
      <c r="B139" s="291"/>
      <c r="C139" s="291"/>
      <c r="D139" s="291"/>
      <c r="E139" s="316" t="s">
        <v>569</v>
      </c>
      <c r="F139" s="44" t="s">
        <v>570</v>
      </c>
      <c r="G139" s="44"/>
      <c r="H139" s="293" t="n">
        <f aca="false">125*30</f>
        <v>3750</v>
      </c>
      <c r="I139" s="294" t="n">
        <v>1</v>
      </c>
      <c r="J139" s="295" t="n">
        <f aca="false">I139*H139</f>
        <v>3750</v>
      </c>
      <c r="K139" s="295" t="n">
        <f aca="false">H139-J139</f>
        <v>0</v>
      </c>
      <c r="L139" s="291"/>
      <c r="M139" s="291"/>
      <c r="N139" s="291"/>
      <c r="O139" s="291"/>
      <c r="P139" s="291"/>
      <c r="Q139" s="291"/>
      <c r="R139" s="291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91"/>
      <c r="AE139" s="291"/>
      <c r="AF139" s="291"/>
      <c r="AG139" s="291"/>
      <c r="AH139" s="291"/>
      <c r="AI139" s="291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  <c r="BE139" s="291"/>
      <c r="BF139" s="291"/>
      <c r="BG139" s="291"/>
      <c r="BH139" s="291"/>
      <c r="BI139" s="291"/>
      <c r="BJ139" s="291"/>
      <c r="BK139" s="291"/>
      <c r="BL139" s="291"/>
      <c r="BM139" s="291"/>
      <c r="BN139" s="291"/>
      <c r="BO139" s="291"/>
      <c r="BP139" s="291"/>
      <c r="BQ139" s="291"/>
      <c r="BR139" s="291"/>
      <c r="BS139" s="291"/>
      <c r="BT139" s="291"/>
      <c r="BU139" s="291"/>
      <c r="BV139" s="291"/>
      <c r="BW139" s="291"/>
      <c r="BX139" s="291"/>
      <c r="BY139" s="291"/>
      <c r="BZ139" s="291"/>
      <c r="CA139" s="291"/>
      <c r="CB139" s="291"/>
      <c r="CC139" s="291"/>
      <c r="CD139" s="291"/>
      <c r="CE139" s="291"/>
      <c r="CF139" s="291"/>
      <c r="CG139" s="291"/>
      <c r="CH139" s="291"/>
      <c r="CI139" s="291"/>
      <c r="CJ139" s="291"/>
      <c r="CK139" s="291"/>
      <c r="CL139" s="291"/>
      <c r="CM139" s="291"/>
      <c r="CN139" s="291"/>
      <c r="CO139" s="291"/>
      <c r="CP139" s="291"/>
      <c r="CQ139" s="291"/>
      <c r="CR139" s="291"/>
      <c r="CS139" s="291"/>
      <c r="CT139" s="291"/>
      <c r="CU139" s="291"/>
      <c r="CV139" s="291"/>
      <c r="CW139" s="291"/>
      <c r="CX139" s="291"/>
      <c r="CY139" s="291"/>
      <c r="CZ139" s="291"/>
      <c r="DA139" s="291"/>
      <c r="DB139" s="291"/>
      <c r="DC139" s="291"/>
      <c r="DD139" s="291"/>
      <c r="DE139" s="291"/>
      <c r="DF139" s="291"/>
      <c r="DG139" s="291"/>
      <c r="DH139" s="291"/>
      <c r="DI139" s="291"/>
      <c r="DJ139" s="291"/>
      <c r="DK139" s="291"/>
      <c r="DL139" s="291"/>
      <c r="DM139" s="291"/>
      <c r="DN139" s="291"/>
      <c r="DO139" s="291"/>
      <c r="DP139" s="291"/>
      <c r="DQ139" s="291"/>
      <c r="DR139" s="291"/>
      <c r="DS139" s="291"/>
      <c r="DT139" s="291"/>
      <c r="DU139" s="291"/>
      <c r="DV139" s="291"/>
      <c r="DW139" s="291"/>
      <c r="DX139" s="291"/>
      <c r="DY139" s="291"/>
      <c r="DZ139" s="291"/>
      <c r="EA139" s="291"/>
      <c r="EB139" s="291"/>
      <c r="EC139" s="291"/>
      <c r="ED139" s="291"/>
      <c r="EE139" s="291"/>
      <c r="EF139" s="291"/>
      <c r="EG139" s="291"/>
      <c r="EH139" s="291"/>
      <c r="EI139" s="291"/>
      <c r="EJ139" s="291"/>
      <c r="EK139" s="291"/>
      <c r="EL139" s="291"/>
      <c r="EM139" s="291"/>
      <c r="EN139" s="291"/>
      <c r="EO139" s="291"/>
      <c r="EP139" s="291"/>
      <c r="EQ139" s="291"/>
      <c r="ER139" s="291"/>
      <c r="ES139" s="291"/>
      <c r="ET139" s="291"/>
      <c r="EU139" s="291"/>
      <c r="EV139" s="291"/>
      <c r="EW139" s="291"/>
      <c r="EX139" s="291"/>
      <c r="EY139" s="291"/>
      <c r="EZ139" s="291"/>
      <c r="FA139" s="291"/>
      <c r="FB139" s="291"/>
      <c r="FC139" s="291"/>
      <c r="FD139" s="291"/>
      <c r="FE139" s="291"/>
      <c r="FF139" s="291"/>
      <c r="FG139" s="291"/>
      <c r="FH139" s="291"/>
      <c r="FI139" s="291"/>
      <c r="FJ139" s="291"/>
      <c r="FK139" s="291"/>
      <c r="FL139" s="291"/>
      <c r="FM139" s="291"/>
      <c r="FN139" s="291"/>
      <c r="FO139" s="291"/>
      <c r="FP139" s="291"/>
      <c r="FQ139" s="291"/>
      <c r="FR139" s="291"/>
      <c r="FS139" s="291"/>
      <c r="FT139" s="291"/>
      <c r="FU139" s="291"/>
      <c r="FV139" s="291"/>
      <c r="FW139" s="291"/>
      <c r="FX139" s="291"/>
      <c r="FY139" s="291"/>
      <c r="FZ139" s="291"/>
      <c r="GA139" s="291"/>
      <c r="GB139" s="291"/>
      <c r="GC139" s="291"/>
      <c r="GD139" s="291"/>
      <c r="GE139" s="291"/>
      <c r="GF139" s="291"/>
      <c r="GG139" s="291"/>
      <c r="GH139" s="291"/>
      <c r="GI139" s="291"/>
      <c r="GJ139" s="291"/>
      <c r="GK139" s="291"/>
      <c r="GL139" s="291"/>
      <c r="GM139" s="291"/>
      <c r="GN139" s="291"/>
      <c r="GO139" s="291"/>
      <c r="GP139" s="291"/>
      <c r="GQ139" s="291"/>
      <c r="GR139" s="291"/>
      <c r="GS139" s="291"/>
      <c r="GT139" s="291"/>
      <c r="GU139" s="291"/>
      <c r="GV139" s="291"/>
      <c r="GW139" s="291"/>
      <c r="GX139" s="291"/>
      <c r="GY139" s="291"/>
      <c r="GZ139" s="291"/>
      <c r="HA139" s="291"/>
      <c r="HB139" s="291"/>
      <c r="HC139" s="291"/>
      <c r="HD139" s="291"/>
      <c r="HE139" s="291"/>
      <c r="HF139" s="291"/>
      <c r="HG139" s="291"/>
      <c r="HH139" s="291"/>
      <c r="HI139" s="291"/>
      <c r="HJ139" s="291"/>
      <c r="HK139" s="291"/>
      <c r="HL139" s="291"/>
      <c r="HM139" s="291"/>
      <c r="HN139" s="291"/>
      <c r="HO139" s="291"/>
      <c r="HP139" s="291"/>
      <c r="HQ139" s="291"/>
      <c r="HR139" s="291"/>
      <c r="HS139" s="291"/>
      <c r="HT139" s="291"/>
      <c r="HU139" s="291"/>
      <c r="HV139" s="291"/>
      <c r="HW139" s="291"/>
      <c r="HX139" s="291"/>
      <c r="HY139" s="291"/>
      <c r="HZ139" s="291"/>
      <c r="IA139" s="291"/>
      <c r="IB139" s="291"/>
      <c r="IC139" s="291"/>
      <c r="ID139" s="291"/>
      <c r="IE139" s="291"/>
      <c r="IF139" s="291"/>
      <c r="IG139" s="291"/>
      <c r="IH139" s="291"/>
      <c r="II139" s="291"/>
      <c r="IJ139" s="291"/>
      <c r="IK139" s="291"/>
      <c r="IL139" s="291"/>
      <c r="IM139" s="291"/>
      <c r="IN139" s="291"/>
      <c r="IO139" s="291"/>
      <c r="IP139" s="291"/>
      <c r="IQ139" s="291"/>
      <c r="IR139" s="291"/>
      <c r="IS139" s="291"/>
      <c r="IT139" s="291"/>
      <c r="IU139" s="291"/>
      <c r="IV139" s="291"/>
      <c r="IW139" s="291"/>
    </row>
    <row r="140" customFormat="false" ht="12.75" hidden="false" customHeight="false" outlineLevel="1" collapsed="false">
      <c r="A140" s="291"/>
      <c r="B140" s="291"/>
      <c r="C140" s="291"/>
      <c r="D140" s="291"/>
      <c r="E140" s="316" t="s">
        <v>571</v>
      </c>
      <c r="F140" s="44" t="s">
        <v>572</v>
      </c>
      <c r="G140" s="44"/>
      <c r="H140" s="293" t="n">
        <v>1000</v>
      </c>
      <c r="I140" s="294" t="n">
        <v>1</v>
      </c>
      <c r="J140" s="295" t="n">
        <f aca="false">I140*H140</f>
        <v>1000</v>
      </c>
      <c r="K140" s="295" t="n">
        <f aca="false">H140-J140</f>
        <v>0</v>
      </c>
      <c r="L140" s="291"/>
      <c r="M140" s="291"/>
      <c r="N140" s="291"/>
      <c r="O140" s="291"/>
      <c r="P140" s="291"/>
      <c r="Q140" s="291"/>
      <c r="R140" s="291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  <c r="BE140" s="291"/>
      <c r="BF140" s="291"/>
      <c r="BG140" s="291"/>
      <c r="BH140" s="291"/>
      <c r="BI140" s="291"/>
      <c r="BJ140" s="291"/>
      <c r="BK140" s="291"/>
      <c r="BL140" s="291"/>
      <c r="BM140" s="291"/>
      <c r="BN140" s="291"/>
      <c r="BO140" s="291"/>
      <c r="BP140" s="291"/>
      <c r="BQ140" s="291"/>
      <c r="BR140" s="291"/>
      <c r="BS140" s="291"/>
      <c r="BT140" s="291"/>
      <c r="BU140" s="291"/>
      <c r="BV140" s="291"/>
      <c r="BW140" s="291"/>
      <c r="BX140" s="291"/>
      <c r="BY140" s="291"/>
      <c r="BZ140" s="291"/>
      <c r="CA140" s="291"/>
      <c r="CB140" s="291"/>
      <c r="CC140" s="291"/>
      <c r="CD140" s="291"/>
      <c r="CE140" s="291"/>
      <c r="CF140" s="291"/>
      <c r="CG140" s="291"/>
      <c r="CH140" s="291"/>
      <c r="CI140" s="291"/>
      <c r="CJ140" s="291"/>
      <c r="CK140" s="291"/>
      <c r="CL140" s="291"/>
      <c r="CM140" s="291"/>
      <c r="CN140" s="291"/>
      <c r="CO140" s="291"/>
      <c r="CP140" s="291"/>
      <c r="CQ140" s="291"/>
      <c r="CR140" s="291"/>
      <c r="CS140" s="291"/>
      <c r="CT140" s="291"/>
      <c r="CU140" s="291"/>
      <c r="CV140" s="291"/>
      <c r="CW140" s="291"/>
      <c r="CX140" s="291"/>
      <c r="CY140" s="291"/>
      <c r="CZ140" s="291"/>
      <c r="DA140" s="291"/>
      <c r="DB140" s="291"/>
      <c r="DC140" s="291"/>
      <c r="DD140" s="291"/>
      <c r="DE140" s="291"/>
      <c r="DF140" s="291"/>
      <c r="DG140" s="291"/>
      <c r="DH140" s="291"/>
      <c r="DI140" s="291"/>
      <c r="DJ140" s="291"/>
      <c r="DK140" s="291"/>
      <c r="DL140" s="291"/>
      <c r="DM140" s="291"/>
      <c r="DN140" s="291"/>
      <c r="DO140" s="291"/>
      <c r="DP140" s="291"/>
      <c r="DQ140" s="291"/>
      <c r="DR140" s="291"/>
      <c r="DS140" s="291"/>
      <c r="DT140" s="291"/>
      <c r="DU140" s="291"/>
      <c r="DV140" s="291"/>
      <c r="DW140" s="291"/>
      <c r="DX140" s="291"/>
      <c r="DY140" s="291"/>
      <c r="DZ140" s="291"/>
      <c r="EA140" s="291"/>
      <c r="EB140" s="291"/>
      <c r="EC140" s="291"/>
      <c r="ED140" s="291"/>
      <c r="EE140" s="291"/>
      <c r="EF140" s="291"/>
      <c r="EG140" s="291"/>
      <c r="EH140" s="291"/>
      <c r="EI140" s="291"/>
      <c r="EJ140" s="291"/>
      <c r="EK140" s="291"/>
      <c r="EL140" s="291"/>
      <c r="EM140" s="291"/>
      <c r="EN140" s="291"/>
      <c r="EO140" s="291"/>
      <c r="EP140" s="291"/>
      <c r="EQ140" s="291"/>
      <c r="ER140" s="291"/>
      <c r="ES140" s="291"/>
      <c r="ET140" s="291"/>
      <c r="EU140" s="291"/>
      <c r="EV140" s="291"/>
      <c r="EW140" s="291"/>
      <c r="EX140" s="291"/>
      <c r="EY140" s="291"/>
      <c r="EZ140" s="291"/>
      <c r="FA140" s="291"/>
      <c r="FB140" s="291"/>
      <c r="FC140" s="291"/>
      <c r="FD140" s="291"/>
      <c r="FE140" s="291"/>
      <c r="FF140" s="291"/>
      <c r="FG140" s="291"/>
      <c r="FH140" s="291"/>
      <c r="FI140" s="291"/>
      <c r="FJ140" s="291"/>
      <c r="FK140" s="291"/>
      <c r="FL140" s="291"/>
      <c r="FM140" s="291"/>
      <c r="FN140" s="291"/>
      <c r="FO140" s="291"/>
      <c r="FP140" s="291"/>
      <c r="FQ140" s="291"/>
      <c r="FR140" s="291"/>
      <c r="FS140" s="291"/>
      <c r="FT140" s="291"/>
      <c r="FU140" s="291"/>
      <c r="FV140" s="291"/>
      <c r="FW140" s="291"/>
      <c r="FX140" s="291"/>
      <c r="FY140" s="291"/>
      <c r="FZ140" s="291"/>
      <c r="GA140" s="291"/>
      <c r="GB140" s="291"/>
      <c r="GC140" s="291"/>
      <c r="GD140" s="291"/>
      <c r="GE140" s="291"/>
      <c r="GF140" s="291"/>
      <c r="GG140" s="291"/>
      <c r="GH140" s="291"/>
      <c r="GI140" s="291"/>
      <c r="GJ140" s="291"/>
      <c r="GK140" s="291"/>
      <c r="GL140" s="291"/>
      <c r="GM140" s="291"/>
      <c r="GN140" s="291"/>
      <c r="GO140" s="291"/>
      <c r="GP140" s="291"/>
      <c r="GQ140" s="291"/>
      <c r="GR140" s="291"/>
      <c r="GS140" s="291"/>
      <c r="GT140" s="291"/>
      <c r="GU140" s="291"/>
      <c r="GV140" s="291"/>
      <c r="GW140" s="291"/>
      <c r="GX140" s="291"/>
      <c r="GY140" s="291"/>
      <c r="GZ140" s="291"/>
      <c r="HA140" s="291"/>
      <c r="HB140" s="291"/>
      <c r="HC140" s="291"/>
      <c r="HD140" s="291"/>
      <c r="HE140" s="291"/>
      <c r="HF140" s="291"/>
      <c r="HG140" s="291"/>
      <c r="HH140" s="291"/>
      <c r="HI140" s="291"/>
      <c r="HJ140" s="291"/>
      <c r="HK140" s="291"/>
      <c r="HL140" s="291"/>
      <c r="HM140" s="291"/>
      <c r="HN140" s="291"/>
      <c r="HO140" s="291"/>
      <c r="HP140" s="291"/>
      <c r="HQ140" s="291"/>
      <c r="HR140" s="291"/>
      <c r="HS140" s="291"/>
      <c r="HT140" s="291"/>
      <c r="HU140" s="291"/>
      <c r="HV140" s="291"/>
      <c r="HW140" s="291"/>
      <c r="HX140" s="291"/>
      <c r="HY140" s="291"/>
      <c r="HZ140" s="291"/>
      <c r="IA140" s="291"/>
      <c r="IB140" s="291"/>
      <c r="IC140" s="291"/>
      <c r="ID140" s="291"/>
      <c r="IE140" s="291"/>
      <c r="IF140" s="291"/>
      <c r="IG140" s="291"/>
      <c r="IH140" s="291"/>
      <c r="II140" s="291"/>
      <c r="IJ140" s="291"/>
      <c r="IK140" s="291"/>
      <c r="IL140" s="291"/>
      <c r="IM140" s="291"/>
      <c r="IN140" s="291"/>
      <c r="IO140" s="291"/>
      <c r="IP140" s="291"/>
      <c r="IQ140" s="291"/>
      <c r="IR140" s="291"/>
      <c r="IS140" s="291"/>
      <c r="IT140" s="291"/>
      <c r="IU140" s="291"/>
      <c r="IV140" s="291"/>
      <c r="IW140" s="291"/>
    </row>
    <row r="141" customFormat="false" ht="12.75" hidden="false" customHeight="false" outlineLevel="1" collapsed="false">
      <c r="A141" s="291"/>
      <c r="B141" s="291"/>
      <c r="C141" s="291"/>
      <c r="D141" s="291"/>
      <c r="E141" s="316"/>
      <c r="F141" s="44"/>
      <c r="G141" s="44"/>
      <c r="H141" s="293"/>
      <c r="I141" s="294" t="n">
        <v>1</v>
      </c>
      <c r="J141" s="295" t="n">
        <f aca="false">I141*H141</f>
        <v>0</v>
      </c>
      <c r="K141" s="295" t="n">
        <f aca="false">H141-J141</f>
        <v>0</v>
      </c>
      <c r="L141" s="291"/>
      <c r="M141" s="291"/>
      <c r="N141" s="291"/>
      <c r="O141" s="291"/>
      <c r="P141" s="291"/>
      <c r="Q141" s="291"/>
      <c r="R141" s="291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91"/>
      <c r="AE141" s="291"/>
      <c r="AF141" s="291"/>
      <c r="AG141" s="291"/>
      <c r="AH141" s="291"/>
      <c r="AI141" s="291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  <c r="BE141" s="291"/>
      <c r="BF141" s="291"/>
      <c r="BG141" s="291"/>
      <c r="BH141" s="291"/>
      <c r="BI141" s="291"/>
      <c r="BJ141" s="291"/>
      <c r="BK141" s="291"/>
      <c r="BL141" s="291"/>
      <c r="BM141" s="291"/>
      <c r="BN141" s="291"/>
      <c r="BO141" s="291"/>
      <c r="BP141" s="291"/>
      <c r="BQ141" s="291"/>
      <c r="BR141" s="291"/>
      <c r="BS141" s="291"/>
      <c r="BT141" s="291"/>
      <c r="BU141" s="291"/>
      <c r="BV141" s="291"/>
      <c r="BW141" s="291"/>
      <c r="BX141" s="291"/>
      <c r="BY141" s="291"/>
      <c r="BZ141" s="291"/>
      <c r="CA141" s="291"/>
      <c r="CB141" s="291"/>
      <c r="CC141" s="291"/>
      <c r="CD141" s="291"/>
      <c r="CE141" s="291"/>
      <c r="CF141" s="291"/>
      <c r="CG141" s="291"/>
      <c r="CH141" s="291"/>
      <c r="CI141" s="291"/>
      <c r="CJ141" s="291"/>
      <c r="CK141" s="291"/>
      <c r="CL141" s="291"/>
      <c r="CM141" s="291"/>
      <c r="CN141" s="291"/>
      <c r="CO141" s="291"/>
      <c r="CP141" s="291"/>
      <c r="CQ141" s="291"/>
      <c r="CR141" s="291"/>
      <c r="CS141" s="291"/>
      <c r="CT141" s="291"/>
      <c r="CU141" s="291"/>
      <c r="CV141" s="291"/>
      <c r="CW141" s="291"/>
      <c r="CX141" s="291"/>
      <c r="CY141" s="291"/>
      <c r="CZ141" s="291"/>
      <c r="DA141" s="291"/>
      <c r="DB141" s="291"/>
      <c r="DC141" s="291"/>
      <c r="DD141" s="291"/>
      <c r="DE141" s="291"/>
      <c r="DF141" s="291"/>
      <c r="DG141" s="291"/>
      <c r="DH141" s="291"/>
      <c r="DI141" s="291"/>
      <c r="DJ141" s="291"/>
      <c r="DK141" s="291"/>
      <c r="DL141" s="291"/>
      <c r="DM141" s="291"/>
      <c r="DN141" s="291"/>
      <c r="DO141" s="291"/>
      <c r="DP141" s="291"/>
      <c r="DQ141" s="291"/>
      <c r="DR141" s="291"/>
      <c r="DS141" s="291"/>
      <c r="DT141" s="291"/>
      <c r="DU141" s="291"/>
      <c r="DV141" s="291"/>
      <c r="DW141" s="291"/>
      <c r="DX141" s="291"/>
      <c r="DY141" s="291"/>
      <c r="DZ141" s="291"/>
      <c r="EA141" s="291"/>
      <c r="EB141" s="291"/>
      <c r="EC141" s="291"/>
      <c r="ED141" s="291"/>
      <c r="EE141" s="291"/>
      <c r="EF141" s="291"/>
      <c r="EG141" s="291"/>
      <c r="EH141" s="291"/>
      <c r="EI141" s="291"/>
      <c r="EJ141" s="291"/>
      <c r="EK141" s="291"/>
      <c r="EL141" s="291"/>
      <c r="EM141" s="291"/>
      <c r="EN141" s="291"/>
      <c r="EO141" s="291"/>
      <c r="EP141" s="291"/>
      <c r="EQ141" s="291"/>
      <c r="ER141" s="291"/>
      <c r="ES141" s="291"/>
      <c r="ET141" s="291"/>
      <c r="EU141" s="291"/>
      <c r="EV141" s="291"/>
      <c r="EW141" s="291"/>
      <c r="EX141" s="291"/>
      <c r="EY141" s="291"/>
      <c r="EZ141" s="291"/>
      <c r="FA141" s="291"/>
      <c r="FB141" s="291"/>
      <c r="FC141" s="291"/>
      <c r="FD141" s="291"/>
      <c r="FE141" s="291"/>
      <c r="FF141" s="291"/>
      <c r="FG141" s="291"/>
      <c r="FH141" s="291"/>
      <c r="FI141" s="291"/>
      <c r="FJ141" s="291"/>
      <c r="FK141" s="291"/>
      <c r="FL141" s="291"/>
      <c r="FM141" s="291"/>
      <c r="FN141" s="291"/>
      <c r="FO141" s="291"/>
      <c r="FP141" s="291"/>
      <c r="FQ141" s="291"/>
      <c r="FR141" s="291"/>
      <c r="FS141" s="291"/>
      <c r="FT141" s="291"/>
      <c r="FU141" s="291"/>
      <c r="FV141" s="291"/>
      <c r="FW141" s="291"/>
      <c r="FX141" s="291"/>
      <c r="FY141" s="291"/>
      <c r="FZ141" s="291"/>
      <c r="GA141" s="291"/>
      <c r="GB141" s="291"/>
      <c r="GC141" s="291"/>
      <c r="GD141" s="291"/>
      <c r="GE141" s="291"/>
      <c r="GF141" s="291"/>
      <c r="GG141" s="291"/>
      <c r="GH141" s="291"/>
      <c r="GI141" s="291"/>
      <c r="GJ141" s="291"/>
      <c r="GK141" s="291"/>
      <c r="GL141" s="291"/>
      <c r="GM141" s="291"/>
      <c r="GN141" s="291"/>
      <c r="GO141" s="291"/>
      <c r="GP141" s="291"/>
      <c r="GQ141" s="291"/>
      <c r="GR141" s="291"/>
      <c r="GS141" s="291"/>
      <c r="GT141" s="291"/>
      <c r="GU141" s="291"/>
      <c r="GV141" s="291"/>
      <c r="GW141" s="291"/>
      <c r="GX141" s="291"/>
      <c r="GY141" s="291"/>
      <c r="GZ141" s="291"/>
      <c r="HA141" s="291"/>
      <c r="HB141" s="291"/>
      <c r="HC141" s="291"/>
      <c r="HD141" s="291"/>
      <c r="HE141" s="291"/>
      <c r="HF141" s="291"/>
      <c r="HG141" s="291"/>
      <c r="HH141" s="291"/>
      <c r="HI141" s="291"/>
      <c r="HJ141" s="291"/>
      <c r="HK141" s="291"/>
      <c r="HL141" s="291"/>
      <c r="HM141" s="291"/>
      <c r="HN141" s="291"/>
      <c r="HO141" s="291"/>
      <c r="HP141" s="291"/>
      <c r="HQ141" s="291"/>
      <c r="HR141" s="291"/>
      <c r="HS141" s="291"/>
      <c r="HT141" s="291"/>
      <c r="HU141" s="291"/>
      <c r="HV141" s="291"/>
      <c r="HW141" s="291"/>
      <c r="HX141" s="291"/>
      <c r="HY141" s="291"/>
      <c r="HZ141" s="291"/>
      <c r="IA141" s="291"/>
      <c r="IB141" s="291"/>
      <c r="IC141" s="291"/>
      <c r="ID141" s="291"/>
      <c r="IE141" s="291"/>
      <c r="IF141" s="291"/>
      <c r="IG141" s="291"/>
      <c r="IH141" s="291"/>
      <c r="II141" s="291"/>
      <c r="IJ141" s="291"/>
      <c r="IK141" s="291"/>
      <c r="IL141" s="291"/>
      <c r="IM141" s="291"/>
      <c r="IN141" s="291"/>
      <c r="IO141" s="291"/>
      <c r="IP141" s="291"/>
      <c r="IQ141" s="291"/>
      <c r="IR141" s="291"/>
      <c r="IS141" s="291"/>
      <c r="IT141" s="291"/>
      <c r="IU141" s="291"/>
      <c r="IV141" s="291"/>
      <c r="IW141" s="291"/>
    </row>
    <row r="142" customFormat="false" ht="12.75" hidden="false" customHeight="false" outlineLevel="1" collapsed="false">
      <c r="A142" s="291"/>
      <c r="B142" s="291"/>
      <c r="C142" s="291"/>
      <c r="D142" s="291"/>
      <c r="E142" s="316"/>
      <c r="F142" s="44"/>
      <c r="G142" s="44"/>
      <c r="H142" s="317"/>
      <c r="I142" s="318"/>
      <c r="J142" s="319"/>
      <c r="K142" s="319"/>
      <c r="L142" s="291"/>
      <c r="M142" s="291"/>
      <c r="N142" s="291"/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  <c r="BE142" s="291"/>
      <c r="BF142" s="291"/>
      <c r="BG142" s="291"/>
      <c r="BH142" s="291"/>
      <c r="BI142" s="291"/>
      <c r="BJ142" s="291"/>
      <c r="BK142" s="291"/>
      <c r="BL142" s="291"/>
      <c r="BM142" s="291"/>
      <c r="BN142" s="291"/>
      <c r="BO142" s="291"/>
      <c r="BP142" s="291"/>
      <c r="BQ142" s="291"/>
      <c r="BR142" s="291"/>
      <c r="BS142" s="291"/>
      <c r="BT142" s="291"/>
      <c r="BU142" s="291"/>
      <c r="BV142" s="291"/>
      <c r="BW142" s="291"/>
      <c r="BX142" s="291"/>
      <c r="BY142" s="291"/>
      <c r="BZ142" s="291"/>
      <c r="CA142" s="291"/>
      <c r="CB142" s="291"/>
      <c r="CC142" s="291"/>
      <c r="CD142" s="291"/>
      <c r="CE142" s="291"/>
      <c r="CF142" s="291"/>
      <c r="CG142" s="291"/>
      <c r="CH142" s="291"/>
      <c r="CI142" s="291"/>
      <c r="CJ142" s="291"/>
      <c r="CK142" s="291"/>
      <c r="CL142" s="291"/>
      <c r="CM142" s="291"/>
      <c r="CN142" s="291"/>
      <c r="CO142" s="291"/>
      <c r="CP142" s="291"/>
      <c r="CQ142" s="291"/>
      <c r="CR142" s="291"/>
      <c r="CS142" s="291"/>
      <c r="CT142" s="291"/>
      <c r="CU142" s="291"/>
      <c r="CV142" s="291"/>
      <c r="CW142" s="291"/>
      <c r="CX142" s="291"/>
      <c r="CY142" s="291"/>
      <c r="CZ142" s="291"/>
      <c r="DA142" s="291"/>
      <c r="DB142" s="291"/>
      <c r="DC142" s="291"/>
      <c r="DD142" s="291"/>
      <c r="DE142" s="291"/>
      <c r="DF142" s="291"/>
      <c r="DG142" s="291"/>
      <c r="DH142" s="291"/>
      <c r="DI142" s="291"/>
      <c r="DJ142" s="291"/>
      <c r="DK142" s="291"/>
      <c r="DL142" s="291"/>
      <c r="DM142" s="291"/>
      <c r="DN142" s="291"/>
      <c r="DO142" s="291"/>
      <c r="DP142" s="291"/>
      <c r="DQ142" s="291"/>
      <c r="DR142" s="291"/>
      <c r="DS142" s="291"/>
      <c r="DT142" s="291"/>
      <c r="DU142" s="291"/>
      <c r="DV142" s="291"/>
      <c r="DW142" s="291"/>
      <c r="DX142" s="291"/>
      <c r="DY142" s="291"/>
      <c r="DZ142" s="291"/>
      <c r="EA142" s="291"/>
      <c r="EB142" s="291"/>
      <c r="EC142" s="291"/>
      <c r="ED142" s="291"/>
      <c r="EE142" s="291"/>
      <c r="EF142" s="291"/>
      <c r="EG142" s="291"/>
      <c r="EH142" s="291"/>
      <c r="EI142" s="291"/>
      <c r="EJ142" s="291"/>
      <c r="EK142" s="291"/>
      <c r="EL142" s="291"/>
      <c r="EM142" s="291"/>
      <c r="EN142" s="291"/>
      <c r="EO142" s="291"/>
      <c r="EP142" s="291"/>
      <c r="EQ142" s="291"/>
      <c r="ER142" s="291"/>
      <c r="ES142" s="291"/>
      <c r="ET142" s="291"/>
      <c r="EU142" s="291"/>
      <c r="EV142" s="291"/>
      <c r="EW142" s="291"/>
      <c r="EX142" s="291"/>
      <c r="EY142" s="291"/>
      <c r="EZ142" s="291"/>
      <c r="FA142" s="291"/>
      <c r="FB142" s="291"/>
      <c r="FC142" s="291"/>
      <c r="FD142" s="291"/>
      <c r="FE142" s="291"/>
      <c r="FF142" s="291"/>
      <c r="FG142" s="291"/>
      <c r="FH142" s="291"/>
      <c r="FI142" s="291"/>
      <c r="FJ142" s="291"/>
      <c r="FK142" s="291"/>
      <c r="FL142" s="291"/>
      <c r="FM142" s="291"/>
      <c r="FN142" s="291"/>
      <c r="FO142" s="291"/>
      <c r="FP142" s="291"/>
      <c r="FQ142" s="291"/>
      <c r="FR142" s="291"/>
      <c r="FS142" s="291"/>
      <c r="FT142" s="291"/>
      <c r="FU142" s="291"/>
      <c r="FV142" s="291"/>
      <c r="FW142" s="291"/>
      <c r="FX142" s="291"/>
      <c r="FY142" s="291"/>
      <c r="FZ142" s="291"/>
      <c r="GA142" s="291"/>
      <c r="GB142" s="291"/>
      <c r="GC142" s="291"/>
      <c r="GD142" s="291"/>
      <c r="GE142" s="291"/>
      <c r="GF142" s="291"/>
      <c r="GG142" s="291"/>
      <c r="GH142" s="291"/>
      <c r="GI142" s="291"/>
      <c r="GJ142" s="291"/>
      <c r="GK142" s="291"/>
      <c r="GL142" s="291"/>
      <c r="GM142" s="291"/>
      <c r="GN142" s="291"/>
      <c r="GO142" s="291"/>
      <c r="GP142" s="291"/>
      <c r="GQ142" s="291"/>
      <c r="GR142" s="291"/>
      <c r="GS142" s="291"/>
      <c r="GT142" s="291"/>
      <c r="GU142" s="291"/>
      <c r="GV142" s="291"/>
      <c r="GW142" s="291"/>
      <c r="GX142" s="291"/>
      <c r="GY142" s="291"/>
      <c r="GZ142" s="291"/>
      <c r="HA142" s="291"/>
      <c r="HB142" s="291"/>
      <c r="HC142" s="291"/>
      <c r="HD142" s="291"/>
      <c r="HE142" s="291"/>
      <c r="HF142" s="291"/>
      <c r="HG142" s="291"/>
      <c r="HH142" s="291"/>
      <c r="HI142" s="291"/>
      <c r="HJ142" s="291"/>
      <c r="HK142" s="291"/>
      <c r="HL142" s="291"/>
      <c r="HM142" s="291"/>
      <c r="HN142" s="291"/>
      <c r="HO142" s="291"/>
      <c r="HP142" s="291"/>
      <c r="HQ142" s="291"/>
      <c r="HR142" s="291"/>
      <c r="HS142" s="291"/>
      <c r="HT142" s="291"/>
      <c r="HU142" s="291"/>
      <c r="HV142" s="291"/>
      <c r="HW142" s="291"/>
      <c r="HX142" s="291"/>
      <c r="HY142" s="291"/>
      <c r="HZ142" s="291"/>
      <c r="IA142" s="291"/>
      <c r="IB142" s="291"/>
      <c r="IC142" s="291"/>
      <c r="ID142" s="291"/>
      <c r="IE142" s="291"/>
      <c r="IF142" s="291"/>
      <c r="IG142" s="291"/>
      <c r="IH142" s="291"/>
      <c r="II142" s="291"/>
      <c r="IJ142" s="291"/>
      <c r="IK142" s="291"/>
      <c r="IL142" s="291"/>
      <c r="IM142" s="291"/>
      <c r="IN142" s="291"/>
      <c r="IO142" s="291"/>
      <c r="IP142" s="291"/>
      <c r="IQ142" s="291"/>
      <c r="IR142" s="291"/>
      <c r="IS142" s="291"/>
      <c r="IT142" s="291"/>
      <c r="IU142" s="291"/>
      <c r="IV142" s="291"/>
      <c r="IW142" s="291"/>
    </row>
    <row r="143" customFormat="false" ht="12.75" hidden="false" customHeight="false" outlineLevel="1" collapsed="false">
      <c r="A143" s="291"/>
      <c r="B143" s="291"/>
      <c r="C143" s="291"/>
      <c r="D143" s="291"/>
      <c r="E143" s="316"/>
      <c r="F143" s="44"/>
      <c r="G143" s="320" t="s">
        <v>431</v>
      </c>
      <c r="H143" s="321" t="n">
        <f aca="false">SUBTOTAL(9,H138:H141)</f>
        <v>15250</v>
      </c>
      <c r="I143" s="322"/>
      <c r="J143" s="321" t="n">
        <f aca="false">SUBTOTAL(9,J138:J141)</f>
        <v>15250</v>
      </c>
      <c r="K143" s="321" t="n">
        <f aca="false">SUBTOTAL(9,K138:K141)</f>
        <v>0</v>
      </c>
      <c r="L143" s="291"/>
      <c r="M143" s="291"/>
      <c r="N143" s="291"/>
      <c r="O143" s="291"/>
      <c r="P143" s="291"/>
      <c r="Q143" s="291"/>
      <c r="R143" s="291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91"/>
      <c r="AE143" s="291"/>
      <c r="AF143" s="291"/>
      <c r="AG143" s="291"/>
      <c r="AH143" s="291"/>
      <c r="AI143" s="291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  <c r="BE143" s="291"/>
      <c r="BF143" s="291"/>
      <c r="BG143" s="291"/>
      <c r="BH143" s="291"/>
      <c r="BI143" s="291"/>
      <c r="BJ143" s="291"/>
      <c r="BK143" s="291"/>
      <c r="BL143" s="291"/>
      <c r="BM143" s="291"/>
      <c r="BN143" s="291"/>
      <c r="BO143" s="291"/>
      <c r="BP143" s="291"/>
      <c r="BQ143" s="291"/>
      <c r="BR143" s="291"/>
      <c r="BS143" s="291"/>
      <c r="BT143" s="291"/>
      <c r="BU143" s="291"/>
      <c r="BV143" s="291"/>
      <c r="BW143" s="291"/>
      <c r="BX143" s="291"/>
      <c r="BY143" s="291"/>
      <c r="BZ143" s="291"/>
      <c r="CA143" s="291"/>
      <c r="CB143" s="291"/>
      <c r="CC143" s="291"/>
      <c r="CD143" s="291"/>
      <c r="CE143" s="291"/>
      <c r="CF143" s="291"/>
      <c r="CG143" s="291"/>
      <c r="CH143" s="291"/>
      <c r="CI143" s="291"/>
      <c r="CJ143" s="291"/>
      <c r="CK143" s="291"/>
      <c r="CL143" s="291"/>
      <c r="CM143" s="291"/>
      <c r="CN143" s="291"/>
      <c r="CO143" s="291"/>
      <c r="CP143" s="291"/>
      <c r="CQ143" s="291"/>
      <c r="CR143" s="291"/>
      <c r="CS143" s="291"/>
      <c r="CT143" s="291"/>
      <c r="CU143" s="291"/>
      <c r="CV143" s="291"/>
      <c r="CW143" s="291"/>
      <c r="CX143" s="291"/>
      <c r="CY143" s="291"/>
      <c r="CZ143" s="291"/>
      <c r="DA143" s="291"/>
      <c r="DB143" s="291"/>
      <c r="DC143" s="291"/>
      <c r="DD143" s="291"/>
      <c r="DE143" s="291"/>
      <c r="DF143" s="291"/>
      <c r="DG143" s="291"/>
      <c r="DH143" s="291"/>
      <c r="DI143" s="291"/>
      <c r="DJ143" s="291"/>
      <c r="DK143" s="291"/>
      <c r="DL143" s="291"/>
      <c r="DM143" s="291"/>
      <c r="DN143" s="291"/>
      <c r="DO143" s="291"/>
      <c r="DP143" s="291"/>
      <c r="DQ143" s="291"/>
      <c r="DR143" s="291"/>
      <c r="DS143" s="291"/>
      <c r="DT143" s="291"/>
      <c r="DU143" s="291"/>
      <c r="DV143" s="291"/>
      <c r="DW143" s="291"/>
      <c r="DX143" s="291"/>
      <c r="DY143" s="291"/>
      <c r="DZ143" s="291"/>
      <c r="EA143" s="291"/>
      <c r="EB143" s="291"/>
      <c r="EC143" s="291"/>
      <c r="ED143" s="291"/>
      <c r="EE143" s="291"/>
      <c r="EF143" s="291"/>
      <c r="EG143" s="291"/>
      <c r="EH143" s="291"/>
      <c r="EI143" s="291"/>
      <c r="EJ143" s="291"/>
      <c r="EK143" s="291"/>
      <c r="EL143" s="291"/>
      <c r="EM143" s="291"/>
      <c r="EN143" s="291"/>
      <c r="EO143" s="291"/>
      <c r="EP143" s="291"/>
      <c r="EQ143" s="291"/>
      <c r="ER143" s="291"/>
      <c r="ES143" s="291"/>
      <c r="ET143" s="291"/>
      <c r="EU143" s="291"/>
      <c r="EV143" s="291"/>
      <c r="EW143" s="291"/>
      <c r="EX143" s="291"/>
      <c r="EY143" s="291"/>
      <c r="EZ143" s="291"/>
      <c r="FA143" s="291"/>
      <c r="FB143" s="291"/>
      <c r="FC143" s="291"/>
      <c r="FD143" s="291"/>
      <c r="FE143" s="291"/>
      <c r="FF143" s="291"/>
      <c r="FG143" s="291"/>
      <c r="FH143" s="291"/>
      <c r="FI143" s="291"/>
      <c r="FJ143" s="291"/>
      <c r="FK143" s="291"/>
      <c r="FL143" s="291"/>
      <c r="FM143" s="291"/>
      <c r="FN143" s="291"/>
      <c r="FO143" s="291"/>
      <c r="FP143" s="291"/>
      <c r="FQ143" s="291"/>
      <c r="FR143" s="291"/>
      <c r="FS143" s="291"/>
      <c r="FT143" s="291"/>
      <c r="FU143" s="291"/>
      <c r="FV143" s="291"/>
      <c r="FW143" s="291"/>
      <c r="FX143" s="291"/>
      <c r="FY143" s="291"/>
      <c r="FZ143" s="291"/>
      <c r="GA143" s="291"/>
      <c r="GB143" s="291"/>
      <c r="GC143" s="291"/>
      <c r="GD143" s="291"/>
      <c r="GE143" s="291"/>
      <c r="GF143" s="291"/>
      <c r="GG143" s="291"/>
      <c r="GH143" s="291"/>
      <c r="GI143" s="291"/>
      <c r="GJ143" s="291"/>
      <c r="GK143" s="291"/>
      <c r="GL143" s="291"/>
      <c r="GM143" s="291"/>
      <c r="GN143" s="291"/>
      <c r="GO143" s="291"/>
      <c r="GP143" s="291"/>
      <c r="GQ143" s="291"/>
      <c r="GR143" s="291"/>
      <c r="GS143" s="291"/>
      <c r="GT143" s="291"/>
      <c r="GU143" s="291"/>
      <c r="GV143" s="291"/>
      <c r="GW143" s="291"/>
      <c r="GX143" s="291"/>
      <c r="GY143" s="291"/>
      <c r="GZ143" s="291"/>
      <c r="HA143" s="291"/>
      <c r="HB143" s="291"/>
      <c r="HC143" s="291"/>
      <c r="HD143" s="291"/>
      <c r="HE143" s="291"/>
      <c r="HF143" s="291"/>
      <c r="HG143" s="291"/>
      <c r="HH143" s="291"/>
      <c r="HI143" s="291"/>
      <c r="HJ143" s="291"/>
      <c r="HK143" s="291"/>
      <c r="HL143" s="291"/>
      <c r="HM143" s="291"/>
      <c r="HN143" s="291"/>
      <c r="HO143" s="291"/>
      <c r="HP143" s="291"/>
      <c r="HQ143" s="291"/>
      <c r="HR143" s="291"/>
      <c r="HS143" s="291"/>
      <c r="HT143" s="291"/>
      <c r="HU143" s="291"/>
      <c r="HV143" s="291"/>
      <c r="HW143" s="291"/>
      <c r="HX143" s="291"/>
      <c r="HY143" s="291"/>
      <c r="HZ143" s="291"/>
      <c r="IA143" s="291"/>
      <c r="IB143" s="291"/>
      <c r="IC143" s="291"/>
      <c r="ID143" s="291"/>
      <c r="IE143" s="291"/>
      <c r="IF143" s="291"/>
      <c r="IG143" s="291"/>
      <c r="IH143" s="291"/>
      <c r="II143" s="291"/>
      <c r="IJ143" s="291"/>
      <c r="IK143" s="291"/>
      <c r="IL143" s="291"/>
      <c r="IM143" s="291"/>
      <c r="IN143" s="291"/>
      <c r="IO143" s="291"/>
      <c r="IP143" s="291"/>
      <c r="IQ143" s="291"/>
      <c r="IR143" s="291"/>
      <c r="IS143" s="291"/>
      <c r="IT143" s="291"/>
      <c r="IU143" s="291"/>
      <c r="IV143" s="291"/>
      <c r="IW143" s="291"/>
    </row>
    <row r="144" customFormat="false" ht="12.75" hidden="false" customHeight="false" outlineLevel="1" collapsed="false">
      <c r="A144" s="2" t="s">
        <v>573</v>
      </c>
      <c r="B144" s="2" t="s">
        <v>413</v>
      </c>
      <c r="C144" s="2" t="s">
        <v>574</v>
      </c>
      <c r="D144" s="2" t="s">
        <v>575</v>
      </c>
      <c r="E144" s="310" t="s">
        <v>575</v>
      </c>
      <c r="F144" s="311"/>
      <c r="G144" s="312"/>
      <c r="H144" s="313"/>
      <c r="I144" s="289"/>
      <c r="J144" s="288"/>
      <c r="K144" s="288"/>
      <c r="L144" s="291"/>
      <c r="M144" s="291"/>
      <c r="N144" s="291"/>
      <c r="O144" s="291"/>
      <c r="P144" s="291"/>
      <c r="Q144" s="291"/>
      <c r="R144" s="291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1"/>
      <c r="AL144" s="291"/>
      <c r="AM144" s="291"/>
      <c r="AN144" s="291"/>
      <c r="AO144" s="291"/>
      <c r="AP144" s="291"/>
      <c r="AQ144" s="291"/>
      <c r="AR144" s="291"/>
      <c r="AS144" s="291"/>
      <c r="AT144" s="291"/>
      <c r="AU144" s="291"/>
      <c r="AV144" s="291"/>
      <c r="AW144" s="291"/>
      <c r="AX144" s="291"/>
      <c r="AY144" s="291"/>
      <c r="AZ144" s="291"/>
      <c r="BA144" s="291"/>
      <c r="BB144" s="291"/>
      <c r="BC144" s="291"/>
      <c r="BD144" s="291"/>
      <c r="BE144" s="291"/>
      <c r="BF144" s="291"/>
      <c r="BG144" s="291"/>
      <c r="BH144" s="291"/>
      <c r="BI144" s="291"/>
      <c r="BJ144" s="291"/>
      <c r="BK144" s="291"/>
      <c r="BL144" s="291"/>
      <c r="BM144" s="291"/>
      <c r="BN144" s="291"/>
      <c r="BO144" s="291"/>
      <c r="BP144" s="291"/>
      <c r="BQ144" s="291"/>
      <c r="BR144" s="291"/>
      <c r="BS144" s="291"/>
      <c r="BT144" s="291"/>
      <c r="BU144" s="291"/>
      <c r="BV144" s="291"/>
      <c r="BW144" s="291"/>
      <c r="BX144" s="291"/>
      <c r="BY144" s="291"/>
      <c r="BZ144" s="291"/>
      <c r="CA144" s="291"/>
      <c r="CB144" s="291"/>
      <c r="CC144" s="291"/>
      <c r="CD144" s="291"/>
      <c r="CE144" s="291"/>
      <c r="CF144" s="291"/>
      <c r="CG144" s="291"/>
      <c r="CH144" s="291"/>
      <c r="CI144" s="291"/>
      <c r="CJ144" s="291"/>
      <c r="CK144" s="291"/>
      <c r="CL144" s="291"/>
      <c r="CM144" s="291"/>
      <c r="CN144" s="291"/>
      <c r="CO144" s="291"/>
      <c r="CP144" s="291"/>
      <c r="CQ144" s="291"/>
      <c r="CR144" s="291"/>
      <c r="CS144" s="291"/>
      <c r="CT144" s="291"/>
      <c r="CU144" s="291"/>
      <c r="CV144" s="291"/>
      <c r="CW144" s="291"/>
      <c r="CX144" s="291"/>
      <c r="CY144" s="291"/>
      <c r="CZ144" s="291"/>
      <c r="DA144" s="291"/>
      <c r="DB144" s="291"/>
      <c r="DC144" s="291"/>
      <c r="DD144" s="291"/>
      <c r="DE144" s="291"/>
      <c r="DF144" s="291"/>
      <c r="DG144" s="291"/>
      <c r="DH144" s="291"/>
      <c r="DI144" s="291"/>
      <c r="DJ144" s="291"/>
      <c r="DK144" s="291"/>
      <c r="DL144" s="291"/>
      <c r="DM144" s="291"/>
      <c r="DN144" s="291"/>
      <c r="DO144" s="291"/>
      <c r="DP144" s="291"/>
      <c r="DQ144" s="291"/>
      <c r="DR144" s="291"/>
      <c r="DS144" s="291"/>
      <c r="DT144" s="291"/>
      <c r="DU144" s="291"/>
      <c r="DV144" s="291"/>
      <c r="DW144" s="291"/>
      <c r="DX144" s="291"/>
      <c r="DY144" s="291"/>
      <c r="DZ144" s="291"/>
      <c r="EA144" s="291"/>
      <c r="EB144" s="291"/>
      <c r="EC144" s="291"/>
      <c r="ED144" s="291"/>
      <c r="EE144" s="291"/>
      <c r="EF144" s="291"/>
      <c r="EG144" s="291"/>
      <c r="EH144" s="291"/>
      <c r="EI144" s="291"/>
      <c r="EJ144" s="291"/>
      <c r="EK144" s="291"/>
      <c r="EL144" s="291"/>
      <c r="EM144" s="291"/>
      <c r="EN144" s="291"/>
      <c r="EO144" s="291"/>
      <c r="EP144" s="291"/>
      <c r="EQ144" s="291"/>
      <c r="ER144" s="291"/>
      <c r="ES144" s="291"/>
      <c r="ET144" s="291"/>
      <c r="EU144" s="291"/>
      <c r="EV144" s="291"/>
      <c r="EW144" s="291"/>
      <c r="EX144" s="291"/>
      <c r="EY144" s="291"/>
      <c r="EZ144" s="291"/>
      <c r="FA144" s="291"/>
      <c r="FB144" s="291"/>
      <c r="FC144" s="291"/>
      <c r="FD144" s="291"/>
      <c r="FE144" s="291"/>
      <c r="FF144" s="291"/>
      <c r="FG144" s="291"/>
      <c r="FH144" s="291"/>
      <c r="FI144" s="291"/>
      <c r="FJ144" s="291"/>
      <c r="FK144" s="291"/>
      <c r="FL144" s="291"/>
      <c r="FM144" s="291"/>
      <c r="FN144" s="291"/>
      <c r="FO144" s="291"/>
      <c r="FP144" s="291"/>
      <c r="FQ144" s="291"/>
      <c r="FR144" s="291"/>
      <c r="FS144" s="291"/>
      <c r="FT144" s="291"/>
      <c r="FU144" s="291"/>
      <c r="FV144" s="291"/>
      <c r="FW144" s="291"/>
      <c r="FX144" s="291"/>
      <c r="FY144" s="291"/>
      <c r="FZ144" s="291"/>
      <c r="GA144" s="291"/>
      <c r="GB144" s="291"/>
      <c r="GC144" s="291"/>
      <c r="GD144" s="291"/>
      <c r="GE144" s="291"/>
      <c r="GF144" s="291"/>
      <c r="GG144" s="291"/>
      <c r="GH144" s="291"/>
      <c r="GI144" s="291"/>
      <c r="GJ144" s="291"/>
      <c r="GK144" s="291"/>
      <c r="GL144" s="291"/>
      <c r="GM144" s="291"/>
      <c r="GN144" s="291"/>
      <c r="GO144" s="291"/>
      <c r="GP144" s="291"/>
      <c r="GQ144" s="291"/>
      <c r="GR144" s="291"/>
      <c r="GS144" s="291"/>
      <c r="GT144" s="291"/>
      <c r="GU144" s="291"/>
      <c r="GV144" s="291"/>
      <c r="GW144" s="291"/>
      <c r="GX144" s="291"/>
      <c r="GY144" s="291"/>
      <c r="GZ144" s="291"/>
      <c r="HA144" s="291"/>
      <c r="HB144" s="291"/>
      <c r="HC144" s="291"/>
      <c r="HD144" s="291"/>
      <c r="HE144" s="291"/>
      <c r="HF144" s="291"/>
      <c r="HG144" s="291"/>
      <c r="HH144" s="291"/>
      <c r="HI144" s="291"/>
      <c r="HJ144" s="291"/>
      <c r="HK144" s="291"/>
      <c r="HL144" s="291"/>
      <c r="HM144" s="291"/>
      <c r="HN144" s="291"/>
      <c r="HO144" s="291"/>
      <c r="HP144" s="291"/>
      <c r="HQ144" s="291"/>
      <c r="HR144" s="291"/>
      <c r="HS144" s="291"/>
      <c r="HT144" s="291"/>
      <c r="HU144" s="291"/>
      <c r="HV144" s="291"/>
      <c r="HW144" s="291"/>
      <c r="HX144" s="291"/>
      <c r="HY144" s="291"/>
      <c r="HZ144" s="291"/>
      <c r="IA144" s="291"/>
      <c r="IB144" s="291"/>
      <c r="IC144" s="291"/>
      <c r="ID144" s="291"/>
      <c r="IE144" s="291"/>
      <c r="IF144" s="291"/>
      <c r="IG144" s="291"/>
      <c r="IH144" s="291"/>
      <c r="II144" s="291"/>
      <c r="IJ144" s="291"/>
      <c r="IK144" s="291"/>
      <c r="IL144" s="291"/>
      <c r="IM144" s="291"/>
      <c r="IN144" s="291"/>
      <c r="IO144" s="291"/>
      <c r="IP144" s="291"/>
      <c r="IQ144" s="291"/>
      <c r="IR144" s="291"/>
      <c r="IS144" s="291"/>
      <c r="IT144" s="291"/>
      <c r="IU144" s="291"/>
      <c r="IV144" s="291"/>
      <c r="IW144" s="291"/>
    </row>
    <row r="145" customFormat="false" ht="12.75" hidden="false" customHeight="false" outlineLevel="2" collapsed="false">
      <c r="A145" s="2" t="str">
        <f aca="false">B145&amp;C145&amp;D145</f>
        <v>O&amp;M Mobilization BudgetProcurement ExpensesOffice Furnishings, Equipment, Supplies</v>
      </c>
      <c r="B145" s="2" t="s">
        <v>413</v>
      </c>
      <c r="C145" s="2" t="s">
        <v>574</v>
      </c>
      <c r="D145" s="2" t="s">
        <v>575</v>
      </c>
      <c r="E145" s="292" t="s">
        <v>576</v>
      </c>
      <c r="F145" s="78" t="s">
        <v>577</v>
      </c>
      <c r="G145" s="78"/>
      <c r="H145" s="293" t="n">
        <v>3200</v>
      </c>
      <c r="I145" s="314" t="n">
        <v>1</v>
      </c>
      <c r="J145" s="295" t="n">
        <f aca="false">I145*H145</f>
        <v>3200</v>
      </c>
      <c r="K145" s="295" t="n">
        <f aca="false">H145-J145</f>
        <v>0</v>
      </c>
      <c r="M145" s="2"/>
      <c r="N145" s="2"/>
    </row>
    <row r="146" customFormat="false" ht="12.75" hidden="false" customHeight="false" outlineLevel="2" collapsed="false">
      <c r="A146" s="2" t="str">
        <f aca="false">B146&amp;C146&amp;D146</f>
        <v>O&amp;M Mobilization BudgetProcurement ExpensesOffice Furnishings, Equipment, Supplies</v>
      </c>
      <c r="B146" s="2" t="s">
        <v>413</v>
      </c>
      <c r="C146" s="2" t="s">
        <v>574</v>
      </c>
      <c r="D146" s="2" t="s">
        <v>575</v>
      </c>
      <c r="E146" s="292" t="s">
        <v>578</v>
      </c>
      <c r="F146" s="78" t="s">
        <v>579</v>
      </c>
      <c r="G146" s="78"/>
      <c r="H146" s="293" t="n">
        <v>1500</v>
      </c>
      <c r="I146" s="314" t="n">
        <v>1</v>
      </c>
      <c r="J146" s="295" t="n">
        <f aca="false">I146*H146</f>
        <v>1500</v>
      </c>
      <c r="K146" s="295" t="n">
        <f aca="false">H146-J146</f>
        <v>0</v>
      </c>
      <c r="M146" s="2"/>
      <c r="N146" s="2"/>
    </row>
    <row r="147" customFormat="false" ht="12.75" hidden="false" customHeight="false" outlineLevel="2" collapsed="false">
      <c r="A147" s="2" t="str">
        <f aca="false">B147&amp;C147&amp;D147</f>
        <v>O&amp;M Mobilization BudgetProcurement ExpensesOffice Furnishings, Equipment, Supplies</v>
      </c>
      <c r="B147" s="2" t="s">
        <v>413</v>
      </c>
      <c r="C147" s="2" t="s">
        <v>574</v>
      </c>
      <c r="D147" s="2" t="s">
        <v>575</v>
      </c>
      <c r="E147" s="292" t="s">
        <v>580</v>
      </c>
      <c r="F147" s="78" t="s">
        <v>581</v>
      </c>
      <c r="G147" s="78"/>
      <c r="H147" s="293" t="n">
        <v>750</v>
      </c>
      <c r="I147" s="314" t="n">
        <v>1</v>
      </c>
      <c r="J147" s="295" t="n">
        <f aca="false">I147*H147</f>
        <v>750</v>
      </c>
      <c r="K147" s="295" t="n">
        <f aca="false">H147-J147</f>
        <v>0</v>
      </c>
      <c r="M147" s="2"/>
      <c r="N147" s="2"/>
    </row>
    <row r="148" customFormat="false" ht="12.75" hidden="false" customHeight="false" outlineLevel="2" collapsed="false">
      <c r="A148" s="2" t="str">
        <f aca="false">B148&amp;C148&amp;D148</f>
        <v>O&amp;M Mobilization BudgetProcurement ExpensesOffice Furnishings, Equipment, Supplies</v>
      </c>
      <c r="B148" s="2" t="s">
        <v>413</v>
      </c>
      <c r="C148" s="2" t="s">
        <v>574</v>
      </c>
      <c r="D148" s="2" t="s">
        <v>575</v>
      </c>
      <c r="E148" s="292" t="s">
        <v>582</v>
      </c>
      <c r="F148" s="78" t="s">
        <v>583</v>
      </c>
      <c r="G148" s="78"/>
      <c r="H148" s="293" t="n">
        <f aca="false">4*200</f>
        <v>800</v>
      </c>
      <c r="I148" s="314" t="n">
        <v>1</v>
      </c>
      <c r="J148" s="295" t="n">
        <f aca="false">I148*H148</f>
        <v>800</v>
      </c>
      <c r="K148" s="295" t="n">
        <f aca="false">H148-J148</f>
        <v>0</v>
      </c>
      <c r="M148" s="2"/>
      <c r="N148" s="2"/>
    </row>
    <row r="149" customFormat="false" ht="12.75" hidden="false" customHeight="false" outlineLevel="2" collapsed="false">
      <c r="A149" s="2" t="str">
        <f aca="false">B149&amp;C149&amp;D149</f>
        <v>O&amp;M Mobilization BudgetProcurement ExpensesOffice Furnishings, Equipment, Supplies</v>
      </c>
      <c r="B149" s="2" t="s">
        <v>413</v>
      </c>
      <c r="C149" s="2" t="s">
        <v>574</v>
      </c>
      <c r="D149" s="2" t="s">
        <v>575</v>
      </c>
      <c r="E149" s="292" t="s">
        <v>584</v>
      </c>
      <c r="F149" s="78" t="s">
        <v>585</v>
      </c>
      <c r="G149" s="78"/>
      <c r="H149" s="293" t="n">
        <v>500</v>
      </c>
      <c r="I149" s="314" t="n">
        <v>1</v>
      </c>
      <c r="J149" s="295" t="n">
        <f aca="false">I149*H149</f>
        <v>500</v>
      </c>
      <c r="K149" s="295" t="n">
        <f aca="false">H149-J149</f>
        <v>0</v>
      </c>
      <c r="M149" s="2"/>
      <c r="N149" s="2"/>
    </row>
    <row r="150" customFormat="false" ht="12.75" hidden="false" customHeight="false" outlineLevel="2" collapsed="false">
      <c r="A150" s="2" t="str">
        <f aca="false">B150&amp;C150&amp;D150</f>
        <v>O&amp;M Mobilization BudgetProcurement ExpensesOffice Furnishings, Equipment, Supplies</v>
      </c>
      <c r="B150" s="2" t="s">
        <v>413</v>
      </c>
      <c r="C150" s="2" t="s">
        <v>574</v>
      </c>
      <c r="D150" s="2" t="s">
        <v>575</v>
      </c>
      <c r="E150" s="292" t="s">
        <v>586</v>
      </c>
      <c r="F150" s="78" t="s">
        <v>587</v>
      </c>
      <c r="G150" s="78"/>
      <c r="H150" s="293" t="n">
        <f aca="false">1*150+1500</f>
        <v>1650</v>
      </c>
      <c r="I150" s="314" t="n">
        <v>1</v>
      </c>
      <c r="J150" s="295" t="n">
        <f aca="false">I150*H150</f>
        <v>1650</v>
      </c>
      <c r="K150" s="295" t="n">
        <f aca="false">H150-J150</f>
        <v>0</v>
      </c>
      <c r="M150" s="2"/>
      <c r="N150" s="2"/>
    </row>
    <row r="151" customFormat="false" ht="12.75" hidden="false" customHeight="false" outlineLevel="2" collapsed="false">
      <c r="A151" s="2" t="str">
        <f aca="false">B151&amp;C151&amp;D151</f>
        <v>O&amp;M Mobilization BudgetProcurement ExpensesOffice Furnishings, Equipment, Supplies</v>
      </c>
      <c r="B151" s="2" t="s">
        <v>413</v>
      </c>
      <c r="C151" s="2" t="s">
        <v>574</v>
      </c>
      <c r="D151" s="2" t="s">
        <v>575</v>
      </c>
      <c r="E151" s="292" t="s">
        <v>588</v>
      </c>
      <c r="F151" s="78" t="s">
        <v>589</v>
      </c>
      <c r="G151" s="78"/>
      <c r="H151" s="293" t="n">
        <f aca="false">1*150</f>
        <v>150</v>
      </c>
      <c r="I151" s="314" t="n">
        <v>1</v>
      </c>
      <c r="J151" s="295" t="n">
        <f aca="false">I151*H151</f>
        <v>150</v>
      </c>
      <c r="K151" s="295" t="n">
        <f aca="false">H151-J151</f>
        <v>0</v>
      </c>
      <c r="M151" s="2"/>
      <c r="N151" s="2"/>
    </row>
    <row r="152" customFormat="false" ht="12.75" hidden="false" customHeight="false" outlineLevel="2" collapsed="false">
      <c r="A152" s="2" t="str">
        <f aca="false">B152&amp;C152&amp;D152</f>
        <v>O&amp;M Mobilization BudgetProcurement ExpensesOffice Furnishings, Equipment, Supplies</v>
      </c>
      <c r="B152" s="2" t="s">
        <v>413</v>
      </c>
      <c r="C152" s="2" t="s">
        <v>574</v>
      </c>
      <c r="D152" s="2" t="s">
        <v>575</v>
      </c>
      <c r="E152" s="292" t="s">
        <v>590</v>
      </c>
      <c r="F152" s="78" t="s">
        <v>591</v>
      </c>
      <c r="G152" s="78"/>
      <c r="H152" s="293" t="n">
        <f aca="false">6*75</f>
        <v>450</v>
      </c>
      <c r="I152" s="314" t="n">
        <v>1</v>
      </c>
      <c r="J152" s="295" t="n">
        <f aca="false">I152*H152</f>
        <v>450</v>
      </c>
      <c r="K152" s="295" t="n">
        <f aca="false">H152-J152</f>
        <v>0</v>
      </c>
      <c r="M152" s="2"/>
      <c r="N152" s="2"/>
    </row>
    <row r="153" customFormat="false" ht="12.75" hidden="false" customHeight="false" outlineLevel="2" collapsed="false">
      <c r="A153" s="2" t="str">
        <f aca="false">B153&amp;C153&amp;D153</f>
        <v>O&amp;M Mobilization BudgetProcurement ExpensesOffice Furnishings, Equipment, Supplies</v>
      </c>
      <c r="B153" s="2" t="s">
        <v>413</v>
      </c>
      <c r="C153" s="2" t="s">
        <v>574</v>
      </c>
      <c r="D153" s="2" t="s">
        <v>575</v>
      </c>
      <c r="E153" s="292" t="s">
        <v>592</v>
      </c>
      <c r="F153" s="78" t="s">
        <v>593</v>
      </c>
      <c r="G153" s="78"/>
      <c r="H153" s="293" t="n">
        <f aca="false">1*300</f>
        <v>300</v>
      </c>
      <c r="I153" s="314" t="n">
        <v>1</v>
      </c>
      <c r="J153" s="295" t="n">
        <f aca="false">I153*H153</f>
        <v>300</v>
      </c>
      <c r="K153" s="295" t="n">
        <f aca="false">H153-J153</f>
        <v>0</v>
      </c>
      <c r="M153" s="2"/>
      <c r="N153" s="2"/>
    </row>
    <row r="154" customFormat="false" ht="12.75" hidden="false" customHeight="false" outlineLevel="2" collapsed="false">
      <c r="A154" s="2" t="str">
        <f aca="false">B154&amp;C154&amp;D154</f>
        <v>O&amp;M Mobilization BudgetProcurement ExpensesOffice Furnishings, Equipment, Supplies</v>
      </c>
      <c r="B154" s="2" t="s">
        <v>413</v>
      </c>
      <c r="C154" s="2" t="s">
        <v>574</v>
      </c>
      <c r="D154" s="2" t="s">
        <v>575</v>
      </c>
      <c r="E154" s="292" t="s">
        <v>594</v>
      </c>
      <c r="F154" s="78" t="s">
        <v>595</v>
      </c>
      <c r="G154" s="78"/>
      <c r="H154" s="293" t="n">
        <v>150</v>
      </c>
      <c r="I154" s="314" t="n">
        <v>1</v>
      </c>
      <c r="J154" s="295" t="n">
        <f aca="false">I154*H154</f>
        <v>150</v>
      </c>
      <c r="K154" s="295" t="n">
        <f aca="false">H154-J154</f>
        <v>0</v>
      </c>
      <c r="M154" s="2"/>
      <c r="N154" s="2"/>
    </row>
    <row r="155" customFormat="false" ht="12.75" hidden="false" customHeight="false" outlineLevel="2" collapsed="false">
      <c r="A155" s="2" t="str">
        <f aca="false">B155&amp;C155&amp;D155</f>
        <v>O&amp;M Mobilization BudgetProcurement ExpensesOffice Furnishings, Equipment, Supplies</v>
      </c>
      <c r="B155" s="2" t="s">
        <v>413</v>
      </c>
      <c r="C155" s="2" t="s">
        <v>574</v>
      </c>
      <c r="D155" s="2" t="s">
        <v>575</v>
      </c>
      <c r="E155" s="292" t="s">
        <v>596</v>
      </c>
      <c r="F155" s="78" t="s">
        <v>597</v>
      </c>
      <c r="G155" s="78"/>
      <c r="H155" s="293" t="n">
        <f aca="false">1*750</f>
        <v>750</v>
      </c>
      <c r="I155" s="314" t="n">
        <v>1</v>
      </c>
      <c r="J155" s="295" t="n">
        <f aca="false">I155*H155</f>
        <v>750</v>
      </c>
      <c r="K155" s="295" t="n">
        <f aca="false">H155-J155</f>
        <v>0</v>
      </c>
      <c r="M155" s="2"/>
      <c r="N155" s="2"/>
    </row>
    <row r="156" customFormat="false" ht="12.75" hidden="false" customHeight="false" outlineLevel="2" collapsed="false">
      <c r="A156" s="2" t="str">
        <f aca="false">B156&amp;C156&amp;D156</f>
        <v>O&amp;M Mobilization BudgetProcurement ExpensesOffice Furnishings, Equipment, Supplies</v>
      </c>
      <c r="B156" s="2" t="s">
        <v>413</v>
      </c>
      <c r="C156" s="2" t="s">
        <v>574</v>
      </c>
      <c r="D156" s="2" t="s">
        <v>575</v>
      </c>
      <c r="E156" s="292" t="s">
        <v>598</v>
      </c>
      <c r="F156" s="78"/>
      <c r="G156" s="78"/>
      <c r="H156" s="293" t="n">
        <v>500</v>
      </c>
      <c r="I156" s="314" t="n">
        <v>1</v>
      </c>
      <c r="J156" s="295" t="n">
        <f aca="false">I156*H156</f>
        <v>500</v>
      </c>
      <c r="K156" s="295" t="n">
        <f aca="false">H156-J156</f>
        <v>0</v>
      </c>
      <c r="M156" s="2"/>
      <c r="N156" s="2"/>
    </row>
    <row r="157" customFormat="false" ht="12.75" hidden="false" customHeight="false" outlineLevel="2" collapsed="false">
      <c r="A157" s="2" t="str">
        <f aca="false">B157&amp;C157&amp;D157</f>
        <v>O&amp;M Mobilization BudgetProcurement ExpensesOffice Furnishings, Equipment, Supplies</v>
      </c>
      <c r="B157" s="2" t="s">
        <v>413</v>
      </c>
      <c r="C157" s="2" t="s">
        <v>574</v>
      </c>
      <c r="D157" s="2" t="s">
        <v>575</v>
      </c>
      <c r="E157" s="292" t="s">
        <v>599</v>
      </c>
      <c r="F157" s="78" t="s">
        <v>600</v>
      </c>
      <c r="G157" s="78"/>
      <c r="H157" s="293" t="n">
        <v>1000</v>
      </c>
      <c r="I157" s="314" t="n">
        <v>1</v>
      </c>
      <c r="J157" s="295" t="n">
        <f aca="false">I157*H157</f>
        <v>1000</v>
      </c>
      <c r="K157" s="295" t="n">
        <f aca="false">H157-J157</f>
        <v>0</v>
      </c>
      <c r="M157" s="2"/>
      <c r="N157" s="2"/>
    </row>
    <row r="158" customFormat="false" ht="12.75" hidden="false" customHeight="false" outlineLevel="2" collapsed="false">
      <c r="A158" s="2" t="str">
        <f aca="false">B158&amp;C158&amp;D158</f>
        <v>O&amp;M Mobilization BudgetProcurement ExpensesOffice Furnishings, Equipment, Supplies</v>
      </c>
      <c r="B158" s="2" t="s">
        <v>413</v>
      </c>
      <c r="C158" s="2" t="s">
        <v>574</v>
      </c>
      <c r="D158" s="2" t="s">
        <v>575</v>
      </c>
      <c r="E158" s="292" t="s">
        <v>601</v>
      </c>
      <c r="F158" s="78" t="s">
        <v>602</v>
      </c>
      <c r="G158" s="78"/>
      <c r="H158" s="293" t="n">
        <v>15000</v>
      </c>
      <c r="I158" s="314" t="n">
        <v>1</v>
      </c>
      <c r="J158" s="295" t="n">
        <f aca="false">I158*H158</f>
        <v>15000</v>
      </c>
      <c r="K158" s="295" t="n">
        <f aca="false">H158-J158</f>
        <v>0</v>
      </c>
      <c r="M158" s="2"/>
      <c r="N158" s="2"/>
    </row>
    <row r="159" customFormat="false" ht="12.75" hidden="false" customHeight="false" outlineLevel="2" collapsed="false">
      <c r="A159" s="2" t="str">
        <f aca="false">B159&amp;C159&amp;D159</f>
        <v>O&amp;M Mobilization BudgetProcurement ExpensesOffice Furnishings, Equipment, Supplies</v>
      </c>
      <c r="B159" s="2" t="s">
        <v>413</v>
      </c>
      <c r="C159" s="2" t="s">
        <v>574</v>
      </c>
      <c r="D159" s="2" t="s">
        <v>575</v>
      </c>
      <c r="E159" s="292" t="s">
        <v>603</v>
      </c>
      <c r="F159" s="78" t="s">
        <v>604</v>
      </c>
      <c r="G159" s="78"/>
      <c r="H159" s="293" t="n">
        <v>2500</v>
      </c>
      <c r="I159" s="314" t="n">
        <v>1</v>
      </c>
      <c r="J159" s="295" t="n">
        <f aca="false">I159*H159</f>
        <v>2500</v>
      </c>
      <c r="K159" s="295" t="n">
        <f aca="false">H159-J159</f>
        <v>0</v>
      </c>
      <c r="M159" s="2"/>
      <c r="N159" s="2"/>
    </row>
    <row r="160" customFormat="false" ht="12.75" hidden="false" customHeight="false" outlineLevel="2" collapsed="false">
      <c r="E160" s="292" t="s">
        <v>605</v>
      </c>
      <c r="F160" s="78" t="s">
        <v>606</v>
      </c>
      <c r="G160" s="78"/>
      <c r="H160" s="293" t="n">
        <v>20000</v>
      </c>
      <c r="I160" s="314" t="n">
        <v>1</v>
      </c>
      <c r="J160" s="295" t="n">
        <f aca="false">I160*H160</f>
        <v>20000</v>
      </c>
      <c r="K160" s="295" t="n">
        <f aca="false">H160-J160</f>
        <v>0</v>
      </c>
      <c r="M160" s="2"/>
      <c r="N160" s="2"/>
    </row>
    <row r="161" customFormat="false" ht="12.75" hidden="false" customHeight="false" outlineLevel="2" collapsed="false">
      <c r="E161" s="292" t="s">
        <v>607</v>
      </c>
      <c r="F161" s="78" t="s">
        <v>608</v>
      </c>
      <c r="G161" s="78"/>
      <c r="H161" s="293" t="n">
        <f aca="false">1*2500</f>
        <v>2500</v>
      </c>
      <c r="I161" s="314" t="n">
        <v>1</v>
      </c>
      <c r="J161" s="295" t="n">
        <f aca="false">I161*H161</f>
        <v>2500</v>
      </c>
      <c r="K161" s="295" t="n">
        <f aca="false">H161-J161</f>
        <v>0</v>
      </c>
      <c r="M161" s="2"/>
      <c r="N161" s="2"/>
    </row>
    <row r="162" customFormat="false" ht="12.75" hidden="false" customHeight="false" outlineLevel="2" collapsed="false">
      <c r="E162" s="292" t="s">
        <v>609</v>
      </c>
      <c r="F162" s="78" t="s">
        <v>610</v>
      </c>
      <c r="G162" s="78"/>
      <c r="H162" s="293" t="n">
        <v>0</v>
      </c>
      <c r="I162" s="314" t="n">
        <v>1</v>
      </c>
      <c r="J162" s="295" t="n">
        <f aca="false">I162*H162</f>
        <v>0</v>
      </c>
      <c r="K162" s="295" t="n">
        <f aca="false">H162-J162</f>
        <v>0</v>
      </c>
      <c r="M162" s="2"/>
      <c r="N162" s="2"/>
    </row>
    <row r="163" customFormat="false" ht="12.75" hidden="false" customHeight="false" outlineLevel="2" collapsed="false">
      <c r="E163" s="292" t="s">
        <v>609</v>
      </c>
      <c r="F163" s="78" t="s">
        <v>611</v>
      </c>
      <c r="G163" s="78"/>
      <c r="H163" s="293" t="n">
        <v>10000</v>
      </c>
      <c r="I163" s="314" t="n">
        <v>1</v>
      </c>
      <c r="J163" s="295" t="n">
        <f aca="false">I163*H163</f>
        <v>10000</v>
      </c>
      <c r="K163" s="295" t="n">
        <f aca="false">H163-J163</f>
        <v>0</v>
      </c>
      <c r="M163" s="2"/>
      <c r="N163" s="2"/>
    </row>
    <row r="164" customFormat="false" ht="12.75" hidden="false" customHeight="false" outlineLevel="2" collapsed="false">
      <c r="A164" s="2" t="str">
        <f aca="false">B164&amp;C164&amp;D164</f>
        <v>O&amp;M Mobilization BudgetProcurement ExpensesOffice Furnishings, Equipment, Supplies</v>
      </c>
      <c r="B164" s="2" t="s">
        <v>413</v>
      </c>
      <c r="C164" s="2" t="s">
        <v>574</v>
      </c>
      <c r="D164" s="2" t="s">
        <v>575</v>
      </c>
      <c r="E164" s="292" t="s">
        <v>612</v>
      </c>
      <c r="F164" s="78" t="s">
        <v>613</v>
      </c>
      <c r="G164" s="78"/>
      <c r="H164" s="293" t="n">
        <v>8000</v>
      </c>
      <c r="I164" s="314" t="n">
        <v>1</v>
      </c>
      <c r="J164" s="295" t="n">
        <f aca="false">I164*H164</f>
        <v>8000</v>
      </c>
      <c r="K164" s="295" t="n">
        <f aca="false">H164-J164</f>
        <v>0</v>
      </c>
      <c r="M164" s="2"/>
      <c r="N164" s="2"/>
    </row>
    <row r="165" customFormat="false" ht="12.75" hidden="false" customHeight="false" outlineLevel="2" collapsed="false">
      <c r="A165" s="2" t="str">
        <f aca="false">B165&amp;C165&amp;D165</f>
        <v>O&amp;M Mobilization BudgetProcurement ExpensesOffice Furnishings, Equipment, Supplies</v>
      </c>
      <c r="B165" s="2" t="s">
        <v>413</v>
      </c>
      <c r="C165" s="2" t="s">
        <v>574</v>
      </c>
      <c r="D165" s="2" t="s">
        <v>575</v>
      </c>
      <c r="E165" s="292" t="s">
        <v>614</v>
      </c>
      <c r="F165" s="78" t="s">
        <v>615</v>
      </c>
      <c r="G165" s="78"/>
      <c r="H165" s="293" t="n">
        <v>250</v>
      </c>
      <c r="I165" s="314" t="n">
        <v>1</v>
      </c>
      <c r="J165" s="295" t="n">
        <f aca="false">I165*H165</f>
        <v>250</v>
      </c>
      <c r="K165" s="295" t="n">
        <f aca="false">H165-J165</f>
        <v>0</v>
      </c>
      <c r="M165" s="2"/>
      <c r="N165" s="2"/>
    </row>
    <row r="166" customFormat="false" ht="12.75" hidden="false" customHeight="false" outlineLevel="2" collapsed="false">
      <c r="A166" s="2" t="str">
        <f aca="false">B166&amp;C166&amp;D166</f>
        <v>O&amp;M Mobilization BudgetProcurement ExpensesOffice Furnishings, Equipment, Supplies</v>
      </c>
      <c r="B166" s="2" t="s">
        <v>413</v>
      </c>
      <c r="C166" s="2" t="s">
        <v>574</v>
      </c>
      <c r="D166" s="2" t="s">
        <v>575</v>
      </c>
      <c r="E166" s="292" t="s">
        <v>616</v>
      </c>
      <c r="F166" s="78" t="s">
        <v>617</v>
      </c>
      <c r="G166" s="78"/>
      <c r="H166" s="293" t="n">
        <v>3000</v>
      </c>
      <c r="I166" s="314" t="n">
        <v>1</v>
      </c>
      <c r="J166" s="295" t="n">
        <f aca="false">I166*H166</f>
        <v>3000</v>
      </c>
      <c r="K166" s="295" t="n">
        <f aca="false">H166-J166</f>
        <v>0</v>
      </c>
      <c r="M166" s="2"/>
      <c r="N166" s="2"/>
    </row>
    <row r="167" customFormat="false" ht="12.75" hidden="false" customHeight="false" outlineLevel="2" collapsed="false">
      <c r="A167" s="2" t="str">
        <f aca="false">B167&amp;C167&amp;D167</f>
        <v>O&amp;M Mobilization BudgetProcurement ExpensesOffice Furnishings, Equipment, Supplies</v>
      </c>
      <c r="B167" s="2" t="s">
        <v>413</v>
      </c>
      <c r="C167" s="2" t="s">
        <v>574</v>
      </c>
      <c r="D167" s="2" t="s">
        <v>575</v>
      </c>
      <c r="E167" s="292" t="s">
        <v>618</v>
      </c>
      <c r="F167" s="78" t="s">
        <v>619</v>
      </c>
      <c r="G167" s="78"/>
      <c r="H167" s="293" t="n">
        <v>100</v>
      </c>
      <c r="I167" s="314" t="n">
        <v>1</v>
      </c>
      <c r="J167" s="295" t="n">
        <f aca="false">I167*H167</f>
        <v>100</v>
      </c>
      <c r="K167" s="295" t="n">
        <f aca="false">H167-J167</f>
        <v>0</v>
      </c>
      <c r="M167" s="2"/>
      <c r="N167" s="2"/>
    </row>
    <row r="168" customFormat="false" ht="12.75" hidden="false" customHeight="false" outlineLevel="2" collapsed="false">
      <c r="A168" s="2" t="str">
        <f aca="false">B168&amp;C168&amp;D168</f>
        <v>O&amp;M Mobilization BudgetProcurement ExpensesOffice Furnishings, Equipment, Supplies</v>
      </c>
      <c r="B168" s="2" t="s">
        <v>413</v>
      </c>
      <c r="C168" s="2" t="s">
        <v>574</v>
      </c>
      <c r="D168" s="2" t="s">
        <v>575</v>
      </c>
      <c r="E168" s="292" t="s">
        <v>620</v>
      </c>
      <c r="F168" s="78" t="s">
        <v>621</v>
      </c>
      <c r="G168" s="78"/>
      <c r="H168" s="293" t="n">
        <f aca="false">400</f>
        <v>400</v>
      </c>
      <c r="I168" s="314" t="n">
        <v>1</v>
      </c>
      <c r="J168" s="295" t="n">
        <f aca="false">I168*H168</f>
        <v>400</v>
      </c>
      <c r="K168" s="295" t="n">
        <f aca="false">H168-J168</f>
        <v>0</v>
      </c>
      <c r="M168" s="2"/>
      <c r="N168" s="2"/>
    </row>
    <row r="169" customFormat="false" ht="12.75" hidden="false" customHeight="false" outlineLevel="2" collapsed="false">
      <c r="A169" s="2" t="str">
        <f aca="false">B169&amp;C169&amp;D169</f>
        <v>O&amp;M Mobilization BudgetProcurement ExpensesOffice Furnishings, Equipment, Supplies</v>
      </c>
      <c r="B169" s="2" t="s">
        <v>413</v>
      </c>
      <c r="C169" s="2" t="s">
        <v>574</v>
      </c>
      <c r="D169" s="2" t="s">
        <v>575</v>
      </c>
      <c r="E169" s="292" t="s">
        <v>622</v>
      </c>
      <c r="F169" s="78" t="s">
        <v>623</v>
      </c>
      <c r="G169" s="78"/>
      <c r="H169" s="293" t="n">
        <v>2000</v>
      </c>
      <c r="I169" s="314" t="n">
        <v>1</v>
      </c>
      <c r="J169" s="295" t="n">
        <f aca="false">I169*H169</f>
        <v>2000</v>
      </c>
      <c r="K169" s="295" t="n">
        <f aca="false">H169-J169</f>
        <v>0</v>
      </c>
      <c r="M169" s="2"/>
      <c r="N169" s="2"/>
    </row>
    <row r="170" customFormat="false" ht="12.75" hidden="false" customHeight="false" outlineLevel="2" collapsed="false">
      <c r="A170" s="2" t="str">
        <f aca="false">B170&amp;C170&amp;D170</f>
        <v>O&amp;M Mobilization BudgetProcurement ExpensesOffice Furnishings, Equipment, Supplies</v>
      </c>
      <c r="B170" s="2" t="s">
        <v>413</v>
      </c>
      <c r="C170" s="2" t="s">
        <v>574</v>
      </c>
      <c r="D170" s="2" t="s">
        <v>575</v>
      </c>
      <c r="E170" s="292"/>
      <c r="F170" s="78"/>
      <c r="G170" s="78"/>
      <c r="H170" s="293"/>
      <c r="I170" s="314" t="n">
        <v>1</v>
      </c>
      <c r="J170" s="295" t="n">
        <f aca="false">I170*H170</f>
        <v>0</v>
      </c>
      <c r="K170" s="295" t="n">
        <f aca="false">H170-J170</f>
        <v>0</v>
      </c>
      <c r="M170" s="2"/>
      <c r="N170" s="2"/>
    </row>
    <row r="171" customFormat="false" ht="12.75" hidden="false" customHeight="false" outlineLevel="2" collapsed="false">
      <c r="A171" s="2" t="str">
        <f aca="false">B171&amp;C171&amp;D171</f>
        <v>O&amp;M Mobilization BudgetProcurement ExpensesOffice Furnishings, Equipment, Supplies</v>
      </c>
      <c r="B171" s="2" t="s">
        <v>413</v>
      </c>
      <c r="C171" s="2" t="s">
        <v>574</v>
      </c>
      <c r="D171" s="2" t="s">
        <v>575</v>
      </c>
      <c r="E171" s="292" t="s">
        <v>624</v>
      </c>
      <c r="F171" s="78" t="s">
        <v>625</v>
      </c>
      <c r="G171" s="78"/>
      <c r="H171" s="293" t="n">
        <v>400</v>
      </c>
      <c r="I171" s="314" t="n">
        <v>1</v>
      </c>
      <c r="J171" s="295" t="n">
        <f aca="false">I171*H171</f>
        <v>400</v>
      </c>
      <c r="K171" s="295" t="n">
        <f aca="false">H171-J171</f>
        <v>0</v>
      </c>
      <c r="M171" s="2"/>
      <c r="N171" s="2"/>
    </row>
    <row r="172" customFormat="false" ht="12.75" hidden="false" customHeight="false" outlineLevel="2" collapsed="false">
      <c r="A172" s="2" t="str">
        <f aca="false">B172&amp;C172&amp;D172</f>
        <v>O&amp;M Mobilization BudgetProcurement ExpensesOffice Furnishings, Equipment, Supplies</v>
      </c>
      <c r="B172" s="2" t="s">
        <v>413</v>
      </c>
      <c r="C172" s="2" t="s">
        <v>574</v>
      </c>
      <c r="D172" s="2" t="s">
        <v>575</v>
      </c>
      <c r="E172" s="292" t="s">
        <v>626</v>
      </c>
      <c r="F172" s="78" t="s">
        <v>627</v>
      </c>
      <c r="G172" s="78"/>
      <c r="H172" s="293" t="n">
        <v>800</v>
      </c>
      <c r="I172" s="314" t="n">
        <v>1</v>
      </c>
      <c r="J172" s="295" t="n">
        <f aca="false">I172*H172</f>
        <v>800</v>
      </c>
      <c r="K172" s="295" t="n">
        <f aca="false">H172-J172</f>
        <v>0</v>
      </c>
      <c r="M172" s="2"/>
      <c r="N172" s="2"/>
    </row>
    <row r="173" customFormat="false" ht="12.75" hidden="false" customHeight="false" outlineLevel="2" collapsed="false">
      <c r="E173" s="292" t="s">
        <v>628</v>
      </c>
      <c r="F173" s="78" t="s">
        <v>629</v>
      </c>
      <c r="G173" s="78"/>
      <c r="H173" s="293" t="n">
        <v>1000</v>
      </c>
      <c r="I173" s="314" t="n">
        <v>1</v>
      </c>
      <c r="J173" s="295" t="n">
        <f aca="false">I173*H173</f>
        <v>1000</v>
      </c>
      <c r="K173" s="295" t="n">
        <f aca="false">H173-J173</f>
        <v>0</v>
      </c>
      <c r="M173" s="2"/>
      <c r="N173" s="2"/>
    </row>
    <row r="174" customFormat="false" ht="12.75" hidden="false" customHeight="false" outlineLevel="2" collapsed="false">
      <c r="A174" s="2" t="str">
        <f aca="false">B174&amp;C174&amp;D174</f>
        <v>O&amp;M Mobilization BudgetProcurement ExpensesOffice Furnishings, Equipment, Supplies</v>
      </c>
      <c r="B174" s="2" t="s">
        <v>413</v>
      </c>
      <c r="C174" s="2" t="s">
        <v>574</v>
      </c>
      <c r="D174" s="2" t="s">
        <v>575</v>
      </c>
      <c r="E174" s="292" t="s">
        <v>630</v>
      </c>
      <c r="F174" s="78" t="s">
        <v>631</v>
      </c>
      <c r="G174" s="78"/>
      <c r="H174" s="293" t="n">
        <v>1200</v>
      </c>
      <c r="I174" s="314" t="n">
        <v>1</v>
      </c>
      <c r="J174" s="295" t="n">
        <f aca="false">I174*H174</f>
        <v>1200</v>
      </c>
      <c r="K174" s="295" t="n">
        <f aca="false">H174-J174</f>
        <v>0</v>
      </c>
      <c r="M174" s="2"/>
      <c r="N174" s="2"/>
    </row>
    <row r="175" customFormat="false" ht="12.75" hidden="false" customHeight="false" outlineLevel="2" collapsed="false">
      <c r="E175" s="292" t="s">
        <v>632</v>
      </c>
      <c r="F175" s="78"/>
      <c r="G175" s="78"/>
      <c r="H175" s="293" t="n">
        <v>5000</v>
      </c>
      <c r="I175" s="314" t="n">
        <v>1</v>
      </c>
      <c r="J175" s="295" t="n">
        <f aca="false">I175*H175</f>
        <v>5000</v>
      </c>
      <c r="K175" s="295" t="n">
        <f aca="false">H175-J175</f>
        <v>0</v>
      </c>
      <c r="M175" s="2"/>
      <c r="N175" s="2"/>
    </row>
    <row r="176" customFormat="false" ht="12.75" hidden="false" customHeight="false" outlineLevel="2" collapsed="false">
      <c r="E176" s="292" t="s">
        <v>633</v>
      </c>
      <c r="F176" s="78"/>
      <c r="G176" s="78"/>
      <c r="H176" s="293" t="n">
        <v>1000</v>
      </c>
      <c r="I176" s="314" t="n">
        <v>1</v>
      </c>
      <c r="J176" s="295" t="n">
        <f aca="false">I176*H176</f>
        <v>1000</v>
      </c>
      <c r="K176" s="295" t="n">
        <f aca="false">H176-J176</f>
        <v>0</v>
      </c>
      <c r="M176" s="2"/>
      <c r="N176" s="2"/>
    </row>
    <row r="177" customFormat="false" ht="12.75" hidden="false" customHeight="false" outlineLevel="2" collapsed="false">
      <c r="E177" s="292" t="s">
        <v>559</v>
      </c>
      <c r="F177" s="78" t="s">
        <v>634</v>
      </c>
      <c r="G177" s="78"/>
      <c r="H177" s="293" t="n">
        <f aca="false">SUM(H145:H176)*0.05</f>
        <v>4242.5</v>
      </c>
      <c r="I177" s="314" t="n">
        <v>1</v>
      </c>
      <c r="J177" s="295" t="n">
        <f aca="false">I177*H177</f>
        <v>4242.5</v>
      </c>
      <c r="K177" s="295" t="n">
        <f aca="false">H177-J177</f>
        <v>0</v>
      </c>
      <c r="M177" s="2"/>
      <c r="N177" s="2"/>
    </row>
    <row r="178" customFormat="false" ht="12.75" hidden="false" customHeight="false" outlineLevel="2" collapsed="false">
      <c r="E178" s="292"/>
      <c r="F178" s="78"/>
      <c r="G178" s="78"/>
      <c r="H178" s="323"/>
      <c r="I178" s="296"/>
      <c r="J178" s="295"/>
      <c r="K178" s="295"/>
      <c r="M178" s="2"/>
      <c r="N178" s="2"/>
    </row>
    <row r="179" customFormat="false" ht="12.75" hidden="false" customHeight="false" outlineLevel="1" collapsed="false">
      <c r="A179" s="291" t="s">
        <v>635</v>
      </c>
      <c r="B179" s="291" t="s">
        <v>413</v>
      </c>
      <c r="C179" s="291" t="s">
        <v>574</v>
      </c>
      <c r="D179" s="291" t="s">
        <v>575</v>
      </c>
      <c r="E179" s="292"/>
      <c r="F179" s="78"/>
      <c r="G179" s="297" t="s">
        <v>431</v>
      </c>
      <c r="H179" s="298" t="n">
        <f aca="false">SUBTOTAL(9,H145:H178)</f>
        <v>89092.5</v>
      </c>
      <c r="I179" s="299"/>
      <c r="J179" s="298" t="n">
        <f aca="false">SUBTOTAL(9,J145:J178)</f>
        <v>89092.5</v>
      </c>
      <c r="K179" s="298" t="n">
        <f aca="false">SUBTOTAL(9,K145:K178)</f>
        <v>0</v>
      </c>
      <c r="L179" s="291"/>
      <c r="M179" s="291"/>
      <c r="N179" s="291"/>
      <c r="O179" s="291"/>
      <c r="P179" s="291"/>
      <c r="Q179" s="291"/>
      <c r="R179" s="291"/>
      <c r="S179" s="291"/>
      <c r="T179" s="291"/>
      <c r="U179" s="291"/>
      <c r="V179" s="291"/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1"/>
      <c r="AZ179" s="291"/>
      <c r="BA179" s="291"/>
      <c r="BB179" s="291"/>
      <c r="BC179" s="291"/>
      <c r="BD179" s="291"/>
      <c r="BE179" s="291"/>
      <c r="BF179" s="291"/>
      <c r="BG179" s="291"/>
      <c r="BH179" s="291"/>
      <c r="BI179" s="291"/>
      <c r="BJ179" s="291"/>
      <c r="BK179" s="291"/>
      <c r="BL179" s="291"/>
      <c r="BM179" s="291"/>
      <c r="BN179" s="291"/>
      <c r="BO179" s="291"/>
      <c r="BP179" s="291"/>
      <c r="BQ179" s="291"/>
      <c r="BR179" s="291"/>
      <c r="BS179" s="291"/>
      <c r="BT179" s="291"/>
      <c r="BU179" s="291"/>
      <c r="BV179" s="291"/>
      <c r="BW179" s="291"/>
      <c r="BX179" s="291"/>
      <c r="BY179" s="291"/>
      <c r="BZ179" s="291"/>
      <c r="CA179" s="291"/>
      <c r="CB179" s="291"/>
      <c r="CC179" s="291"/>
      <c r="CD179" s="291"/>
      <c r="CE179" s="291"/>
      <c r="CF179" s="291"/>
      <c r="CG179" s="291"/>
      <c r="CH179" s="291"/>
      <c r="CI179" s="291"/>
      <c r="CJ179" s="291"/>
      <c r="CK179" s="291"/>
      <c r="CL179" s="291"/>
      <c r="CM179" s="291"/>
      <c r="CN179" s="291"/>
      <c r="CO179" s="291"/>
      <c r="CP179" s="291"/>
      <c r="CQ179" s="291"/>
      <c r="CR179" s="291"/>
      <c r="CS179" s="291"/>
      <c r="CT179" s="291"/>
      <c r="CU179" s="291"/>
      <c r="CV179" s="291"/>
      <c r="CW179" s="291"/>
      <c r="CX179" s="291"/>
      <c r="CY179" s="291"/>
      <c r="CZ179" s="291"/>
      <c r="DA179" s="291"/>
      <c r="DB179" s="291"/>
      <c r="DC179" s="291"/>
      <c r="DD179" s="291"/>
      <c r="DE179" s="291"/>
      <c r="DF179" s="291"/>
      <c r="DG179" s="291"/>
      <c r="DH179" s="291"/>
      <c r="DI179" s="291"/>
      <c r="DJ179" s="291"/>
      <c r="DK179" s="291"/>
      <c r="DL179" s="291"/>
      <c r="DM179" s="291"/>
      <c r="DN179" s="291"/>
      <c r="DO179" s="291"/>
      <c r="DP179" s="291"/>
      <c r="DQ179" s="291"/>
      <c r="DR179" s="291"/>
      <c r="DS179" s="291"/>
      <c r="DT179" s="291"/>
      <c r="DU179" s="291"/>
      <c r="DV179" s="291"/>
      <c r="DW179" s="291"/>
      <c r="DX179" s="291"/>
      <c r="DY179" s="291"/>
      <c r="DZ179" s="291"/>
      <c r="EA179" s="291"/>
      <c r="EB179" s="291"/>
      <c r="EC179" s="291"/>
      <c r="ED179" s="291"/>
      <c r="EE179" s="291"/>
      <c r="EF179" s="291"/>
      <c r="EG179" s="291"/>
      <c r="EH179" s="291"/>
      <c r="EI179" s="291"/>
      <c r="EJ179" s="291"/>
      <c r="EK179" s="291"/>
      <c r="EL179" s="291"/>
      <c r="EM179" s="291"/>
      <c r="EN179" s="291"/>
      <c r="EO179" s="291"/>
      <c r="EP179" s="291"/>
      <c r="EQ179" s="291"/>
      <c r="ER179" s="291"/>
      <c r="ES179" s="291"/>
      <c r="ET179" s="291"/>
      <c r="EU179" s="291"/>
      <c r="EV179" s="291"/>
      <c r="EW179" s="291"/>
      <c r="EX179" s="291"/>
      <c r="EY179" s="291"/>
      <c r="EZ179" s="291"/>
      <c r="FA179" s="291"/>
      <c r="FB179" s="291"/>
      <c r="FC179" s="291"/>
      <c r="FD179" s="291"/>
      <c r="FE179" s="291"/>
      <c r="FF179" s="291"/>
      <c r="FG179" s="291"/>
      <c r="FH179" s="291"/>
      <c r="FI179" s="291"/>
      <c r="FJ179" s="291"/>
      <c r="FK179" s="291"/>
      <c r="FL179" s="291"/>
      <c r="FM179" s="291"/>
      <c r="FN179" s="291"/>
      <c r="FO179" s="291"/>
      <c r="FP179" s="291"/>
      <c r="FQ179" s="291"/>
      <c r="FR179" s="291"/>
      <c r="FS179" s="291"/>
      <c r="FT179" s="291"/>
      <c r="FU179" s="291"/>
      <c r="FV179" s="291"/>
      <c r="FW179" s="291"/>
      <c r="FX179" s="291"/>
      <c r="FY179" s="291"/>
      <c r="FZ179" s="291"/>
      <c r="GA179" s="291"/>
      <c r="GB179" s="291"/>
      <c r="GC179" s="291"/>
      <c r="GD179" s="291"/>
      <c r="GE179" s="291"/>
      <c r="GF179" s="291"/>
      <c r="GG179" s="291"/>
      <c r="GH179" s="291"/>
      <c r="GI179" s="291"/>
      <c r="GJ179" s="291"/>
      <c r="GK179" s="291"/>
      <c r="GL179" s="291"/>
      <c r="GM179" s="291"/>
      <c r="GN179" s="291"/>
      <c r="GO179" s="291"/>
      <c r="GP179" s="291"/>
      <c r="GQ179" s="291"/>
      <c r="GR179" s="291"/>
      <c r="GS179" s="291"/>
      <c r="GT179" s="291"/>
      <c r="GU179" s="291"/>
      <c r="GV179" s="291"/>
      <c r="GW179" s="291"/>
      <c r="GX179" s="291"/>
      <c r="GY179" s="291"/>
      <c r="GZ179" s="291"/>
      <c r="HA179" s="291"/>
      <c r="HB179" s="291"/>
      <c r="HC179" s="291"/>
      <c r="HD179" s="291"/>
      <c r="HE179" s="291"/>
      <c r="HF179" s="291"/>
      <c r="HG179" s="291"/>
      <c r="HH179" s="291"/>
      <c r="HI179" s="291"/>
      <c r="HJ179" s="291"/>
      <c r="HK179" s="291"/>
      <c r="HL179" s="291"/>
      <c r="HM179" s="291"/>
      <c r="HN179" s="291"/>
      <c r="HO179" s="291"/>
      <c r="HP179" s="291"/>
      <c r="HQ179" s="291"/>
      <c r="HR179" s="291"/>
      <c r="HS179" s="291"/>
      <c r="HT179" s="291"/>
      <c r="HU179" s="291"/>
      <c r="HV179" s="291"/>
      <c r="HW179" s="291"/>
      <c r="HX179" s="291"/>
      <c r="HY179" s="291"/>
      <c r="HZ179" s="291"/>
      <c r="IA179" s="291"/>
      <c r="IB179" s="291"/>
      <c r="IC179" s="291"/>
      <c r="ID179" s="291"/>
      <c r="IE179" s="291"/>
      <c r="IF179" s="291"/>
      <c r="IG179" s="291"/>
      <c r="IH179" s="291"/>
      <c r="II179" s="291"/>
      <c r="IJ179" s="291"/>
      <c r="IK179" s="291"/>
      <c r="IL179" s="291"/>
      <c r="IM179" s="291"/>
      <c r="IN179" s="291"/>
      <c r="IO179" s="291"/>
      <c r="IP179" s="291"/>
      <c r="IQ179" s="291"/>
      <c r="IR179" s="291"/>
      <c r="IS179" s="291"/>
      <c r="IT179" s="291"/>
      <c r="IU179" s="291"/>
      <c r="IV179" s="291"/>
      <c r="IW179" s="291"/>
    </row>
    <row r="180" customFormat="false" ht="12.75" hidden="false" customHeight="false" outlineLevel="1" collapsed="false">
      <c r="A180" s="2" t="s">
        <v>636</v>
      </c>
      <c r="B180" s="2" t="s">
        <v>413</v>
      </c>
      <c r="C180" s="2" t="s">
        <v>574</v>
      </c>
      <c r="D180" s="2" t="s">
        <v>637</v>
      </c>
      <c r="E180" s="310" t="s">
        <v>638</v>
      </c>
      <c r="F180" s="311"/>
      <c r="G180" s="312"/>
      <c r="H180" s="313"/>
      <c r="I180" s="289"/>
      <c r="J180" s="288"/>
      <c r="K180" s="288"/>
      <c r="L180" s="291"/>
      <c r="M180" s="291"/>
      <c r="N180" s="291"/>
      <c r="O180" s="291"/>
      <c r="P180" s="291"/>
      <c r="Q180" s="291"/>
      <c r="R180" s="291"/>
      <c r="S180" s="291"/>
      <c r="T180" s="291"/>
      <c r="U180" s="291"/>
      <c r="V180" s="291"/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1"/>
      <c r="AZ180" s="291"/>
      <c r="BA180" s="291"/>
      <c r="BB180" s="291"/>
      <c r="BC180" s="291"/>
      <c r="BD180" s="291"/>
      <c r="BE180" s="291"/>
      <c r="BF180" s="291"/>
      <c r="BG180" s="291"/>
      <c r="BH180" s="291"/>
      <c r="BI180" s="291"/>
      <c r="BJ180" s="291"/>
      <c r="BK180" s="291"/>
      <c r="BL180" s="291"/>
      <c r="BM180" s="291"/>
      <c r="BN180" s="291"/>
      <c r="BO180" s="291"/>
      <c r="BP180" s="291"/>
      <c r="BQ180" s="291"/>
      <c r="BR180" s="291"/>
      <c r="BS180" s="291"/>
      <c r="BT180" s="291"/>
      <c r="BU180" s="291"/>
      <c r="BV180" s="291"/>
      <c r="BW180" s="291"/>
      <c r="BX180" s="291"/>
      <c r="BY180" s="291"/>
      <c r="BZ180" s="291"/>
      <c r="CA180" s="291"/>
      <c r="CB180" s="291"/>
      <c r="CC180" s="291"/>
      <c r="CD180" s="291"/>
      <c r="CE180" s="291"/>
      <c r="CF180" s="291"/>
      <c r="CG180" s="291"/>
      <c r="CH180" s="291"/>
      <c r="CI180" s="291"/>
      <c r="CJ180" s="291"/>
      <c r="CK180" s="291"/>
      <c r="CL180" s="291"/>
      <c r="CM180" s="291"/>
      <c r="CN180" s="291"/>
      <c r="CO180" s="291"/>
      <c r="CP180" s="291"/>
      <c r="CQ180" s="291"/>
      <c r="CR180" s="291"/>
      <c r="CS180" s="291"/>
      <c r="CT180" s="291"/>
      <c r="CU180" s="291"/>
      <c r="CV180" s="291"/>
      <c r="CW180" s="291"/>
      <c r="CX180" s="291"/>
      <c r="CY180" s="291"/>
      <c r="CZ180" s="291"/>
      <c r="DA180" s="291"/>
      <c r="DB180" s="291"/>
      <c r="DC180" s="291"/>
      <c r="DD180" s="291"/>
      <c r="DE180" s="291"/>
      <c r="DF180" s="291"/>
      <c r="DG180" s="291"/>
      <c r="DH180" s="291"/>
      <c r="DI180" s="291"/>
      <c r="DJ180" s="291"/>
      <c r="DK180" s="291"/>
      <c r="DL180" s="291"/>
      <c r="DM180" s="291"/>
      <c r="DN180" s="291"/>
      <c r="DO180" s="291"/>
      <c r="DP180" s="291"/>
      <c r="DQ180" s="291"/>
      <c r="DR180" s="291"/>
      <c r="DS180" s="291"/>
      <c r="DT180" s="291"/>
      <c r="DU180" s="291"/>
      <c r="DV180" s="291"/>
      <c r="DW180" s="291"/>
      <c r="DX180" s="291"/>
      <c r="DY180" s="291"/>
      <c r="DZ180" s="291"/>
      <c r="EA180" s="291"/>
      <c r="EB180" s="291"/>
      <c r="EC180" s="291"/>
      <c r="ED180" s="291"/>
      <c r="EE180" s="291"/>
      <c r="EF180" s="291"/>
      <c r="EG180" s="291"/>
      <c r="EH180" s="291"/>
      <c r="EI180" s="291"/>
      <c r="EJ180" s="291"/>
      <c r="EK180" s="291"/>
      <c r="EL180" s="291"/>
      <c r="EM180" s="291"/>
      <c r="EN180" s="291"/>
      <c r="EO180" s="291"/>
      <c r="EP180" s="291"/>
      <c r="EQ180" s="291"/>
      <c r="ER180" s="291"/>
      <c r="ES180" s="291"/>
      <c r="ET180" s="291"/>
      <c r="EU180" s="291"/>
      <c r="EV180" s="291"/>
      <c r="EW180" s="291"/>
      <c r="EX180" s="291"/>
      <c r="EY180" s="291"/>
      <c r="EZ180" s="291"/>
      <c r="FA180" s="291"/>
      <c r="FB180" s="291"/>
      <c r="FC180" s="291"/>
      <c r="FD180" s="291"/>
      <c r="FE180" s="291"/>
      <c r="FF180" s="291"/>
      <c r="FG180" s="291"/>
      <c r="FH180" s="291"/>
      <c r="FI180" s="291"/>
      <c r="FJ180" s="291"/>
      <c r="FK180" s="291"/>
      <c r="FL180" s="291"/>
      <c r="FM180" s="291"/>
      <c r="FN180" s="291"/>
      <c r="FO180" s="291"/>
      <c r="FP180" s="291"/>
      <c r="FQ180" s="291"/>
      <c r="FR180" s="291"/>
      <c r="FS180" s="291"/>
      <c r="FT180" s="291"/>
      <c r="FU180" s="291"/>
      <c r="FV180" s="291"/>
      <c r="FW180" s="291"/>
      <c r="FX180" s="291"/>
      <c r="FY180" s="291"/>
      <c r="FZ180" s="291"/>
      <c r="GA180" s="291"/>
      <c r="GB180" s="291"/>
      <c r="GC180" s="291"/>
      <c r="GD180" s="291"/>
      <c r="GE180" s="291"/>
      <c r="GF180" s="291"/>
      <c r="GG180" s="291"/>
      <c r="GH180" s="291"/>
      <c r="GI180" s="291"/>
      <c r="GJ180" s="291"/>
      <c r="GK180" s="291"/>
      <c r="GL180" s="291"/>
      <c r="GM180" s="291"/>
      <c r="GN180" s="291"/>
      <c r="GO180" s="291"/>
      <c r="GP180" s="291"/>
      <c r="GQ180" s="291"/>
      <c r="GR180" s="291"/>
      <c r="GS180" s="291"/>
      <c r="GT180" s="291"/>
      <c r="GU180" s="291"/>
      <c r="GV180" s="291"/>
      <c r="GW180" s="291"/>
      <c r="GX180" s="291"/>
      <c r="GY180" s="291"/>
      <c r="GZ180" s="291"/>
      <c r="HA180" s="291"/>
      <c r="HB180" s="291"/>
      <c r="HC180" s="291"/>
      <c r="HD180" s="291"/>
      <c r="HE180" s="291"/>
      <c r="HF180" s="291"/>
      <c r="HG180" s="291"/>
      <c r="HH180" s="291"/>
      <c r="HI180" s="291"/>
      <c r="HJ180" s="291"/>
      <c r="HK180" s="291"/>
      <c r="HL180" s="291"/>
      <c r="HM180" s="291"/>
      <c r="HN180" s="291"/>
      <c r="HO180" s="291"/>
      <c r="HP180" s="291"/>
      <c r="HQ180" s="291"/>
      <c r="HR180" s="291"/>
      <c r="HS180" s="291"/>
      <c r="HT180" s="291"/>
      <c r="HU180" s="291"/>
      <c r="HV180" s="291"/>
      <c r="HW180" s="291"/>
      <c r="HX180" s="291"/>
      <c r="HY180" s="291"/>
      <c r="HZ180" s="291"/>
      <c r="IA180" s="291"/>
      <c r="IB180" s="291"/>
      <c r="IC180" s="291"/>
      <c r="ID180" s="291"/>
      <c r="IE180" s="291"/>
      <c r="IF180" s="291"/>
      <c r="IG180" s="291"/>
      <c r="IH180" s="291"/>
      <c r="II180" s="291"/>
      <c r="IJ180" s="291"/>
      <c r="IK180" s="291"/>
      <c r="IL180" s="291"/>
      <c r="IM180" s="291"/>
      <c r="IN180" s="291"/>
      <c r="IO180" s="291"/>
      <c r="IP180" s="291"/>
      <c r="IQ180" s="291"/>
      <c r="IR180" s="291"/>
      <c r="IS180" s="291"/>
      <c r="IT180" s="291"/>
      <c r="IU180" s="291"/>
      <c r="IV180" s="291"/>
      <c r="IW180" s="291"/>
    </row>
    <row r="181" customFormat="false" ht="12.75" hidden="false" customHeight="false" outlineLevel="2" collapsed="false">
      <c r="A181" s="2" t="str">
        <f aca="false">B181&amp;C181&amp;D181</f>
        <v>O&amp;M Mobilization BudgetProcurement ExpensesSafety Equipment &amp; Supplies</v>
      </c>
      <c r="B181" s="2" t="s">
        <v>413</v>
      </c>
      <c r="C181" s="2" t="s">
        <v>574</v>
      </c>
      <c r="D181" s="2" t="s">
        <v>637</v>
      </c>
      <c r="E181" s="292" t="s">
        <v>639</v>
      </c>
      <c r="F181" s="78" t="s">
        <v>640</v>
      </c>
      <c r="G181" s="78"/>
      <c r="H181" s="293"/>
      <c r="I181" s="314"/>
      <c r="J181" s="295"/>
      <c r="K181" s="295"/>
      <c r="M181" s="2"/>
      <c r="N181" s="2"/>
    </row>
    <row r="182" customFormat="false" ht="12.75" hidden="false" customHeight="false" outlineLevel="2" collapsed="false">
      <c r="E182" s="292"/>
      <c r="F182" s="78" t="s">
        <v>641</v>
      </c>
      <c r="G182" s="78"/>
      <c r="H182" s="293" t="n">
        <v>3000</v>
      </c>
      <c r="I182" s="314" t="n">
        <v>1</v>
      </c>
      <c r="J182" s="295" t="n">
        <f aca="false">I182*H182</f>
        <v>3000</v>
      </c>
      <c r="K182" s="295" t="n">
        <f aca="false">H182-J182</f>
        <v>0</v>
      </c>
      <c r="M182" s="2"/>
      <c r="N182" s="2"/>
    </row>
    <row r="183" customFormat="false" ht="12.75" hidden="false" customHeight="false" outlineLevel="2" collapsed="false">
      <c r="E183" s="292" t="s">
        <v>642</v>
      </c>
      <c r="F183" s="78" t="s">
        <v>643</v>
      </c>
      <c r="G183" s="78"/>
      <c r="H183" s="293" t="n">
        <f aca="false">10*120</f>
        <v>1200</v>
      </c>
      <c r="I183" s="314" t="n">
        <v>1</v>
      </c>
      <c r="J183" s="295" t="n">
        <f aca="false">I183*H183</f>
        <v>1200</v>
      </c>
      <c r="K183" s="295" t="n">
        <f aca="false">H183-J183</f>
        <v>0</v>
      </c>
      <c r="M183" s="2"/>
      <c r="N183" s="2"/>
    </row>
    <row r="184" customFormat="false" ht="12.75" hidden="false" customHeight="false" outlineLevel="2" collapsed="false">
      <c r="E184" s="292" t="s">
        <v>644</v>
      </c>
      <c r="F184" s="78"/>
      <c r="G184" s="78"/>
      <c r="H184" s="293" t="n">
        <v>7700</v>
      </c>
      <c r="I184" s="314" t="n">
        <v>1</v>
      </c>
      <c r="J184" s="295" t="n">
        <f aca="false">I184*H184</f>
        <v>7700</v>
      </c>
      <c r="K184" s="295" t="n">
        <f aca="false">H184-J184</f>
        <v>0</v>
      </c>
      <c r="M184" s="2"/>
      <c r="N184" s="2"/>
    </row>
    <row r="185" customFormat="false" ht="12.75" hidden="false" customHeight="false" outlineLevel="2" collapsed="false">
      <c r="E185" s="292" t="s">
        <v>645</v>
      </c>
      <c r="F185" s="78" t="s">
        <v>646</v>
      </c>
      <c r="G185" s="78"/>
      <c r="H185" s="293" t="n">
        <v>6000</v>
      </c>
      <c r="I185" s="314" t="n">
        <v>1</v>
      </c>
      <c r="J185" s="295" t="n">
        <f aca="false">I185*H185</f>
        <v>6000</v>
      </c>
      <c r="K185" s="295" t="n">
        <f aca="false">H185-J185</f>
        <v>0</v>
      </c>
      <c r="M185" s="2"/>
      <c r="N185" s="2"/>
    </row>
    <row r="186" customFormat="false" ht="12.75" hidden="false" customHeight="false" outlineLevel="2" collapsed="false">
      <c r="E186" s="292" t="s">
        <v>647</v>
      </c>
      <c r="F186" s="78" t="s">
        <v>648</v>
      </c>
      <c r="G186" s="78"/>
      <c r="H186" s="293" t="n">
        <v>2500</v>
      </c>
      <c r="I186" s="314" t="n">
        <v>1</v>
      </c>
      <c r="J186" s="295" t="n">
        <f aca="false">I186*H186</f>
        <v>2500</v>
      </c>
      <c r="K186" s="295" t="n">
        <f aca="false">H186-J186</f>
        <v>0</v>
      </c>
      <c r="M186" s="2"/>
      <c r="N186" s="2"/>
    </row>
    <row r="187" customFormat="false" ht="12.75" hidden="false" customHeight="false" outlineLevel="2" collapsed="false">
      <c r="E187" s="292" t="s">
        <v>649</v>
      </c>
      <c r="F187" s="78" t="s">
        <v>650</v>
      </c>
      <c r="G187" s="78"/>
      <c r="H187" s="293"/>
      <c r="I187" s="314" t="n">
        <v>1</v>
      </c>
      <c r="J187" s="295" t="n">
        <f aca="false">I187*H187</f>
        <v>0</v>
      </c>
      <c r="K187" s="295" t="n">
        <f aca="false">H187-J187</f>
        <v>0</v>
      </c>
      <c r="M187" s="2"/>
      <c r="N187" s="2"/>
    </row>
    <row r="188" customFormat="false" ht="12.75" hidden="false" customHeight="false" outlineLevel="2" collapsed="false">
      <c r="E188" s="292" t="s">
        <v>651</v>
      </c>
      <c r="F188" s="78"/>
      <c r="G188" s="78" t="n">
        <v>44700</v>
      </c>
      <c r="H188" s="293"/>
      <c r="I188" s="314"/>
      <c r="J188" s="295"/>
      <c r="K188" s="295"/>
      <c r="M188" s="2"/>
      <c r="N188" s="2"/>
    </row>
    <row r="189" customFormat="false" ht="12.75" hidden="false" customHeight="false" outlineLevel="2" collapsed="false">
      <c r="E189" s="292" t="s">
        <v>652</v>
      </c>
      <c r="F189" s="78"/>
      <c r="G189" s="78" t="n">
        <v>21000</v>
      </c>
      <c r="H189" s="293"/>
      <c r="I189" s="324"/>
      <c r="J189" s="295"/>
      <c r="K189" s="295"/>
      <c r="M189" s="2"/>
      <c r="N189" s="2"/>
    </row>
    <row r="190" customFormat="false" ht="12.75" hidden="false" customHeight="false" outlineLevel="2" collapsed="false">
      <c r="E190" s="292" t="s">
        <v>653</v>
      </c>
      <c r="F190" s="78"/>
      <c r="G190" s="78" t="n">
        <v>17600</v>
      </c>
      <c r="H190" s="293"/>
      <c r="I190" s="324"/>
      <c r="J190" s="295"/>
      <c r="K190" s="295"/>
      <c r="M190" s="2"/>
      <c r="N190" s="2"/>
    </row>
    <row r="191" customFormat="false" ht="12.75" hidden="false" customHeight="false" outlineLevel="2" collapsed="false">
      <c r="E191" s="292" t="s">
        <v>559</v>
      </c>
      <c r="F191" s="78" t="s">
        <v>634</v>
      </c>
      <c r="G191" s="78"/>
      <c r="H191" s="293" t="n">
        <f aca="false">0.05*SUM(H181:H187)</f>
        <v>1020</v>
      </c>
      <c r="I191" s="314" t="n">
        <v>1</v>
      </c>
      <c r="J191" s="295" t="n">
        <f aca="false">I191*H191</f>
        <v>1020</v>
      </c>
      <c r="K191" s="295" t="n">
        <f aca="false">H191-J191</f>
        <v>0</v>
      </c>
      <c r="M191" s="2"/>
      <c r="N191" s="2"/>
    </row>
    <row r="192" customFormat="false" ht="12.75" hidden="false" customHeight="false" outlineLevel="2" collapsed="false">
      <c r="E192" s="292"/>
      <c r="F192" s="78"/>
      <c r="G192" s="78"/>
      <c r="H192" s="315"/>
      <c r="I192" s="309"/>
      <c r="J192" s="295"/>
      <c r="K192" s="295"/>
      <c r="M192" s="2"/>
      <c r="N192" s="2"/>
    </row>
    <row r="193" customFormat="false" ht="12.75" hidden="false" customHeight="false" outlineLevel="1" collapsed="false">
      <c r="A193" s="291" t="s">
        <v>654</v>
      </c>
      <c r="B193" s="291" t="s">
        <v>413</v>
      </c>
      <c r="C193" s="291" t="s">
        <v>574</v>
      </c>
      <c r="D193" s="291" t="s">
        <v>637</v>
      </c>
      <c r="E193" s="292"/>
      <c r="F193" s="78"/>
      <c r="G193" s="297" t="s">
        <v>431</v>
      </c>
      <c r="H193" s="298" t="n">
        <f aca="false">SUBTOTAL(9,H181:H192)</f>
        <v>21420</v>
      </c>
      <c r="I193" s="299"/>
      <c r="J193" s="298" t="n">
        <f aca="false">SUBTOTAL(9,J181:J192)</f>
        <v>21420</v>
      </c>
      <c r="K193" s="298" t="n">
        <f aca="false">SUBTOTAL(9,K181:K192)</f>
        <v>0</v>
      </c>
      <c r="L193" s="291"/>
      <c r="M193" s="291"/>
      <c r="N193" s="291"/>
      <c r="O193" s="291"/>
      <c r="P193" s="291"/>
      <c r="Q193" s="291"/>
      <c r="R193" s="291"/>
      <c r="S193" s="291"/>
      <c r="T193" s="291"/>
      <c r="U193" s="291"/>
      <c r="V193" s="291"/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1"/>
      <c r="AZ193" s="291"/>
      <c r="BA193" s="291"/>
      <c r="BB193" s="291"/>
      <c r="BC193" s="291"/>
      <c r="BD193" s="291"/>
      <c r="BE193" s="291"/>
      <c r="BF193" s="291"/>
      <c r="BG193" s="291"/>
      <c r="BH193" s="291"/>
      <c r="BI193" s="291"/>
      <c r="BJ193" s="291"/>
      <c r="BK193" s="291"/>
      <c r="BL193" s="291"/>
      <c r="BM193" s="291"/>
      <c r="BN193" s="291"/>
      <c r="BO193" s="291"/>
      <c r="BP193" s="291"/>
      <c r="BQ193" s="291"/>
      <c r="BR193" s="291"/>
      <c r="BS193" s="291"/>
      <c r="BT193" s="291"/>
      <c r="BU193" s="291"/>
      <c r="BV193" s="291"/>
      <c r="BW193" s="291"/>
      <c r="BX193" s="291"/>
      <c r="BY193" s="291"/>
      <c r="BZ193" s="291"/>
      <c r="CA193" s="291"/>
      <c r="CB193" s="291"/>
      <c r="CC193" s="291"/>
      <c r="CD193" s="291"/>
      <c r="CE193" s="291"/>
      <c r="CF193" s="291"/>
      <c r="CG193" s="291"/>
      <c r="CH193" s="291"/>
      <c r="CI193" s="291"/>
      <c r="CJ193" s="291"/>
      <c r="CK193" s="291"/>
      <c r="CL193" s="291"/>
      <c r="CM193" s="291"/>
      <c r="CN193" s="291"/>
      <c r="CO193" s="291"/>
      <c r="CP193" s="291"/>
      <c r="CQ193" s="291"/>
      <c r="CR193" s="291"/>
      <c r="CS193" s="291"/>
      <c r="CT193" s="291"/>
      <c r="CU193" s="291"/>
      <c r="CV193" s="291"/>
      <c r="CW193" s="291"/>
      <c r="CX193" s="291"/>
      <c r="CY193" s="291"/>
      <c r="CZ193" s="291"/>
      <c r="DA193" s="291"/>
      <c r="DB193" s="291"/>
      <c r="DC193" s="291"/>
      <c r="DD193" s="291"/>
      <c r="DE193" s="291"/>
      <c r="DF193" s="291"/>
      <c r="DG193" s="291"/>
      <c r="DH193" s="291"/>
      <c r="DI193" s="291"/>
      <c r="DJ193" s="291"/>
      <c r="DK193" s="291"/>
      <c r="DL193" s="291"/>
      <c r="DM193" s="291"/>
      <c r="DN193" s="291"/>
      <c r="DO193" s="291"/>
      <c r="DP193" s="291"/>
      <c r="DQ193" s="291"/>
      <c r="DR193" s="291"/>
      <c r="DS193" s="291"/>
      <c r="DT193" s="291"/>
      <c r="DU193" s="291"/>
      <c r="DV193" s="291"/>
      <c r="DW193" s="291"/>
      <c r="DX193" s="291"/>
      <c r="DY193" s="291"/>
      <c r="DZ193" s="291"/>
      <c r="EA193" s="291"/>
      <c r="EB193" s="291"/>
      <c r="EC193" s="291"/>
      <c r="ED193" s="291"/>
      <c r="EE193" s="291"/>
      <c r="EF193" s="291"/>
      <c r="EG193" s="291"/>
      <c r="EH193" s="291"/>
      <c r="EI193" s="291"/>
      <c r="EJ193" s="291"/>
      <c r="EK193" s="291"/>
      <c r="EL193" s="291"/>
      <c r="EM193" s="291"/>
      <c r="EN193" s="291"/>
      <c r="EO193" s="291"/>
      <c r="EP193" s="291"/>
      <c r="EQ193" s="291"/>
      <c r="ER193" s="291"/>
      <c r="ES193" s="291"/>
      <c r="ET193" s="291"/>
      <c r="EU193" s="291"/>
      <c r="EV193" s="291"/>
      <c r="EW193" s="291"/>
      <c r="EX193" s="291"/>
      <c r="EY193" s="291"/>
      <c r="EZ193" s="291"/>
      <c r="FA193" s="291"/>
      <c r="FB193" s="291"/>
      <c r="FC193" s="291"/>
      <c r="FD193" s="291"/>
      <c r="FE193" s="291"/>
      <c r="FF193" s="291"/>
      <c r="FG193" s="291"/>
      <c r="FH193" s="291"/>
      <c r="FI193" s="291"/>
      <c r="FJ193" s="291"/>
      <c r="FK193" s="291"/>
      <c r="FL193" s="291"/>
      <c r="FM193" s="291"/>
      <c r="FN193" s="291"/>
      <c r="FO193" s="291"/>
      <c r="FP193" s="291"/>
      <c r="FQ193" s="291"/>
      <c r="FR193" s="291"/>
      <c r="FS193" s="291"/>
      <c r="FT193" s="291"/>
      <c r="FU193" s="291"/>
      <c r="FV193" s="291"/>
      <c r="FW193" s="291"/>
      <c r="FX193" s="291"/>
      <c r="FY193" s="291"/>
      <c r="FZ193" s="291"/>
      <c r="GA193" s="291"/>
      <c r="GB193" s="291"/>
      <c r="GC193" s="291"/>
      <c r="GD193" s="291"/>
      <c r="GE193" s="291"/>
      <c r="GF193" s="291"/>
      <c r="GG193" s="291"/>
      <c r="GH193" s="291"/>
      <c r="GI193" s="291"/>
      <c r="GJ193" s="291"/>
      <c r="GK193" s="291"/>
      <c r="GL193" s="291"/>
      <c r="GM193" s="291"/>
      <c r="GN193" s="291"/>
      <c r="GO193" s="291"/>
      <c r="GP193" s="291"/>
      <c r="GQ193" s="291"/>
      <c r="GR193" s="291"/>
      <c r="GS193" s="291"/>
      <c r="GT193" s="291"/>
      <c r="GU193" s="291"/>
      <c r="GV193" s="291"/>
      <c r="GW193" s="291"/>
      <c r="GX193" s="291"/>
      <c r="GY193" s="291"/>
      <c r="GZ193" s="291"/>
      <c r="HA193" s="291"/>
      <c r="HB193" s="291"/>
      <c r="HC193" s="291"/>
      <c r="HD193" s="291"/>
      <c r="HE193" s="291"/>
      <c r="HF193" s="291"/>
      <c r="HG193" s="291"/>
      <c r="HH193" s="291"/>
      <c r="HI193" s="291"/>
      <c r="HJ193" s="291"/>
      <c r="HK193" s="291"/>
      <c r="HL193" s="291"/>
      <c r="HM193" s="291"/>
      <c r="HN193" s="291"/>
      <c r="HO193" s="291"/>
      <c r="HP193" s="291"/>
      <c r="HQ193" s="291"/>
      <c r="HR193" s="291"/>
      <c r="HS193" s="291"/>
      <c r="HT193" s="291"/>
      <c r="HU193" s="291"/>
      <c r="HV193" s="291"/>
      <c r="HW193" s="291"/>
      <c r="HX193" s="291"/>
      <c r="HY193" s="291"/>
      <c r="HZ193" s="291"/>
      <c r="IA193" s="291"/>
      <c r="IB193" s="291"/>
      <c r="IC193" s="291"/>
      <c r="ID193" s="291"/>
      <c r="IE193" s="291"/>
      <c r="IF193" s="291"/>
      <c r="IG193" s="291"/>
      <c r="IH193" s="291"/>
      <c r="II193" s="291"/>
      <c r="IJ193" s="291"/>
      <c r="IK193" s="291"/>
      <c r="IL193" s="291"/>
      <c r="IM193" s="291"/>
      <c r="IN193" s="291"/>
      <c r="IO193" s="291"/>
      <c r="IP193" s="291"/>
      <c r="IQ193" s="291"/>
      <c r="IR193" s="291"/>
      <c r="IS193" s="291"/>
      <c r="IT193" s="291"/>
      <c r="IU193" s="291"/>
      <c r="IV193" s="291"/>
      <c r="IW193" s="291"/>
    </row>
    <row r="194" customFormat="false" ht="12.75" hidden="false" customHeight="false" outlineLevel="1" collapsed="false">
      <c r="A194" s="2" t="s">
        <v>655</v>
      </c>
      <c r="B194" s="2" t="s">
        <v>413</v>
      </c>
      <c r="C194" s="2" t="s">
        <v>574</v>
      </c>
      <c r="D194" s="2" t="s">
        <v>368</v>
      </c>
      <c r="E194" s="310" t="s">
        <v>368</v>
      </c>
      <c r="F194" s="311"/>
      <c r="G194" s="312"/>
      <c r="H194" s="313"/>
      <c r="I194" s="289"/>
      <c r="J194" s="288"/>
      <c r="K194" s="288"/>
      <c r="L194" s="291"/>
      <c r="M194" s="291"/>
      <c r="N194" s="291"/>
      <c r="O194" s="291"/>
      <c r="P194" s="291"/>
      <c r="Q194" s="291"/>
      <c r="R194" s="291"/>
      <c r="S194" s="291"/>
      <c r="T194" s="291"/>
      <c r="U194" s="291"/>
      <c r="V194" s="291"/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1"/>
      <c r="AZ194" s="291"/>
      <c r="BA194" s="291"/>
      <c r="BB194" s="291"/>
      <c r="BC194" s="291"/>
      <c r="BD194" s="291"/>
      <c r="BE194" s="291"/>
      <c r="BF194" s="291"/>
      <c r="BG194" s="291"/>
      <c r="BH194" s="291"/>
      <c r="BI194" s="291"/>
      <c r="BJ194" s="291"/>
      <c r="BK194" s="291"/>
      <c r="BL194" s="291"/>
      <c r="BM194" s="291"/>
      <c r="BN194" s="291"/>
      <c r="BO194" s="291"/>
      <c r="BP194" s="291"/>
      <c r="BQ194" s="291"/>
      <c r="BR194" s="291"/>
      <c r="BS194" s="291"/>
      <c r="BT194" s="291"/>
      <c r="BU194" s="291"/>
      <c r="BV194" s="291"/>
      <c r="BW194" s="291"/>
      <c r="BX194" s="291"/>
      <c r="BY194" s="291"/>
      <c r="BZ194" s="291"/>
      <c r="CA194" s="291"/>
      <c r="CB194" s="291"/>
      <c r="CC194" s="291"/>
      <c r="CD194" s="291"/>
      <c r="CE194" s="291"/>
      <c r="CF194" s="291"/>
      <c r="CG194" s="291"/>
      <c r="CH194" s="291"/>
      <c r="CI194" s="291"/>
      <c r="CJ194" s="291"/>
      <c r="CK194" s="291"/>
      <c r="CL194" s="291"/>
      <c r="CM194" s="291"/>
      <c r="CN194" s="291"/>
      <c r="CO194" s="291"/>
      <c r="CP194" s="291"/>
      <c r="CQ194" s="291"/>
      <c r="CR194" s="291"/>
      <c r="CS194" s="291"/>
      <c r="CT194" s="291"/>
      <c r="CU194" s="291"/>
      <c r="CV194" s="291"/>
      <c r="CW194" s="291"/>
      <c r="CX194" s="291"/>
      <c r="CY194" s="291"/>
      <c r="CZ194" s="291"/>
      <c r="DA194" s="291"/>
      <c r="DB194" s="291"/>
      <c r="DC194" s="291"/>
      <c r="DD194" s="291"/>
      <c r="DE194" s="291"/>
      <c r="DF194" s="291"/>
      <c r="DG194" s="291"/>
      <c r="DH194" s="291"/>
      <c r="DI194" s="291"/>
      <c r="DJ194" s="291"/>
      <c r="DK194" s="291"/>
      <c r="DL194" s="291"/>
      <c r="DM194" s="291"/>
      <c r="DN194" s="291"/>
      <c r="DO194" s="291"/>
      <c r="DP194" s="291"/>
      <c r="DQ194" s="291"/>
      <c r="DR194" s="291"/>
      <c r="DS194" s="291"/>
      <c r="DT194" s="291"/>
      <c r="DU194" s="291"/>
      <c r="DV194" s="291"/>
      <c r="DW194" s="291"/>
      <c r="DX194" s="291"/>
      <c r="DY194" s="291"/>
      <c r="DZ194" s="291"/>
      <c r="EA194" s="291"/>
      <c r="EB194" s="291"/>
      <c r="EC194" s="291"/>
      <c r="ED194" s="291"/>
      <c r="EE194" s="291"/>
      <c r="EF194" s="291"/>
      <c r="EG194" s="291"/>
      <c r="EH194" s="291"/>
      <c r="EI194" s="291"/>
      <c r="EJ194" s="291"/>
      <c r="EK194" s="291"/>
      <c r="EL194" s="291"/>
      <c r="EM194" s="291"/>
      <c r="EN194" s="291"/>
      <c r="EO194" s="291"/>
      <c r="EP194" s="291"/>
      <c r="EQ194" s="291"/>
      <c r="ER194" s="291"/>
      <c r="ES194" s="291"/>
      <c r="ET194" s="291"/>
      <c r="EU194" s="291"/>
      <c r="EV194" s="291"/>
      <c r="EW194" s="291"/>
      <c r="EX194" s="291"/>
      <c r="EY194" s="291"/>
      <c r="EZ194" s="291"/>
      <c r="FA194" s="291"/>
      <c r="FB194" s="291"/>
      <c r="FC194" s="291"/>
      <c r="FD194" s="291"/>
      <c r="FE194" s="291"/>
      <c r="FF194" s="291"/>
      <c r="FG194" s="291"/>
      <c r="FH194" s="291"/>
      <c r="FI194" s="291"/>
      <c r="FJ194" s="291"/>
      <c r="FK194" s="291"/>
      <c r="FL194" s="291"/>
      <c r="FM194" s="291"/>
      <c r="FN194" s="291"/>
      <c r="FO194" s="291"/>
      <c r="FP194" s="291"/>
      <c r="FQ194" s="291"/>
      <c r="FR194" s="291"/>
      <c r="FS194" s="291"/>
      <c r="FT194" s="291"/>
      <c r="FU194" s="291"/>
      <c r="FV194" s="291"/>
      <c r="FW194" s="291"/>
      <c r="FX194" s="291"/>
      <c r="FY194" s="291"/>
      <c r="FZ194" s="291"/>
      <c r="GA194" s="291"/>
      <c r="GB194" s="291"/>
      <c r="GC194" s="291"/>
      <c r="GD194" s="291"/>
      <c r="GE194" s="291"/>
      <c r="GF194" s="291"/>
      <c r="GG194" s="291"/>
      <c r="GH194" s="291"/>
      <c r="GI194" s="291"/>
      <c r="GJ194" s="291"/>
      <c r="GK194" s="291"/>
      <c r="GL194" s="291"/>
      <c r="GM194" s="291"/>
      <c r="GN194" s="291"/>
      <c r="GO194" s="291"/>
      <c r="GP194" s="291"/>
      <c r="GQ194" s="291"/>
      <c r="GR194" s="291"/>
      <c r="GS194" s="291"/>
      <c r="GT194" s="291"/>
      <c r="GU194" s="291"/>
      <c r="GV194" s="291"/>
      <c r="GW194" s="291"/>
      <c r="GX194" s="291"/>
      <c r="GY194" s="291"/>
      <c r="GZ194" s="291"/>
      <c r="HA194" s="291"/>
      <c r="HB194" s="291"/>
      <c r="HC194" s="291"/>
      <c r="HD194" s="291"/>
      <c r="HE194" s="291"/>
      <c r="HF194" s="291"/>
      <c r="HG194" s="291"/>
      <c r="HH194" s="291"/>
      <c r="HI194" s="291"/>
      <c r="HJ194" s="291"/>
      <c r="HK194" s="291"/>
      <c r="HL194" s="291"/>
      <c r="HM194" s="291"/>
      <c r="HN194" s="291"/>
      <c r="HO194" s="291"/>
      <c r="HP194" s="291"/>
      <c r="HQ194" s="291"/>
      <c r="HR194" s="291"/>
      <c r="HS194" s="291"/>
      <c r="HT194" s="291"/>
      <c r="HU194" s="291"/>
      <c r="HV194" s="291"/>
      <c r="HW194" s="291"/>
      <c r="HX194" s="291"/>
      <c r="HY194" s="291"/>
      <c r="HZ194" s="291"/>
      <c r="IA194" s="291"/>
      <c r="IB194" s="291"/>
      <c r="IC194" s="291"/>
      <c r="ID194" s="291"/>
      <c r="IE194" s="291"/>
      <c r="IF194" s="291"/>
      <c r="IG194" s="291"/>
      <c r="IH194" s="291"/>
      <c r="II194" s="291"/>
      <c r="IJ194" s="291"/>
      <c r="IK194" s="291"/>
      <c r="IL194" s="291"/>
      <c r="IM194" s="291"/>
      <c r="IN194" s="291"/>
      <c r="IO194" s="291"/>
      <c r="IP194" s="291"/>
      <c r="IQ194" s="291"/>
      <c r="IR194" s="291"/>
      <c r="IS194" s="291"/>
      <c r="IT194" s="291"/>
      <c r="IU194" s="291"/>
      <c r="IV194" s="291"/>
      <c r="IW194" s="291"/>
    </row>
    <row r="195" customFormat="false" ht="12.75" hidden="false" customHeight="false" outlineLevel="2" collapsed="false">
      <c r="A195" s="2" t="str">
        <f aca="false">B195&amp;C195&amp;D195</f>
        <v>O&amp;M Mobilization BudgetProcurement ExpensesVehicles &amp; Mobile Equipment</v>
      </c>
      <c r="B195" s="2" t="s">
        <v>413</v>
      </c>
      <c r="C195" s="2" t="s">
        <v>574</v>
      </c>
      <c r="D195" s="2" t="s">
        <v>368</v>
      </c>
      <c r="E195" s="292" t="s">
        <v>656</v>
      </c>
      <c r="F195" s="78"/>
      <c r="G195" s="78" t="s">
        <v>657</v>
      </c>
      <c r="H195" s="293"/>
      <c r="I195" s="314" t="n">
        <v>1</v>
      </c>
      <c r="J195" s="295" t="n">
        <f aca="false">I195*H195</f>
        <v>0</v>
      </c>
      <c r="K195" s="295" t="n">
        <f aca="false">H195-J195</f>
        <v>0</v>
      </c>
      <c r="M195" s="2"/>
      <c r="N195" s="2"/>
    </row>
    <row r="196" customFormat="false" ht="12.75" hidden="false" customHeight="false" outlineLevel="2" collapsed="false">
      <c r="A196" s="2" t="str">
        <f aca="false">B196&amp;C196&amp;D196</f>
        <v>O&amp;M Mobilization BudgetProcurement ExpensesVehicles &amp; Mobile Equipment</v>
      </c>
      <c r="B196" s="2" t="s">
        <v>413</v>
      </c>
      <c r="C196" s="2" t="s">
        <v>574</v>
      </c>
      <c r="D196" s="2" t="s">
        <v>368</v>
      </c>
      <c r="E196" s="292" t="s">
        <v>658</v>
      </c>
      <c r="F196" s="78" t="s">
        <v>659</v>
      </c>
      <c r="G196" s="78" t="s">
        <v>660</v>
      </c>
      <c r="H196" s="293" t="n">
        <f aca="false">2000+6*700</f>
        <v>6200</v>
      </c>
      <c r="I196" s="314" t="n">
        <v>1</v>
      </c>
      <c r="J196" s="295" t="n">
        <f aca="false">I196*H196</f>
        <v>6200</v>
      </c>
      <c r="K196" s="295" t="n">
        <f aca="false">H196-J196</f>
        <v>0</v>
      </c>
      <c r="M196" s="2"/>
      <c r="N196" s="2"/>
    </row>
    <row r="197" customFormat="false" ht="12.75" hidden="false" customHeight="false" outlineLevel="2" collapsed="false">
      <c r="E197" s="292" t="s">
        <v>661</v>
      </c>
      <c r="F197" s="78"/>
      <c r="G197" s="78" t="s">
        <v>662</v>
      </c>
      <c r="H197" s="293"/>
      <c r="I197" s="314" t="n">
        <v>1</v>
      </c>
      <c r="J197" s="295" t="n">
        <f aca="false">I197*H197</f>
        <v>0</v>
      </c>
      <c r="K197" s="295" t="n">
        <f aca="false">H197-J197</f>
        <v>0</v>
      </c>
      <c r="M197" s="2"/>
      <c r="N197" s="2"/>
    </row>
    <row r="198" customFormat="false" ht="12.75" hidden="false" customHeight="false" outlineLevel="2" collapsed="false">
      <c r="A198" s="2" t="str">
        <f aca="false">B198&amp;C198&amp;D198</f>
        <v>O&amp;M Mobilization BudgetProcurement ExpensesVehicles &amp; Mobile Equipment</v>
      </c>
      <c r="B198" s="2" t="s">
        <v>413</v>
      </c>
      <c r="C198" s="2" t="s">
        <v>574</v>
      </c>
      <c r="D198" s="2" t="s">
        <v>368</v>
      </c>
      <c r="E198" s="292" t="s">
        <v>663</v>
      </c>
      <c r="F198" s="78"/>
      <c r="G198" s="78" t="s">
        <v>664</v>
      </c>
      <c r="H198" s="293"/>
      <c r="I198" s="314" t="n">
        <v>1</v>
      </c>
      <c r="J198" s="295" t="n">
        <f aca="false">I198*H198</f>
        <v>0</v>
      </c>
      <c r="K198" s="295" t="n">
        <f aca="false">H198-J198</f>
        <v>0</v>
      </c>
      <c r="M198" s="2"/>
      <c r="N198" s="2"/>
    </row>
    <row r="199" customFormat="false" ht="12.75" hidden="false" customHeight="false" outlineLevel="2" collapsed="false">
      <c r="E199" s="292" t="s">
        <v>665</v>
      </c>
      <c r="F199" s="78" t="s">
        <v>666</v>
      </c>
      <c r="G199" s="78" t="s">
        <v>667</v>
      </c>
      <c r="H199" s="293" t="n">
        <f aca="false">1000+500*4</f>
        <v>3000</v>
      </c>
      <c r="I199" s="314" t="n">
        <v>1</v>
      </c>
      <c r="J199" s="295" t="n">
        <f aca="false">I199*H199</f>
        <v>3000</v>
      </c>
      <c r="K199" s="295" t="n">
        <f aca="false">H199-J199</f>
        <v>0</v>
      </c>
      <c r="M199" s="2"/>
      <c r="N199" s="2"/>
    </row>
    <row r="200" customFormat="false" ht="12.75" hidden="false" customHeight="false" outlineLevel="2" collapsed="false">
      <c r="E200" s="292" t="s">
        <v>668</v>
      </c>
      <c r="F200" s="78"/>
      <c r="G200" s="78" t="s">
        <v>669</v>
      </c>
      <c r="H200" s="293"/>
      <c r="I200" s="314" t="n">
        <v>1</v>
      </c>
      <c r="J200" s="295" t="n">
        <f aca="false">I200*H200</f>
        <v>0</v>
      </c>
      <c r="K200" s="295" t="n">
        <f aca="false">H200-J200</f>
        <v>0</v>
      </c>
      <c r="M200" s="2"/>
      <c r="N200" s="2"/>
    </row>
    <row r="201" customFormat="false" ht="12.75" hidden="false" customHeight="false" outlineLevel="2" collapsed="false">
      <c r="A201" s="2" t="str">
        <f aca="false">B201&amp;C201&amp;D201</f>
        <v>O&amp;M Mobilization BudgetProcurement ExpensesVehicles &amp; Mobile Equipment</v>
      </c>
      <c r="B201" s="2" t="s">
        <v>413</v>
      </c>
      <c r="C201" s="2" t="s">
        <v>574</v>
      </c>
      <c r="D201" s="2" t="s">
        <v>368</v>
      </c>
      <c r="E201" s="292" t="s">
        <v>670</v>
      </c>
      <c r="F201" s="78"/>
      <c r="G201" s="78" t="s">
        <v>671</v>
      </c>
      <c r="H201" s="293" t="n">
        <v>0</v>
      </c>
      <c r="I201" s="314" t="n">
        <v>1</v>
      </c>
      <c r="J201" s="295" t="n">
        <f aca="false">I201*H201</f>
        <v>0</v>
      </c>
      <c r="K201" s="295" t="n">
        <f aca="false">H201-J201</f>
        <v>0</v>
      </c>
      <c r="M201" s="2"/>
      <c r="N201" s="2"/>
    </row>
    <row r="202" customFormat="false" ht="12.75" hidden="false" customHeight="false" outlineLevel="2" collapsed="false">
      <c r="E202" s="292" t="s">
        <v>672</v>
      </c>
      <c r="F202" s="78" t="s">
        <v>673</v>
      </c>
      <c r="G202" s="78" t="s">
        <v>674</v>
      </c>
      <c r="H202" s="293" t="n">
        <v>1000</v>
      </c>
      <c r="I202" s="314" t="n">
        <v>1</v>
      </c>
      <c r="J202" s="295" t="n">
        <f aca="false">I202*H202</f>
        <v>1000</v>
      </c>
      <c r="K202" s="295" t="n">
        <f aca="false">H202-J202</f>
        <v>0</v>
      </c>
      <c r="M202" s="2"/>
      <c r="N202" s="2"/>
    </row>
    <row r="203" customFormat="false" ht="12.75" hidden="false" customHeight="false" outlineLevel="2" collapsed="false">
      <c r="E203" s="292" t="s">
        <v>675</v>
      </c>
      <c r="F203" s="78"/>
      <c r="G203" s="78"/>
      <c r="H203" s="293" t="n">
        <v>0</v>
      </c>
      <c r="I203" s="314" t="n">
        <v>1</v>
      </c>
      <c r="J203" s="295" t="n">
        <f aca="false">I203*H203</f>
        <v>0</v>
      </c>
      <c r="K203" s="295" t="n">
        <f aca="false">H203-J203</f>
        <v>0</v>
      </c>
      <c r="M203" s="2"/>
      <c r="N203" s="2"/>
    </row>
    <row r="204" customFormat="false" ht="12.75" hidden="false" customHeight="false" outlineLevel="2" collapsed="false">
      <c r="E204" s="292" t="s">
        <v>676</v>
      </c>
      <c r="F204" s="78"/>
      <c r="G204" s="78" t="s">
        <v>677</v>
      </c>
      <c r="H204" s="293"/>
      <c r="I204" s="314" t="n">
        <v>1</v>
      </c>
      <c r="J204" s="295" t="n">
        <f aca="false">I204*H204</f>
        <v>0</v>
      </c>
      <c r="K204" s="295" t="n">
        <f aca="false">H204-J204</f>
        <v>0</v>
      </c>
      <c r="M204" s="2"/>
      <c r="N204" s="2"/>
    </row>
    <row r="205" customFormat="false" ht="12.75" hidden="false" customHeight="false" outlineLevel="2" collapsed="false">
      <c r="E205" s="292" t="s">
        <v>678</v>
      </c>
      <c r="F205" s="78"/>
      <c r="G205" s="78" t="s">
        <v>679</v>
      </c>
      <c r="H205" s="293"/>
      <c r="I205" s="314" t="n">
        <v>1</v>
      </c>
      <c r="J205" s="295" t="n">
        <f aca="false">I205*H205</f>
        <v>0</v>
      </c>
      <c r="K205" s="295" t="n">
        <f aca="false">H205-J205</f>
        <v>0</v>
      </c>
      <c r="M205" s="2"/>
      <c r="N205" s="2"/>
    </row>
    <row r="206" customFormat="false" ht="12.75" hidden="false" customHeight="false" outlineLevel="2" collapsed="false">
      <c r="E206" s="292" t="s">
        <v>680</v>
      </c>
      <c r="F206" s="78"/>
      <c r="G206" s="78" t="s">
        <v>681</v>
      </c>
      <c r="H206" s="293"/>
      <c r="I206" s="314" t="n">
        <v>1</v>
      </c>
      <c r="J206" s="295" t="n">
        <f aca="false">I206*H206</f>
        <v>0</v>
      </c>
      <c r="K206" s="295" t="n">
        <f aca="false">H206-J206</f>
        <v>0</v>
      </c>
      <c r="M206" s="2"/>
      <c r="N206" s="2"/>
    </row>
    <row r="207" customFormat="false" ht="12.75" hidden="false" customHeight="false" outlineLevel="2" collapsed="false">
      <c r="A207" s="2" t="str">
        <f aca="false">B207&amp;C207&amp;D207</f>
        <v>O&amp;M Mobilization BudgetProcurement ExpensesVehicles &amp; Mobile Equipment</v>
      </c>
      <c r="B207" s="2" t="s">
        <v>413</v>
      </c>
      <c r="C207" s="2" t="s">
        <v>574</v>
      </c>
      <c r="D207" s="2" t="s">
        <v>368</v>
      </c>
      <c r="E207" s="292" t="s">
        <v>682</v>
      </c>
      <c r="F207" s="78"/>
      <c r="G207" s="78" t="s">
        <v>683</v>
      </c>
      <c r="H207" s="293"/>
      <c r="I207" s="314" t="n">
        <v>1</v>
      </c>
      <c r="J207" s="295" t="n">
        <f aca="false">I207*H207</f>
        <v>0</v>
      </c>
      <c r="K207" s="295" t="n">
        <f aca="false">H207-J207</f>
        <v>0</v>
      </c>
      <c r="M207" s="2"/>
      <c r="N207" s="2"/>
    </row>
    <row r="208" customFormat="false" ht="12.75" hidden="false" customHeight="false" outlineLevel="2" collapsed="false">
      <c r="E208" s="292" t="s">
        <v>684</v>
      </c>
      <c r="F208" s="78"/>
      <c r="G208" s="78" t="s">
        <v>685</v>
      </c>
      <c r="H208" s="293" t="n">
        <v>0</v>
      </c>
      <c r="I208" s="314" t="n">
        <v>1</v>
      </c>
      <c r="J208" s="295" t="n">
        <f aca="false">I208*H208</f>
        <v>0</v>
      </c>
      <c r="K208" s="295" t="n">
        <f aca="false">H208-J208</f>
        <v>0</v>
      </c>
      <c r="M208" s="2"/>
      <c r="N208" s="2"/>
    </row>
    <row r="209" customFormat="false" ht="12.75" hidden="false" customHeight="false" outlineLevel="2" collapsed="false">
      <c r="E209" s="292" t="s">
        <v>686</v>
      </c>
      <c r="F209" s="78"/>
      <c r="G209" s="78" t="s">
        <v>687</v>
      </c>
      <c r="H209" s="293" t="n">
        <v>0</v>
      </c>
      <c r="I209" s="314" t="n">
        <v>1</v>
      </c>
      <c r="J209" s="295" t="n">
        <f aca="false">I209*H209</f>
        <v>0</v>
      </c>
      <c r="K209" s="295" t="n">
        <f aca="false">H209-J209</f>
        <v>0</v>
      </c>
      <c r="M209" s="2"/>
      <c r="N209" s="2"/>
    </row>
    <row r="210" customFormat="false" ht="12.75" hidden="false" customHeight="false" outlineLevel="2" collapsed="false">
      <c r="E210" s="292" t="s">
        <v>688</v>
      </c>
      <c r="F210" s="78"/>
      <c r="G210" s="78"/>
      <c r="H210" s="293" t="n">
        <v>2500</v>
      </c>
      <c r="I210" s="314" t="n">
        <v>1</v>
      </c>
      <c r="J210" s="295" t="n">
        <f aca="false">I210*H210</f>
        <v>2500</v>
      </c>
      <c r="K210" s="295" t="n">
        <f aca="false">H210-J210</f>
        <v>0</v>
      </c>
      <c r="M210" s="2"/>
      <c r="N210" s="2"/>
    </row>
    <row r="211" customFormat="false" ht="12.75" hidden="false" customHeight="false" outlineLevel="2" collapsed="false">
      <c r="E211" s="292" t="s">
        <v>559</v>
      </c>
      <c r="F211" s="78" t="s">
        <v>634</v>
      </c>
      <c r="G211" s="78"/>
      <c r="H211" s="293" t="n">
        <f aca="false">0.05*SUM(H195:H208)</f>
        <v>510</v>
      </c>
      <c r="I211" s="314" t="n">
        <v>1</v>
      </c>
      <c r="J211" s="295" t="n">
        <f aca="false">I211*H211</f>
        <v>510</v>
      </c>
      <c r="K211" s="295"/>
      <c r="M211" s="2"/>
      <c r="N211" s="2"/>
    </row>
    <row r="212" customFormat="false" ht="12.75" hidden="false" customHeight="false" outlineLevel="2" collapsed="false">
      <c r="E212" s="292"/>
      <c r="F212" s="78"/>
      <c r="G212" s="78"/>
      <c r="H212" s="293"/>
      <c r="I212" s="324"/>
      <c r="J212" s="295"/>
      <c r="K212" s="295"/>
      <c r="M212" s="2"/>
      <c r="N212" s="2"/>
    </row>
    <row r="213" customFormat="false" ht="12.75" hidden="false" customHeight="false" outlineLevel="1" collapsed="false">
      <c r="A213" s="291" t="s">
        <v>689</v>
      </c>
      <c r="B213" s="291" t="s">
        <v>413</v>
      </c>
      <c r="C213" s="291" t="s">
        <v>574</v>
      </c>
      <c r="D213" s="291" t="s">
        <v>368</v>
      </c>
      <c r="E213" s="292" t="s">
        <v>690</v>
      </c>
      <c r="F213" s="78"/>
      <c r="G213" s="297" t="s">
        <v>431</v>
      </c>
      <c r="H213" s="298" t="n">
        <f aca="false">SUBTOTAL(9,H195:H211)</f>
        <v>13210</v>
      </c>
      <c r="I213" s="299"/>
      <c r="J213" s="298" t="n">
        <f aca="false">SUBTOTAL(9,J195:J211)</f>
        <v>13210</v>
      </c>
      <c r="K213" s="298" t="n">
        <f aca="false">SUBTOTAL(9,K195:K211)</f>
        <v>0</v>
      </c>
      <c r="L213" s="291"/>
      <c r="M213" s="291"/>
      <c r="N213" s="291"/>
      <c r="O213" s="291"/>
      <c r="P213" s="291"/>
      <c r="Q213" s="291"/>
      <c r="R213" s="291"/>
      <c r="S213" s="291"/>
      <c r="T213" s="291"/>
      <c r="U213" s="291"/>
      <c r="V213" s="291"/>
      <c r="W213" s="291"/>
      <c r="X213" s="291"/>
      <c r="Y213" s="291"/>
      <c r="Z213" s="291"/>
      <c r="AA213" s="291"/>
      <c r="AB213" s="291"/>
      <c r="AC213" s="291"/>
      <c r="AD213" s="291"/>
      <c r="AE213" s="291"/>
      <c r="AF213" s="291"/>
      <c r="AG213" s="291"/>
      <c r="AH213" s="291"/>
      <c r="AI213" s="291"/>
      <c r="AJ213" s="291"/>
      <c r="AK213" s="291"/>
      <c r="AL213" s="291"/>
      <c r="AM213" s="291"/>
      <c r="AN213" s="291"/>
      <c r="AO213" s="291"/>
      <c r="AP213" s="291"/>
      <c r="AQ213" s="291"/>
      <c r="AR213" s="291"/>
      <c r="AS213" s="291"/>
      <c r="AT213" s="291"/>
      <c r="AU213" s="291"/>
      <c r="AV213" s="291"/>
      <c r="AW213" s="291"/>
      <c r="AX213" s="291"/>
      <c r="AY213" s="291"/>
      <c r="AZ213" s="291"/>
      <c r="BA213" s="291"/>
      <c r="BB213" s="291"/>
      <c r="BC213" s="291"/>
      <c r="BD213" s="291"/>
      <c r="BE213" s="291"/>
      <c r="BF213" s="291"/>
      <c r="BG213" s="291"/>
      <c r="BH213" s="291"/>
      <c r="BI213" s="291"/>
      <c r="BJ213" s="291"/>
      <c r="BK213" s="291"/>
      <c r="BL213" s="291"/>
      <c r="BM213" s="291"/>
      <c r="BN213" s="291"/>
      <c r="BO213" s="291"/>
      <c r="BP213" s="291"/>
      <c r="BQ213" s="291"/>
      <c r="BR213" s="291"/>
      <c r="BS213" s="291"/>
      <c r="BT213" s="291"/>
      <c r="BU213" s="291"/>
      <c r="BV213" s="291"/>
      <c r="BW213" s="291"/>
      <c r="BX213" s="291"/>
      <c r="BY213" s="291"/>
      <c r="BZ213" s="291"/>
      <c r="CA213" s="291"/>
      <c r="CB213" s="291"/>
      <c r="CC213" s="291"/>
      <c r="CD213" s="291"/>
      <c r="CE213" s="291"/>
      <c r="CF213" s="291"/>
      <c r="CG213" s="291"/>
      <c r="CH213" s="291"/>
      <c r="CI213" s="291"/>
      <c r="CJ213" s="291"/>
      <c r="CK213" s="291"/>
      <c r="CL213" s="291"/>
      <c r="CM213" s="291"/>
      <c r="CN213" s="291"/>
      <c r="CO213" s="291"/>
      <c r="CP213" s="291"/>
      <c r="CQ213" s="291"/>
      <c r="CR213" s="291"/>
      <c r="CS213" s="291"/>
      <c r="CT213" s="291"/>
      <c r="CU213" s="291"/>
      <c r="CV213" s="291"/>
      <c r="CW213" s="291"/>
      <c r="CX213" s="291"/>
      <c r="CY213" s="291"/>
      <c r="CZ213" s="291"/>
      <c r="DA213" s="291"/>
      <c r="DB213" s="291"/>
      <c r="DC213" s="291"/>
      <c r="DD213" s="291"/>
      <c r="DE213" s="291"/>
      <c r="DF213" s="291"/>
      <c r="DG213" s="291"/>
      <c r="DH213" s="291"/>
      <c r="DI213" s="291"/>
      <c r="DJ213" s="291"/>
      <c r="DK213" s="291"/>
      <c r="DL213" s="291"/>
      <c r="DM213" s="291"/>
      <c r="DN213" s="291"/>
      <c r="DO213" s="291"/>
      <c r="DP213" s="291"/>
      <c r="DQ213" s="291"/>
      <c r="DR213" s="291"/>
      <c r="DS213" s="291"/>
      <c r="DT213" s="291"/>
      <c r="DU213" s="291"/>
      <c r="DV213" s="291"/>
      <c r="DW213" s="291"/>
      <c r="DX213" s="291"/>
      <c r="DY213" s="291"/>
      <c r="DZ213" s="291"/>
      <c r="EA213" s="291"/>
      <c r="EB213" s="291"/>
      <c r="EC213" s="291"/>
      <c r="ED213" s="291"/>
      <c r="EE213" s="291"/>
      <c r="EF213" s="291"/>
      <c r="EG213" s="291"/>
      <c r="EH213" s="291"/>
      <c r="EI213" s="291"/>
      <c r="EJ213" s="291"/>
      <c r="EK213" s="291"/>
      <c r="EL213" s="291"/>
      <c r="EM213" s="291"/>
      <c r="EN213" s="291"/>
      <c r="EO213" s="291"/>
      <c r="EP213" s="291"/>
      <c r="EQ213" s="291"/>
      <c r="ER213" s="291"/>
      <c r="ES213" s="291"/>
      <c r="ET213" s="291"/>
      <c r="EU213" s="291"/>
      <c r="EV213" s="291"/>
      <c r="EW213" s="291"/>
      <c r="EX213" s="291"/>
      <c r="EY213" s="291"/>
      <c r="EZ213" s="291"/>
      <c r="FA213" s="291"/>
      <c r="FB213" s="291"/>
      <c r="FC213" s="291"/>
      <c r="FD213" s="291"/>
      <c r="FE213" s="291"/>
      <c r="FF213" s="291"/>
      <c r="FG213" s="291"/>
      <c r="FH213" s="291"/>
      <c r="FI213" s="291"/>
      <c r="FJ213" s="291"/>
      <c r="FK213" s="291"/>
      <c r="FL213" s="291"/>
      <c r="FM213" s="291"/>
      <c r="FN213" s="291"/>
      <c r="FO213" s="291"/>
      <c r="FP213" s="291"/>
      <c r="FQ213" s="291"/>
      <c r="FR213" s="291"/>
      <c r="FS213" s="291"/>
      <c r="FT213" s="291"/>
      <c r="FU213" s="291"/>
      <c r="FV213" s="291"/>
      <c r="FW213" s="291"/>
      <c r="FX213" s="291"/>
      <c r="FY213" s="291"/>
      <c r="FZ213" s="291"/>
      <c r="GA213" s="291"/>
      <c r="GB213" s="291"/>
      <c r="GC213" s="291"/>
      <c r="GD213" s="291"/>
      <c r="GE213" s="291"/>
      <c r="GF213" s="291"/>
      <c r="GG213" s="291"/>
      <c r="GH213" s="291"/>
      <c r="GI213" s="291"/>
      <c r="GJ213" s="291"/>
      <c r="GK213" s="291"/>
      <c r="GL213" s="291"/>
      <c r="GM213" s="291"/>
      <c r="GN213" s="291"/>
      <c r="GO213" s="291"/>
      <c r="GP213" s="291"/>
      <c r="GQ213" s="291"/>
      <c r="GR213" s="291"/>
      <c r="GS213" s="291"/>
      <c r="GT213" s="291"/>
      <c r="GU213" s="291"/>
      <c r="GV213" s="291"/>
      <c r="GW213" s="291"/>
      <c r="GX213" s="291"/>
      <c r="GY213" s="291"/>
      <c r="GZ213" s="291"/>
      <c r="HA213" s="291"/>
      <c r="HB213" s="291"/>
      <c r="HC213" s="291"/>
      <c r="HD213" s="291"/>
      <c r="HE213" s="291"/>
      <c r="HF213" s="291"/>
      <c r="HG213" s="291"/>
      <c r="HH213" s="291"/>
      <c r="HI213" s="291"/>
      <c r="HJ213" s="291"/>
      <c r="HK213" s="291"/>
      <c r="HL213" s="291"/>
      <c r="HM213" s="291"/>
      <c r="HN213" s="291"/>
      <c r="HO213" s="291"/>
      <c r="HP213" s="291"/>
      <c r="HQ213" s="291"/>
      <c r="HR213" s="291"/>
      <c r="HS213" s="291"/>
      <c r="HT213" s="291"/>
      <c r="HU213" s="291"/>
      <c r="HV213" s="291"/>
      <c r="HW213" s="291"/>
      <c r="HX213" s="291"/>
      <c r="HY213" s="291"/>
      <c r="HZ213" s="291"/>
      <c r="IA213" s="291"/>
      <c r="IB213" s="291"/>
      <c r="IC213" s="291"/>
      <c r="ID213" s="291"/>
      <c r="IE213" s="291"/>
      <c r="IF213" s="291"/>
      <c r="IG213" s="291"/>
      <c r="IH213" s="291"/>
      <c r="II213" s="291"/>
      <c r="IJ213" s="291"/>
      <c r="IK213" s="291"/>
      <c r="IL213" s="291"/>
      <c r="IM213" s="291"/>
      <c r="IN213" s="291"/>
      <c r="IO213" s="291"/>
      <c r="IP213" s="291"/>
      <c r="IQ213" s="291"/>
      <c r="IR213" s="291"/>
      <c r="IS213" s="291"/>
      <c r="IT213" s="291"/>
      <c r="IU213" s="291"/>
      <c r="IV213" s="291"/>
      <c r="IW213" s="291"/>
    </row>
    <row r="214" customFormat="false" ht="12.75" hidden="false" customHeight="false" outlineLevel="1" collapsed="false">
      <c r="A214" s="2" t="s">
        <v>691</v>
      </c>
      <c r="B214" s="2" t="s">
        <v>413</v>
      </c>
      <c r="C214" s="2" t="s">
        <v>574</v>
      </c>
      <c r="D214" s="2" t="s">
        <v>195</v>
      </c>
      <c r="E214" s="310" t="s">
        <v>195</v>
      </c>
      <c r="F214" s="311"/>
      <c r="G214" s="312"/>
      <c r="H214" s="313"/>
      <c r="I214" s="289"/>
      <c r="J214" s="288"/>
      <c r="K214" s="288"/>
      <c r="L214" s="291"/>
      <c r="M214" s="291"/>
      <c r="N214" s="291"/>
      <c r="O214" s="291"/>
      <c r="P214" s="291"/>
      <c r="Q214" s="291"/>
      <c r="R214" s="291"/>
      <c r="S214" s="291"/>
      <c r="T214" s="291"/>
      <c r="U214" s="291"/>
      <c r="V214" s="291"/>
      <c r="W214" s="291"/>
      <c r="X214" s="291"/>
      <c r="Y214" s="291"/>
      <c r="Z214" s="291"/>
      <c r="AA214" s="291"/>
      <c r="AB214" s="291"/>
      <c r="AC214" s="291"/>
      <c r="AD214" s="291"/>
      <c r="AE214" s="291"/>
      <c r="AF214" s="291"/>
      <c r="AG214" s="291"/>
      <c r="AH214" s="291"/>
      <c r="AI214" s="291"/>
      <c r="AJ214" s="291"/>
      <c r="AK214" s="291"/>
      <c r="AL214" s="291"/>
      <c r="AM214" s="291"/>
      <c r="AN214" s="291"/>
      <c r="AO214" s="291"/>
      <c r="AP214" s="291"/>
      <c r="AQ214" s="291"/>
      <c r="AR214" s="291"/>
      <c r="AS214" s="291"/>
      <c r="AT214" s="291"/>
      <c r="AU214" s="291"/>
      <c r="AV214" s="291"/>
      <c r="AW214" s="291"/>
      <c r="AX214" s="291"/>
      <c r="AY214" s="291"/>
      <c r="AZ214" s="291"/>
      <c r="BA214" s="291"/>
      <c r="BB214" s="291"/>
      <c r="BC214" s="291"/>
      <c r="BD214" s="291"/>
      <c r="BE214" s="291"/>
      <c r="BF214" s="291"/>
      <c r="BG214" s="291"/>
      <c r="BH214" s="291"/>
      <c r="BI214" s="291"/>
      <c r="BJ214" s="291"/>
      <c r="BK214" s="291"/>
      <c r="BL214" s="291"/>
      <c r="BM214" s="291"/>
      <c r="BN214" s="291"/>
      <c r="BO214" s="291"/>
      <c r="BP214" s="291"/>
      <c r="BQ214" s="291"/>
      <c r="BR214" s="291"/>
      <c r="BS214" s="291"/>
      <c r="BT214" s="291"/>
      <c r="BU214" s="291"/>
      <c r="BV214" s="291"/>
      <c r="BW214" s="291"/>
      <c r="BX214" s="291"/>
      <c r="BY214" s="291"/>
      <c r="BZ214" s="291"/>
      <c r="CA214" s="291"/>
      <c r="CB214" s="291"/>
      <c r="CC214" s="291"/>
      <c r="CD214" s="291"/>
      <c r="CE214" s="291"/>
      <c r="CF214" s="291"/>
      <c r="CG214" s="291"/>
      <c r="CH214" s="291"/>
      <c r="CI214" s="291"/>
      <c r="CJ214" s="291"/>
      <c r="CK214" s="291"/>
      <c r="CL214" s="291"/>
      <c r="CM214" s="291"/>
      <c r="CN214" s="291"/>
      <c r="CO214" s="291"/>
      <c r="CP214" s="291"/>
      <c r="CQ214" s="291"/>
      <c r="CR214" s="291"/>
      <c r="CS214" s="291"/>
      <c r="CT214" s="291"/>
      <c r="CU214" s="291"/>
      <c r="CV214" s="291"/>
      <c r="CW214" s="291"/>
      <c r="CX214" s="291"/>
      <c r="CY214" s="291"/>
      <c r="CZ214" s="291"/>
      <c r="DA214" s="291"/>
      <c r="DB214" s="291"/>
      <c r="DC214" s="291"/>
      <c r="DD214" s="291"/>
      <c r="DE214" s="291"/>
      <c r="DF214" s="291"/>
      <c r="DG214" s="291"/>
      <c r="DH214" s="291"/>
      <c r="DI214" s="291"/>
      <c r="DJ214" s="291"/>
      <c r="DK214" s="291"/>
      <c r="DL214" s="291"/>
      <c r="DM214" s="291"/>
      <c r="DN214" s="291"/>
      <c r="DO214" s="291"/>
      <c r="DP214" s="291"/>
      <c r="DQ214" s="291"/>
      <c r="DR214" s="291"/>
      <c r="DS214" s="291"/>
      <c r="DT214" s="291"/>
      <c r="DU214" s="291"/>
      <c r="DV214" s="291"/>
      <c r="DW214" s="291"/>
      <c r="DX214" s="291"/>
      <c r="DY214" s="291"/>
      <c r="DZ214" s="291"/>
      <c r="EA214" s="291"/>
      <c r="EB214" s="291"/>
      <c r="EC214" s="291"/>
      <c r="ED214" s="291"/>
      <c r="EE214" s="291"/>
      <c r="EF214" s="291"/>
      <c r="EG214" s="291"/>
      <c r="EH214" s="291"/>
      <c r="EI214" s="291"/>
      <c r="EJ214" s="291"/>
      <c r="EK214" s="291"/>
      <c r="EL214" s="291"/>
      <c r="EM214" s="291"/>
      <c r="EN214" s="291"/>
      <c r="EO214" s="291"/>
      <c r="EP214" s="291"/>
      <c r="EQ214" s="291"/>
      <c r="ER214" s="291"/>
      <c r="ES214" s="291"/>
      <c r="ET214" s="291"/>
      <c r="EU214" s="291"/>
      <c r="EV214" s="291"/>
      <c r="EW214" s="291"/>
      <c r="EX214" s="291"/>
      <c r="EY214" s="291"/>
      <c r="EZ214" s="291"/>
      <c r="FA214" s="291"/>
      <c r="FB214" s="291"/>
      <c r="FC214" s="291"/>
      <c r="FD214" s="291"/>
      <c r="FE214" s="291"/>
      <c r="FF214" s="291"/>
      <c r="FG214" s="291"/>
      <c r="FH214" s="291"/>
      <c r="FI214" s="291"/>
      <c r="FJ214" s="291"/>
      <c r="FK214" s="291"/>
      <c r="FL214" s="291"/>
      <c r="FM214" s="291"/>
      <c r="FN214" s="291"/>
      <c r="FO214" s="291"/>
      <c r="FP214" s="291"/>
      <c r="FQ214" s="291"/>
      <c r="FR214" s="291"/>
      <c r="FS214" s="291"/>
      <c r="FT214" s="291"/>
      <c r="FU214" s="291"/>
      <c r="FV214" s="291"/>
      <c r="FW214" s="291"/>
      <c r="FX214" s="291"/>
      <c r="FY214" s="291"/>
      <c r="FZ214" s="291"/>
      <c r="GA214" s="291"/>
      <c r="GB214" s="291"/>
      <c r="GC214" s="291"/>
      <c r="GD214" s="291"/>
      <c r="GE214" s="291"/>
      <c r="GF214" s="291"/>
      <c r="GG214" s="291"/>
      <c r="GH214" s="291"/>
      <c r="GI214" s="291"/>
      <c r="GJ214" s="291"/>
      <c r="GK214" s="291"/>
      <c r="GL214" s="291"/>
      <c r="GM214" s="291"/>
      <c r="GN214" s="291"/>
      <c r="GO214" s="291"/>
      <c r="GP214" s="291"/>
      <c r="GQ214" s="291"/>
      <c r="GR214" s="291"/>
      <c r="GS214" s="291"/>
      <c r="GT214" s="291"/>
      <c r="GU214" s="291"/>
      <c r="GV214" s="291"/>
      <c r="GW214" s="291"/>
      <c r="GX214" s="291"/>
      <c r="GY214" s="291"/>
      <c r="GZ214" s="291"/>
      <c r="HA214" s="291"/>
      <c r="HB214" s="291"/>
      <c r="HC214" s="291"/>
      <c r="HD214" s="291"/>
      <c r="HE214" s="291"/>
      <c r="HF214" s="291"/>
      <c r="HG214" s="291"/>
      <c r="HH214" s="291"/>
      <c r="HI214" s="291"/>
      <c r="HJ214" s="291"/>
      <c r="HK214" s="291"/>
      <c r="HL214" s="291"/>
      <c r="HM214" s="291"/>
      <c r="HN214" s="291"/>
      <c r="HO214" s="291"/>
      <c r="HP214" s="291"/>
      <c r="HQ214" s="291"/>
      <c r="HR214" s="291"/>
      <c r="HS214" s="291"/>
      <c r="HT214" s="291"/>
      <c r="HU214" s="291"/>
      <c r="HV214" s="291"/>
      <c r="HW214" s="291"/>
      <c r="HX214" s="291"/>
      <c r="HY214" s="291"/>
      <c r="HZ214" s="291"/>
      <c r="IA214" s="291"/>
      <c r="IB214" s="291"/>
      <c r="IC214" s="291"/>
      <c r="ID214" s="291"/>
      <c r="IE214" s="291"/>
      <c r="IF214" s="291"/>
      <c r="IG214" s="291"/>
      <c r="IH214" s="291"/>
      <c r="II214" s="291"/>
      <c r="IJ214" s="291"/>
      <c r="IK214" s="291"/>
      <c r="IL214" s="291"/>
      <c r="IM214" s="291"/>
      <c r="IN214" s="291"/>
      <c r="IO214" s="291"/>
      <c r="IP214" s="291"/>
      <c r="IQ214" s="291"/>
      <c r="IR214" s="291"/>
      <c r="IS214" s="291"/>
      <c r="IT214" s="291"/>
      <c r="IU214" s="291"/>
      <c r="IV214" s="291"/>
      <c r="IW214" s="291"/>
    </row>
    <row r="215" customFormat="false" ht="12.75" hidden="false" customHeight="false" outlineLevel="2" collapsed="false">
      <c r="A215" s="2" t="str">
        <f aca="false">B215&amp;C215&amp;D215</f>
        <v>O&amp;M Mobilization BudgetProcurement ExpensesWarehouse Furnishings &amp; Equipment</v>
      </c>
      <c r="B215" s="2" t="s">
        <v>413</v>
      </c>
      <c r="C215" s="2" t="s">
        <v>574</v>
      </c>
      <c r="D215" s="2" t="s">
        <v>195</v>
      </c>
      <c r="E215" s="292" t="s">
        <v>692</v>
      </c>
      <c r="F215" s="78" t="s">
        <v>693</v>
      </c>
      <c r="G215" s="78"/>
      <c r="H215" s="293" t="n">
        <v>9000</v>
      </c>
      <c r="I215" s="314" t="n">
        <v>1</v>
      </c>
      <c r="J215" s="295" t="n">
        <f aca="false">I215*H215</f>
        <v>9000</v>
      </c>
      <c r="K215" s="295" t="n">
        <f aca="false">H215-J215</f>
        <v>0</v>
      </c>
      <c r="M215" s="2"/>
      <c r="N215" s="2"/>
    </row>
    <row r="216" customFormat="false" ht="12.75" hidden="false" customHeight="false" outlineLevel="2" collapsed="false">
      <c r="A216" s="2" t="str">
        <f aca="false">B216&amp;C216&amp;D216</f>
        <v>O&amp;M Mobilization BudgetProcurement ExpensesWarehouse Furnishings &amp; Equipment</v>
      </c>
      <c r="B216" s="2" t="s">
        <v>413</v>
      </c>
      <c r="C216" s="2" t="s">
        <v>574</v>
      </c>
      <c r="D216" s="2" t="s">
        <v>195</v>
      </c>
      <c r="E216" s="292" t="s">
        <v>694</v>
      </c>
      <c r="F216" s="78" t="s">
        <v>695</v>
      </c>
      <c r="G216" s="78"/>
      <c r="H216" s="293" t="n">
        <v>1500</v>
      </c>
      <c r="I216" s="314" t="n">
        <v>1</v>
      </c>
      <c r="J216" s="295" t="n">
        <f aca="false">I216*H216</f>
        <v>1500</v>
      </c>
      <c r="K216" s="295" t="n">
        <f aca="false">H216-J216</f>
        <v>0</v>
      </c>
      <c r="M216" s="2"/>
      <c r="N216" s="2"/>
    </row>
    <row r="217" customFormat="false" ht="14.25" hidden="false" customHeight="true" outlineLevel="2" collapsed="false">
      <c r="A217" s="2" t="str">
        <f aca="false">B217&amp;C217&amp;D217</f>
        <v>O&amp;M Mobilization BudgetProcurement ExpensesWarehouse Furnishings &amp; Equipment</v>
      </c>
      <c r="B217" s="2" t="s">
        <v>413</v>
      </c>
      <c r="C217" s="2" t="s">
        <v>574</v>
      </c>
      <c r="D217" s="2" t="s">
        <v>195</v>
      </c>
      <c r="E217" s="292" t="s">
        <v>696</v>
      </c>
      <c r="F217" s="78" t="s">
        <v>697</v>
      </c>
      <c r="G217" s="78"/>
      <c r="H217" s="293"/>
      <c r="I217" s="314" t="n">
        <v>1</v>
      </c>
      <c r="J217" s="295" t="n">
        <f aca="false">I217*H217</f>
        <v>0</v>
      </c>
      <c r="K217" s="295" t="n">
        <f aca="false">H217-J217</f>
        <v>0</v>
      </c>
      <c r="M217" s="2"/>
      <c r="N217" s="2"/>
    </row>
    <row r="218" customFormat="false" ht="12.75" hidden="false" customHeight="false" outlineLevel="2" collapsed="false">
      <c r="A218" s="2" t="str">
        <f aca="false">B218&amp;C218&amp;D218</f>
        <v>O&amp;M Mobilization BudgetProcurement ExpensesWarehouse Furnishings &amp; Equipment</v>
      </c>
      <c r="B218" s="2" t="s">
        <v>413</v>
      </c>
      <c r="C218" s="2" t="s">
        <v>574</v>
      </c>
      <c r="D218" s="2" t="s">
        <v>195</v>
      </c>
      <c r="E218" s="292" t="s">
        <v>698</v>
      </c>
      <c r="F218" s="78"/>
      <c r="G218" s="78"/>
      <c r="H218" s="293" t="n">
        <v>1000</v>
      </c>
      <c r="I218" s="314" t="n">
        <v>1</v>
      </c>
      <c r="J218" s="295" t="n">
        <f aca="false">I218*H218</f>
        <v>1000</v>
      </c>
      <c r="K218" s="295" t="n">
        <f aca="false">H218-J218</f>
        <v>0</v>
      </c>
      <c r="M218" s="2"/>
      <c r="N218" s="2"/>
    </row>
    <row r="219" customFormat="false" ht="12.75" hidden="false" customHeight="false" outlineLevel="2" collapsed="false">
      <c r="E219" s="292" t="s">
        <v>559</v>
      </c>
      <c r="F219" s="78" t="s">
        <v>634</v>
      </c>
      <c r="G219" s="78"/>
      <c r="H219" s="293" t="n">
        <f aca="false">0.05*SUM(H215:H218)</f>
        <v>575</v>
      </c>
      <c r="I219" s="314" t="n">
        <v>1</v>
      </c>
      <c r="J219" s="295" t="n">
        <f aca="false">I219*H219</f>
        <v>575</v>
      </c>
      <c r="K219" s="295" t="n">
        <f aca="false">H219-J219</f>
        <v>0</v>
      </c>
      <c r="M219" s="2"/>
      <c r="N219" s="2"/>
    </row>
    <row r="220" customFormat="false" ht="12.75" hidden="false" customHeight="false" outlineLevel="2" collapsed="false">
      <c r="E220" s="292"/>
      <c r="F220" s="78"/>
      <c r="G220" s="78"/>
      <c r="H220" s="293"/>
      <c r="I220" s="324"/>
      <c r="J220" s="295"/>
      <c r="K220" s="295"/>
      <c r="M220" s="2"/>
      <c r="N220" s="2"/>
    </row>
    <row r="221" customFormat="false" ht="12.75" hidden="false" customHeight="false" outlineLevel="1" collapsed="false">
      <c r="A221" s="291" t="s">
        <v>699</v>
      </c>
      <c r="B221" s="291" t="s">
        <v>413</v>
      </c>
      <c r="C221" s="291" t="s">
        <v>574</v>
      </c>
      <c r="D221" s="291" t="s">
        <v>195</v>
      </c>
      <c r="E221" s="292"/>
      <c r="F221" s="78"/>
      <c r="G221" s="297" t="s">
        <v>431</v>
      </c>
      <c r="H221" s="298" t="n">
        <f aca="false">SUBTOTAL(9,H215:H220)</f>
        <v>12075</v>
      </c>
      <c r="I221" s="299"/>
      <c r="J221" s="298" t="n">
        <f aca="false">SUBTOTAL(9,J215:J220)</f>
        <v>12075</v>
      </c>
      <c r="K221" s="298" t="n">
        <f aca="false">SUBTOTAL(9,K215:K220)</f>
        <v>0</v>
      </c>
      <c r="L221" s="291"/>
      <c r="M221" s="291"/>
      <c r="N221" s="291"/>
      <c r="O221" s="291"/>
      <c r="P221" s="291"/>
      <c r="Q221" s="291"/>
      <c r="R221" s="291"/>
      <c r="S221" s="291"/>
      <c r="T221" s="291"/>
      <c r="U221" s="291"/>
      <c r="V221" s="291"/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1"/>
      <c r="AZ221" s="291"/>
      <c r="BA221" s="291"/>
      <c r="BB221" s="291"/>
      <c r="BC221" s="291"/>
      <c r="BD221" s="291"/>
      <c r="BE221" s="291"/>
      <c r="BF221" s="291"/>
      <c r="BG221" s="291"/>
      <c r="BH221" s="291"/>
      <c r="BI221" s="291"/>
      <c r="BJ221" s="291"/>
      <c r="BK221" s="291"/>
      <c r="BL221" s="291"/>
      <c r="BM221" s="291"/>
      <c r="BN221" s="291"/>
      <c r="BO221" s="291"/>
      <c r="BP221" s="291"/>
      <c r="BQ221" s="291"/>
      <c r="BR221" s="291"/>
      <c r="BS221" s="291"/>
      <c r="BT221" s="291"/>
      <c r="BU221" s="291"/>
      <c r="BV221" s="291"/>
      <c r="BW221" s="291"/>
      <c r="BX221" s="291"/>
      <c r="BY221" s="291"/>
      <c r="BZ221" s="291"/>
      <c r="CA221" s="291"/>
      <c r="CB221" s="291"/>
      <c r="CC221" s="291"/>
      <c r="CD221" s="291"/>
      <c r="CE221" s="291"/>
      <c r="CF221" s="291"/>
      <c r="CG221" s="291"/>
      <c r="CH221" s="291"/>
      <c r="CI221" s="291"/>
      <c r="CJ221" s="291"/>
      <c r="CK221" s="291"/>
      <c r="CL221" s="291"/>
      <c r="CM221" s="291"/>
      <c r="CN221" s="291"/>
      <c r="CO221" s="291"/>
      <c r="CP221" s="291"/>
      <c r="CQ221" s="291"/>
      <c r="CR221" s="291"/>
      <c r="CS221" s="291"/>
      <c r="CT221" s="291"/>
      <c r="CU221" s="291"/>
      <c r="CV221" s="291"/>
      <c r="CW221" s="291"/>
      <c r="CX221" s="291"/>
      <c r="CY221" s="291"/>
      <c r="CZ221" s="291"/>
      <c r="DA221" s="291"/>
      <c r="DB221" s="291"/>
      <c r="DC221" s="291"/>
      <c r="DD221" s="291"/>
      <c r="DE221" s="291"/>
      <c r="DF221" s="291"/>
      <c r="DG221" s="291"/>
      <c r="DH221" s="291"/>
      <c r="DI221" s="291"/>
      <c r="DJ221" s="291"/>
      <c r="DK221" s="291"/>
      <c r="DL221" s="291"/>
      <c r="DM221" s="291"/>
      <c r="DN221" s="291"/>
      <c r="DO221" s="291"/>
      <c r="DP221" s="291"/>
      <c r="DQ221" s="291"/>
      <c r="DR221" s="291"/>
      <c r="DS221" s="291"/>
      <c r="DT221" s="291"/>
      <c r="DU221" s="291"/>
      <c r="DV221" s="291"/>
      <c r="DW221" s="291"/>
      <c r="DX221" s="291"/>
      <c r="DY221" s="291"/>
      <c r="DZ221" s="291"/>
      <c r="EA221" s="291"/>
      <c r="EB221" s="291"/>
      <c r="EC221" s="291"/>
      <c r="ED221" s="291"/>
      <c r="EE221" s="291"/>
      <c r="EF221" s="291"/>
      <c r="EG221" s="291"/>
      <c r="EH221" s="291"/>
      <c r="EI221" s="291"/>
      <c r="EJ221" s="291"/>
      <c r="EK221" s="291"/>
      <c r="EL221" s="291"/>
      <c r="EM221" s="291"/>
      <c r="EN221" s="291"/>
      <c r="EO221" s="291"/>
      <c r="EP221" s="291"/>
      <c r="EQ221" s="291"/>
      <c r="ER221" s="291"/>
      <c r="ES221" s="291"/>
      <c r="ET221" s="291"/>
      <c r="EU221" s="291"/>
      <c r="EV221" s="291"/>
      <c r="EW221" s="291"/>
      <c r="EX221" s="291"/>
      <c r="EY221" s="291"/>
      <c r="EZ221" s="291"/>
      <c r="FA221" s="291"/>
      <c r="FB221" s="291"/>
      <c r="FC221" s="291"/>
      <c r="FD221" s="291"/>
      <c r="FE221" s="291"/>
      <c r="FF221" s="291"/>
      <c r="FG221" s="291"/>
      <c r="FH221" s="291"/>
      <c r="FI221" s="291"/>
      <c r="FJ221" s="291"/>
      <c r="FK221" s="291"/>
      <c r="FL221" s="291"/>
      <c r="FM221" s="291"/>
      <c r="FN221" s="291"/>
      <c r="FO221" s="291"/>
      <c r="FP221" s="291"/>
      <c r="FQ221" s="291"/>
      <c r="FR221" s="291"/>
      <c r="FS221" s="291"/>
      <c r="FT221" s="291"/>
      <c r="FU221" s="291"/>
      <c r="FV221" s="291"/>
      <c r="FW221" s="291"/>
      <c r="FX221" s="291"/>
      <c r="FY221" s="291"/>
      <c r="FZ221" s="291"/>
      <c r="GA221" s="291"/>
      <c r="GB221" s="291"/>
      <c r="GC221" s="291"/>
      <c r="GD221" s="291"/>
      <c r="GE221" s="291"/>
      <c r="GF221" s="291"/>
      <c r="GG221" s="291"/>
      <c r="GH221" s="291"/>
      <c r="GI221" s="291"/>
      <c r="GJ221" s="291"/>
      <c r="GK221" s="291"/>
      <c r="GL221" s="291"/>
      <c r="GM221" s="291"/>
      <c r="GN221" s="291"/>
      <c r="GO221" s="291"/>
      <c r="GP221" s="291"/>
      <c r="GQ221" s="291"/>
      <c r="GR221" s="291"/>
      <c r="GS221" s="291"/>
      <c r="GT221" s="291"/>
      <c r="GU221" s="291"/>
      <c r="GV221" s="291"/>
      <c r="GW221" s="291"/>
      <c r="GX221" s="291"/>
      <c r="GY221" s="291"/>
      <c r="GZ221" s="291"/>
      <c r="HA221" s="291"/>
      <c r="HB221" s="291"/>
      <c r="HC221" s="291"/>
      <c r="HD221" s="291"/>
      <c r="HE221" s="291"/>
      <c r="HF221" s="291"/>
      <c r="HG221" s="291"/>
      <c r="HH221" s="291"/>
      <c r="HI221" s="291"/>
      <c r="HJ221" s="291"/>
      <c r="HK221" s="291"/>
      <c r="HL221" s="291"/>
      <c r="HM221" s="291"/>
      <c r="HN221" s="291"/>
      <c r="HO221" s="291"/>
      <c r="HP221" s="291"/>
      <c r="HQ221" s="291"/>
      <c r="HR221" s="291"/>
      <c r="HS221" s="291"/>
      <c r="HT221" s="291"/>
      <c r="HU221" s="291"/>
      <c r="HV221" s="291"/>
      <c r="HW221" s="291"/>
      <c r="HX221" s="291"/>
      <c r="HY221" s="291"/>
      <c r="HZ221" s="291"/>
      <c r="IA221" s="291"/>
      <c r="IB221" s="291"/>
      <c r="IC221" s="291"/>
      <c r="ID221" s="291"/>
      <c r="IE221" s="291"/>
      <c r="IF221" s="291"/>
      <c r="IG221" s="291"/>
      <c r="IH221" s="291"/>
      <c r="II221" s="291"/>
      <c r="IJ221" s="291"/>
      <c r="IK221" s="291"/>
      <c r="IL221" s="291"/>
      <c r="IM221" s="291"/>
      <c r="IN221" s="291"/>
      <c r="IO221" s="291"/>
      <c r="IP221" s="291"/>
      <c r="IQ221" s="291"/>
      <c r="IR221" s="291"/>
      <c r="IS221" s="291"/>
      <c r="IT221" s="291"/>
      <c r="IU221" s="291"/>
      <c r="IV221" s="291"/>
      <c r="IW221" s="291"/>
    </row>
    <row r="222" customFormat="false" ht="12.75" hidden="false" customHeight="false" outlineLevel="1" collapsed="false">
      <c r="A222" s="2" t="s">
        <v>700</v>
      </c>
      <c r="B222" s="2" t="s">
        <v>413</v>
      </c>
      <c r="C222" s="2" t="s">
        <v>574</v>
      </c>
      <c r="D222" s="2" t="s">
        <v>196</v>
      </c>
      <c r="E222" s="310" t="s">
        <v>196</v>
      </c>
      <c r="F222" s="311"/>
      <c r="G222" s="312"/>
      <c r="H222" s="313"/>
      <c r="I222" s="289"/>
      <c r="J222" s="288"/>
      <c r="K222" s="288"/>
      <c r="L222" s="291"/>
      <c r="M222" s="291"/>
      <c r="N222" s="291"/>
      <c r="O222" s="291"/>
      <c r="P222" s="291"/>
      <c r="Q222" s="291"/>
      <c r="R222" s="291"/>
      <c r="S222" s="291"/>
      <c r="T222" s="291"/>
      <c r="U222" s="291"/>
      <c r="V222" s="291"/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1"/>
      <c r="AZ222" s="291"/>
      <c r="BA222" s="291"/>
      <c r="BB222" s="291"/>
      <c r="BC222" s="291"/>
      <c r="BD222" s="291"/>
      <c r="BE222" s="291"/>
      <c r="BF222" s="291"/>
      <c r="BG222" s="291"/>
      <c r="BH222" s="291"/>
      <c r="BI222" s="291"/>
      <c r="BJ222" s="291"/>
      <c r="BK222" s="291"/>
      <c r="BL222" s="291"/>
      <c r="BM222" s="291"/>
      <c r="BN222" s="291"/>
      <c r="BO222" s="291"/>
      <c r="BP222" s="291"/>
      <c r="BQ222" s="291"/>
      <c r="BR222" s="291"/>
      <c r="BS222" s="291"/>
      <c r="BT222" s="291"/>
      <c r="BU222" s="291"/>
      <c r="BV222" s="291"/>
      <c r="BW222" s="291"/>
      <c r="BX222" s="291"/>
      <c r="BY222" s="291"/>
      <c r="BZ222" s="291"/>
      <c r="CA222" s="291"/>
      <c r="CB222" s="291"/>
      <c r="CC222" s="291"/>
      <c r="CD222" s="291"/>
      <c r="CE222" s="291"/>
      <c r="CF222" s="291"/>
      <c r="CG222" s="291"/>
      <c r="CH222" s="291"/>
      <c r="CI222" s="291"/>
      <c r="CJ222" s="291"/>
      <c r="CK222" s="291"/>
      <c r="CL222" s="291"/>
      <c r="CM222" s="291"/>
      <c r="CN222" s="291"/>
      <c r="CO222" s="291"/>
      <c r="CP222" s="291"/>
      <c r="CQ222" s="291"/>
      <c r="CR222" s="291"/>
      <c r="CS222" s="291"/>
      <c r="CT222" s="291"/>
      <c r="CU222" s="291"/>
      <c r="CV222" s="291"/>
      <c r="CW222" s="291"/>
      <c r="CX222" s="291"/>
      <c r="CY222" s="291"/>
      <c r="CZ222" s="291"/>
      <c r="DA222" s="291"/>
      <c r="DB222" s="291"/>
      <c r="DC222" s="291"/>
      <c r="DD222" s="291"/>
      <c r="DE222" s="291"/>
      <c r="DF222" s="291"/>
      <c r="DG222" s="291"/>
      <c r="DH222" s="291"/>
      <c r="DI222" s="291"/>
      <c r="DJ222" s="291"/>
      <c r="DK222" s="291"/>
      <c r="DL222" s="291"/>
      <c r="DM222" s="291"/>
      <c r="DN222" s="291"/>
      <c r="DO222" s="291"/>
      <c r="DP222" s="291"/>
      <c r="DQ222" s="291"/>
      <c r="DR222" s="291"/>
      <c r="DS222" s="291"/>
      <c r="DT222" s="291"/>
      <c r="DU222" s="291"/>
      <c r="DV222" s="291"/>
      <c r="DW222" s="291"/>
      <c r="DX222" s="291"/>
      <c r="DY222" s="291"/>
      <c r="DZ222" s="291"/>
      <c r="EA222" s="291"/>
      <c r="EB222" s="291"/>
      <c r="EC222" s="291"/>
      <c r="ED222" s="291"/>
      <c r="EE222" s="291"/>
      <c r="EF222" s="291"/>
      <c r="EG222" s="291"/>
      <c r="EH222" s="291"/>
      <c r="EI222" s="291"/>
      <c r="EJ222" s="291"/>
      <c r="EK222" s="291"/>
      <c r="EL222" s="291"/>
      <c r="EM222" s="291"/>
      <c r="EN222" s="291"/>
      <c r="EO222" s="291"/>
      <c r="EP222" s="291"/>
      <c r="EQ222" s="291"/>
      <c r="ER222" s="291"/>
      <c r="ES222" s="291"/>
      <c r="ET222" s="291"/>
      <c r="EU222" s="291"/>
      <c r="EV222" s="291"/>
      <c r="EW222" s="291"/>
      <c r="EX222" s="291"/>
      <c r="EY222" s="291"/>
      <c r="EZ222" s="291"/>
      <c r="FA222" s="291"/>
      <c r="FB222" s="291"/>
      <c r="FC222" s="291"/>
      <c r="FD222" s="291"/>
      <c r="FE222" s="291"/>
      <c r="FF222" s="291"/>
      <c r="FG222" s="291"/>
      <c r="FH222" s="291"/>
      <c r="FI222" s="291"/>
      <c r="FJ222" s="291"/>
      <c r="FK222" s="291"/>
      <c r="FL222" s="291"/>
      <c r="FM222" s="291"/>
      <c r="FN222" s="291"/>
      <c r="FO222" s="291"/>
      <c r="FP222" s="291"/>
      <c r="FQ222" s="291"/>
      <c r="FR222" s="291"/>
      <c r="FS222" s="291"/>
      <c r="FT222" s="291"/>
      <c r="FU222" s="291"/>
      <c r="FV222" s="291"/>
      <c r="FW222" s="291"/>
      <c r="FX222" s="291"/>
      <c r="FY222" s="291"/>
      <c r="FZ222" s="291"/>
      <c r="GA222" s="291"/>
      <c r="GB222" s="291"/>
      <c r="GC222" s="291"/>
      <c r="GD222" s="291"/>
      <c r="GE222" s="291"/>
      <c r="GF222" s="291"/>
      <c r="GG222" s="291"/>
      <c r="GH222" s="291"/>
      <c r="GI222" s="291"/>
      <c r="GJ222" s="291"/>
      <c r="GK222" s="291"/>
      <c r="GL222" s="291"/>
      <c r="GM222" s="291"/>
      <c r="GN222" s="291"/>
      <c r="GO222" s="291"/>
      <c r="GP222" s="291"/>
      <c r="GQ222" s="291"/>
      <c r="GR222" s="291"/>
      <c r="GS222" s="291"/>
      <c r="GT222" s="291"/>
      <c r="GU222" s="291"/>
      <c r="GV222" s="291"/>
      <c r="GW222" s="291"/>
      <c r="GX222" s="291"/>
      <c r="GY222" s="291"/>
      <c r="GZ222" s="291"/>
      <c r="HA222" s="291"/>
      <c r="HB222" s="291"/>
      <c r="HC222" s="291"/>
      <c r="HD222" s="291"/>
      <c r="HE222" s="291"/>
      <c r="HF222" s="291"/>
      <c r="HG222" s="291"/>
      <c r="HH222" s="291"/>
      <c r="HI222" s="291"/>
      <c r="HJ222" s="291"/>
      <c r="HK222" s="291"/>
      <c r="HL222" s="291"/>
      <c r="HM222" s="291"/>
      <c r="HN222" s="291"/>
      <c r="HO222" s="291"/>
      <c r="HP222" s="291"/>
      <c r="HQ222" s="291"/>
      <c r="HR222" s="291"/>
      <c r="HS222" s="291"/>
      <c r="HT222" s="291"/>
      <c r="HU222" s="291"/>
      <c r="HV222" s="291"/>
      <c r="HW222" s="291"/>
      <c r="HX222" s="291"/>
      <c r="HY222" s="291"/>
      <c r="HZ222" s="291"/>
      <c r="IA222" s="291"/>
      <c r="IB222" s="291"/>
      <c r="IC222" s="291"/>
      <c r="ID222" s="291"/>
      <c r="IE222" s="291"/>
      <c r="IF222" s="291"/>
      <c r="IG222" s="291"/>
      <c r="IH222" s="291"/>
      <c r="II222" s="291"/>
      <c r="IJ222" s="291"/>
      <c r="IK222" s="291"/>
      <c r="IL222" s="291"/>
      <c r="IM222" s="291"/>
      <c r="IN222" s="291"/>
      <c r="IO222" s="291"/>
      <c r="IP222" s="291"/>
      <c r="IQ222" s="291"/>
      <c r="IR222" s="291"/>
      <c r="IS222" s="291"/>
      <c r="IT222" s="291"/>
      <c r="IU222" s="291"/>
      <c r="IV222" s="291"/>
      <c r="IW222" s="291"/>
    </row>
    <row r="223" customFormat="false" ht="12.75" hidden="false" customHeight="false" outlineLevel="2" collapsed="false">
      <c r="A223" s="2" t="str">
        <f aca="false">B223&amp;C223&amp;D223</f>
        <v>O&amp;M Mobilization BudgetProcurement ExpensesLaboratory Equipment</v>
      </c>
      <c r="B223" s="2" t="s">
        <v>413</v>
      </c>
      <c r="C223" s="2" t="s">
        <v>574</v>
      </c>
      <c r="D223" s="2" t="s">
        <v>196</v>
      </c>
      <c r="E223" s="292" t="s">
        <v>701</v>
      </c>
      <c r="F223" s="78"/>
      <c r="G223" s="78"/>
      <c r="H223" s="293" t="n">
        <v>3000</v>
      </c>
      <c r="I223" s="314" t="n">
        <v>1</v>
      </c>
      <c r="J223" s="295" t="n">
        <f aca="false">I223*H223</f>
        <v>3000</v>
      </c>
      <c r="K223" s="295" t="n">
        <f aca="false">H223-J223</f>
        <v>0</v>
      </c>
      <c r="M223" s="2"/>
      <c r="N223" s="2"/>
    </row>
    <row r="224" customFormat="false" ht="12.75" hidden="false" customHeight="false" outlineLevel="2" collapsed="false">
      <c r="E224" s="292" t="s">
        <v>702</v>
      </c>
      <c r="F224" s="78"/>
      <c r="G224" s="78"/>
      <c r="H224" s="293" t="n">
        <v>2000</v>
      </c>
      <c r="I224" s="314" t="n">
        <v>1</v>
      </c>
      <c r="J224" s="295" t="n">
        <f aca="false">I224*H224</f>
        <v>2000</v>
      </c>
      <c r="K224" s="295" t="n">
        <f aca="false">H224-J224</f>
        <v>0</v>
      </c>
      <c r="M224" s="2"/>
      <c r="N224" s="2"/>
    </row>
    <row r="225" customFormat="false" ht="12.75" hidden="false" customHeight="false" outlineLevel="2" collapsed="false">
      <c r="E225" s="292" t="s">
        <v>703</v>
      </c>
      <c r="F225" s="78"/>
      <c r="G225" s="78"/>
      <c r="H225" s="293" t="n">
        <v>1000</v>
      </c>
      <c r="I225" s="314" t="n">
        <v>1</v>
      </c>
      <c r="J225" s="295" t="n">
        <f aca="false">I225*H225</f>
        <v>1000</v>
      </c>
      <c r="K225" s="295" t="n">
        <f aca="false">H225-J225</f>
        <v>0</v>
      </c>
      <c r="M225" s="2"/>
      <c r="N225" s="2"/>
    </row>
    <row r="226" customFormat="false" ht="12.75" hidden="true" customHeight="false" outlineLevel="2" collapsed="false">
      <c r="E226" s="292" t="s">
        <v>704</v>
      </c>
      <c r="F226" s="78" t="s">
        <v>705</v>
      </c>
      <c r="G226" s="78"/>
      <c r="H226" s="293"/>
      <c r="I226" s="314" t="n">
        <v>1</v>
      </c>
      <c r="J226" s="295" t="n">
        <f aca="false">I226*H226</f>
        <v>0</v>
      </c>
      <c r="K226" s="295" t="n">
        <f aca="false">H226-J226</f>
        <v>0</v>
      </c>
      <c r="M226" s="2"/>
      <c r="N226" s="2"/>
    </row>
    <row r="227" customFormat="false" ht="12.75" hidden="false" customHeight="false" outlineLevel="2" collapsed="false">
      <c r="E227" s="292" t="s">
        <v>559</v>
      </c>
      <c r="F227" s="78" t="s">
        <v>634</v>
      </c>
      <c r="G227" s="78"/>
      <c r="H227" s="293" t="n">
        <f aca="false">0.05*SUM(H223:H226)</f>
        <v>300</v>
      </c>
      <c r="I227" s="314" t="n">
        <v>1</v>
      </c>
      <c r="J227" s="295" t="n">
        <f aca="false">I227*H227</f>
        <v>300</v>
      </c>
      <c r="K227" s="295" t="n">
        <f aca="false">H227-J227</f>
        <v>0</v>
      </c>
      <c r="M227" s="2"/>
      <c r="N227" s="2"/>
    </row>
    <row r="228" customFormat="false" ht="12.75" hidden="false" customHeight="false" outlineLevel="2" collapsed="false">
      <c r="E228" s="292"/>
      <c r="F228" s="78"/>
      <c r="G228" s="78"/>
      <c r="H228" s="323"/>
      <c r="I228" s="296"/>
      <c r="J228" s="295"/>
      <c r="K228" s="295"/>
      <c r="M228" s="2"/>
      <c r="N228" s="2"/>
    </row>
    <row r="229" customFormat="false" ht="12.75" hidden="false" customHeight="false" outlineLevel="1" collapsed="false">
      <c r="A229" s="291" t="s">
        <v>706</v>
      </c>
      <c r="B229" s="291" t="s">
        <v>413</v>
      </c>
      <c r="C229" s="291" t="s">
        <v>574</v>
      </c>
      <c r="D229" s="291" t="s">
        <v>196</v>
      </c>
      <c r="E229" s="292"/>
      <c r="F229" s="78"/>
      <c r="G229" s="297" t="s">
        <v>431</v>
      </c>
      <c r="H229" s="298" t="n">
        <f aca="false">SUBTOTAL(9,H223:H228)</f>
        <v>6300</v>
      </c>
      <c r="I229" s="299"/>
      <c r="J229" s="298" t="n">
        <f aca="false">SUBTOTAL(9,J223:J228)</f>
        <v>6300</v>
      </c>
      <c r="K229" s="298" t="n">
        <f aca="false">SUBTOTAL(9,K223:K228)</f>
        <v>0</v>
      </c>
      <c r="L229" s="291"/>
      <c r="M229" s="291"/>
      <c r="N229" s="291"/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1"/>
      <c r="AZ229" s="291"/>
      <c r="BA229" s="291"/>
      <c r="BB229" s="291"/>
      <c r="BC229" s="291"/>
      <c r="BD229" s="291"/>
      <c r="BE229" s="291"/>
      <c r="BF229" s="291"/>
      <c r="BG229" s="291"/>
      <c r="BH229" s="291"/>
      <c r="BI229" s="291"/>
      <c r="BJ229" s="291"/>
      <c r="BK229" s="291"/>
      <c r="BL229" s="291"/>
      <c r="BM229" s="291"/>
      <c r="BN229" s="291"/>
      <c r="BO229" s="291"/>
      <c r="BP229" s="291"/>
      <c r="BQ229" s="291"/>
      <c r="BR229" s="291"/>
      <c r="BS229" s="291"/>
      <c r="BT229" s="291"/>
      <c r="BU229" s="291"/>
      <c r="BV229" s="291"/>
      <c r="BW229" s="291"/>
      <c r="BX229" s="291"/>
      <c r="BY229" s="291"/>
      <c r="BZ229" s="291"/>
      <c r="CA229" s="291"/>
      <c r="CB229" s="291"/>
      <c r="CC229" s="291"/>
      <c r="CD229" s="291"/>
      <c r="CE229" s="291"/>
      <c r="CF229" s="291"/>
      <c r="CG229" s="291"/>
      <c r="CH229" s="291"/>
      <c r="CI229" s="291"/>
      <c r="CJ229" s="291"/>
      <c r="CK229" s="291"/>
      <c r="CL229" s="291"/>
      <c r="CM229" s="291"/>
      <c r="CN229" s="291"/>
      <c r="CO229" s="291"/>
      <c r="CP229" s="291"/>
      <c r="CQ229" s="291"/>
      <c r="CR229" s="291"/>
      <c r="CS229" s="291"/>
      <c r="CT229" s="291"/>
      <c r="CU229" s="291"/>
      <c r="CV229" s="291"/>
      <c r="CW229" s="291"/>
      <c r="CX229" s="291"/>
      <c r="CY229" s="291"/>
      <c r="CZ229" s="291"/>
      <c r="DA229" s="291"/>
      <c r="DB229" s="291"/>
      <c r="DC229" s="291"/>
      <c r="DD229" s="291"/>
      <c r="DE229" s="291"/>
      <c r="DF229" s="291"/>
      <c r="DG229" s="291"/>
      <c r="DH229" s="291"/>
      <c r="DI229" s="291"/>
      <c r="DJ229" s="291"/>
      <c r="DK229" s="291"/>
      <c r="DL229" s="291"/>
      <c r="DM229" s="291"/>
      <c r="DN229" s="291"/>
      <c r="DO229" s="291"/>
      <c r="DP229" s="291"/>
      <c r="DQ229" s="291"/>
      <c r="DR229" s="291"/>
      <c r="DS229" s="291"/>
      <c r="DT229" s="291"/>
      <c r="DU229" s="291"/>
      <c r="DV229" s="291"/>
      <c r="DW229" s="291"/>
      <c r="DX229" s="291"/>
      <c r="DY229" s="291"/>
      <c r="DZ229" s="291"/>
      <c r="EA229" s="291"/>
      <c r="EB229" s="291"/>
      <c r="EC229" s="291"/>
      <c r="ED229" s="291"/>
      <c r="EE229" s="291"/>
      <c r="EF229" s="291"/>
      <c r="EG229" s="291"/>
      <c r="EH229" s="291"/>
      <c r="EI229" s="291"/>
      <c r="EJ229" s="291"/>
      <c r="EK229" s="291"/>
      <c r="EL229" s="291"/>
      <c r="EM229" s="291"/>
      <c r="EN229" s="291"/>
      <c r="EO229" s="291"/>
      <c r="EP229" s="291"/>
      <c r="EQ229" s="291"/>
      <c r="ER229" s="291"/>
      <c r="ES229" s="291"/>
      <c r="ET229" s="291"/>
      <c r="EU229" s="291"/>
      <c r="EV229" s="291"/>
      <c r="EW229" s="291"/>
      <c r="EX229" s="291"/>
      <c r="EY229" s="291"/>
      <c r="EZ229" s="291"/>
      <c r="FA229" s="291"/>
      <c r="FB229" s="291"/>
      <c r="FC229" s="291"/>
      <c r="FD229" s="291"/>
      <c r="FE229" s="291"/>
      <c r="FF229" s="291"/>
      <c r="FG229" s="291"/>
      <c r="FH229" s="291"/>
      <c r="FI229" s="291"/>
      <c r="FJ229" s="291"/>
      <c r="FK229" s="291"/>
      <c r="FL229" s="291"/>
      <c r="FM229" s="291"/>
      <c r="FN229" s="291"/>
      <c r="FO229" s="291"/>
      <c r="FP229" s="291"/>
      <c r="FQ229" s="291"/>
      <c r="FR229" s="291"/>
      <c r="FS229" s="291"/>
      <c r="FT229" s="291"/>
      <c r="FU229" s="291"/>
      <c r="FV229" s="291"/>
      <c r="FW229" s="291"/>
      <c r="FX229" s="291"/>
      <c r="FY229" s="291"/>
      <c r="FZ229" s="291"/>
      <c r="GA229" s="291"/>
      <c r="GB229" s="291"/>
      <c r="GC229" s="291"/>
      <c r="GD229" s="291"/>
      <c r="GE229" s="291"/>
      <c r="GF229" s="291"/>
      <c r="GG229" s="291"/>
      <c r="GH229" s="291"/>
      <c r="GI229" s="291"/>
      <c r="GJ229" s="291"/>
      <c r="GK229" s="291"/>
      <c r="GL229" s="291"/>
      <c r="GM229" s="291"/>
      <c r="GN229" s="291"/>
      <c r="GO229" s="291"/>
      <c r="GP229" s="291"/>
      <c r="GQ229" s="291"/>
      <c r="GR229" s="291"/>
      <c r="GS229" s="291"/>
      <c r="GT229" s="291"/>
      <c r="GU229" s="291"/>
      <c r="GV229" s="291"/>
      <c r="GW229" s="291"/>
      <c r="GX229" s="291"/>
      <c r="GY229" s="291"/>
      <c r="GZ229" s="291"/>
      <c r="HA229" s="291"/>
      <c r="HB229" s="291"/>
      <c r="HC229" s="291"/>
      <c r="HD229" s="291"/>
      <c r="HE229" s="291"/>
      <c r="HF229" s="291"/>
      <c r="HG229" s="291"/>
      <c r="HH229" s="291"/>
      <c r="HI229" s="291"/>
      <c r="HJ229" s="291"/>
      <c r="HK229" s="291"/>
      <c r="HL229" s="291"/>
      <c r="HM229" s="291"/>
      <c r="HN229" s="291"/>
      <c r="HO229" s="291"/>
      <c r="HP229" s="291"/>
      <c r="HQ229" s="291"/>
      <c r="HR229" s="291"/>
      <c r="HS229" s="291"/>
      <c r="HT229" s="291"/>
      <c r="HU229" s="291"/>
      <c r="HV229" s="291"/>
      <c r="HW229" s="291"/>
      <c r="HX229" s="291"/>
      <c r="HY229" s="291"/>
      <c r="HZ229" s="291"/>
      <c r="IA229" s="291"/>
      <c r="IB229" s="291"/>
      <c r="IC229" s="291"/>
      <c r="ID229" s="291"/>
      <c r="IE229" s="291"/>
      <c r="IF229" s="291"/>
      <c r="IG229" s="291"/>
      <c r="IH229" s="291"/>
      <c r="II229" s="291"/>
      <c r="IJ229" s="291"/>
      <c r="IK229" s="291"/>
      <c r="IL229" s="291"/>
      <c r="IM229" s="291"/>
      <c r="IN229" s="291"/>
      <c r="IO229" s="291"/>
      <c r="IP229" s="291"/>
      <c r="IQ229" s="291"/>
      <c r="IR229" s="291"/>
      <c r="IS229" s="291"/>
      <c r="IT229" s="291"/>
      <c r="IU229" s="291"/>
      <c r="IV229" s="291"/>
      <c r="IW229" s="291"/>
    </row>
    <row r="230" customFormat="false" ht="12.75" hidden="false" customHeight="false" outlineLevel="1" collapsed="false">
      <c r="A230" s="2" t="s">
        <v>707</v>
      </c>
      <c r="B230" s="2" t="s">
        <v>413</v>
      </c>
      <c r="C230" s="2" t="s">
        <v>574</v>
      </c>
      <c r="D230" s="2" t="s">
        <v>197</v>
      </c>
      <c r="E230" s="310" t="s">
        <v>197</v>
      </c>
      <c r="F230" s="311"/>
      <c r="G230" s="312"/>
      <c r="H230" s="313"/>
      <c r="I230" s="289"/>
      <c r="J230" s="288"/>
      <c r="K230" s="288"/>
      <c r="L230" s="291"/>
      <c r="M230" s="291"/>
      <c r="N230" s="291"/>
      <c r="O230" s="291"/>
      <c r="P230" s="291"/>
      <c r="Q230" s="291"/>
      <c r="R230" s="291"/>
      <c r="S230" s="291"/>
      <c r="T230" s="291"/>
      <c r="U230" s="291"/>
      <c r="V230" s="291"/>
      <c r="W230" s="291"/>
      <c r="X230" s="291"/>
      <c r="Y230" s="291"/>
      <c r="Z230" s="291"/>
      <c r="AA230" s="291"/>
      <c r="AB230" s="291"/>
      <c r="AC230" s="291"/>
      <c r="AD230" s="291"/>
      <c r="AE230" s="291"/>
      <c r="AF230" s="291"/>
      <c r="AG230" s="291"/>
      <c r="AH230" s="291"/>
      <c r="AI230" s="291"/>
      <c r="AJ230" s="291"/>
      <c r="AK230" s="291"/>
      <c r="AL230" s="291"/>
      <c r="AM230" s="291"/>
      <c r="AN230" s="291"/>
      <c r="AO230" s="291"/>
      <c r="AP230" s="291"/>
      <c r="AQ230" s="291"/>
      <c r="AR230" s="291"/>
      <c r="AS230" s="291"/>
      <c r="AT230" s="291"/>
      <c r="AU230" s="291"/>
      <c r="AV230" s="291"/>
      <c r="AW230" s="291"/>
      <c r="AX230" s="291"/>
      <c r="AY230" s="291"/>
      <c r="AZ230" s="291"/>
      <c r="BA230" s="291"/>
      <c r="BB230" s="291"/>
      <c r="BC230" s="291"/>
      <c r="BD230" s="291"/>
      <c r="BE230" s="291"/>
      <c r="BF230" s="291"/>
      <c r="BG230" s="291"/>
      <c r="BH230" s="291"/>
      <c r="BI230" s="291"/>
      <c r="BJ230" s="291"/>
      <c r="BK230" s="291"/>
      <c r="BL230" s="291"/>
      <c r="BM230" s="291"/>
      <c r="BN230" s="291"/>
      <c r="BO230" s="291"/>
      <c r="BP230" s="291"/>
      <c r="BQ230" s="291"/>
      <c r="BR230" s="291"/>
      <c r="BS230" s="291"/>
      <c r="BT230" s="291"/>
      <c r="BU230" s="291"/>
      <c r="BV230" s="291"/>
      <c r="BW230" s="291"/>
      <c r="BX230" s="291"/>
      <c r="BY230" s="291"/>
      <c r="BZ230" s="291"/>
      <c r="CA230" s="291"/>
      <c r="CB230" s="291"/>
      <c r="CC230" s="291"/>
      <c r="CD230" s="291"/>
      <c r="CE230" s="291"/>
      <c r="CF230" s="291"/>
      <c r="CG230" s="291"/>
      <c r="CH230" s="291"/>
      <c r="CI230" s="291"/>
      <c r="CJ230" s="291"/>
      <c r="CK230" s="291"/>
      <c r="CL230" s="291"/>
      <c r="CM230" s="291"/>
      <c r="CN230" s="291"/>
      <c r="CO230" s="291"/>
      <c r="CP230" s="291"/>
      <c r="CQ230" s="291"/>
      <c r="CR230" s="291"/>
      <c r="CS230" s="291"/>
      <c r="CT230" s="291"/>
      <c r="CU230" s="291"/>
      <c r="CV230" s="291"/>
      <c r="CW230" s="291"/>
      <c r="CX230" s="291"/>
      <c r="CY230" s="291"/>
      <c r="CZ230" s="291"/>
      <c r="DA230" s="291"/>
      <c r="DB230" s="291"/>
      <c r="DC230" s="291"/>
      <c r="DD230" s="291"/>
      <c r="DE230" s="291"/>
      <c r="DF230" s="291"/>
      <c r="DG230" s="291"/>
      <c r="DH230" s="291"/>
      <c r="DI230" s="291"/>
      <c r="DJ230" s="291"/>
      <c r="DK230" s="291"/>
      <c r="DL230" s="291"/>
      <c r="DM230" s="291"/>
      <c r="DN230" s="291"/>
      <c r="DO230" s="291"/>
      <c r="DP230" s="291"/>
      <c r="DQ230" s="291"/>
      <c r="DR230" s="291"/>
      <c r="DS230" s="291"/>
      <c r="DT230" s="291"/>
      <c r="DU230" s="291"/>
      <c r="DV230" s="291"/>
      <c r="DW230" s="291"/>
      <c r="DX230" s="291"/>
      <c r="DY230" s="291"/>
      <c r="DZ230" s="291"/>
      <c r="EA230" s="291"/>
      <c r="EB230" s="291"/>
      <c r="EC230" s="291"/>
      <c r="ED230" s="291"/>
      <c r="EE230" s="291"/>
      <c r="EF230" s="291"/>
      <c r="EG230" s="291"/>
      <c r="EH230" s="291"/>
      <c r="EI230" s="291"/>
      <c r="EJ230" s="291"/>
      <c r="EK230" s="291"/>
      <c r="EL230" s="291"/>
      <c r="EM230" s="291"/>
      <c r="EN230" s="291"/>
      <c r="EO230" s="291"/>
      <c r="EP230" s="291"/>
      <c r="EQ230" s="291"/>
      <c r="ER230" s="291"/>
      <c r="ES230" s="291"/>
      <c r="ET230" s="291"/>
      <c r="EU230" s="291"/>
      <c r="EV230" s="291"/>
      <c r="EW230" s="291"/>
      <c r="EX230" s="291"/>
      <c r="EY230" s="291"/>
      <c r="EZ230" s="291"/>
      <c r="FA230" s="291"/>
      <c r="FB230" s="291"/>
      <c r="FC230" s="291"/>
      <c r="FD230" s="291"/>
      <c r="FE230" s="291"/>
      <c r="FF230" s="291"/>
      <c r="FG230" s="291"/>
      <c r="FH230" s="291"/>
      <c r="FI230" s="291"/>
      <c r="FJ230" s="291"/>
      <c r="FK230" s="291"/>
      <c r="FL230" s="291"/>
      <c r="FM230" s="291"/>
      <c r="FN230" s="291"/>
      <c r="FO230" s="291"/>
      <c r="FP230" s="291"/>
      <c r="FQ230" s="291"/>
      <c r="FR230" s="291"/>
      <c r="FS230" s="291"/>
      <c r="FT230" s="291"/>
      <c r="FU230" s="291"/>
      <c r="FV230" s="291"/>
      <c r="FW230" s="291"/>
      <c r="FX230" s="291"/>
      <c r="FY230" s="291"/>
      <c r="FZ230" s="291"/>
      <c r="GA230" s="291"/>
      <c r="GB230" s="291"/>
      <c r="GC230" s="291"/>
      <c r="GD230" s="291"/>
      <c r="GE230" s="291"/>
      <c r="GF230" s="291"/>
      <c r="GG230" s="291"/>
      <c r="GH230" s="291"/>
      <c r="GI230" s="291"/>
      <c r="GJ230" s="291"/>
      <c r="GK230" s="291"/>
      <c r="GL230" s="291"/>
      <c r="GM230" s="291"/>
      <c r="GN230" s="291"/>
      <c r="GO230" s="291"/>
      <c r="GP230" s="291"/>
      <c r="GQ230" s="291"/>
      <c r="GR230" s="291"/>
      <c r="GS230" s="291"/>
      <c r="GT230" s="291"/>
      <c r="GU230" s="291"/>
      <c r="GV230" s="291"/>
      <c r="GW230" s="291"/>
      <c r="GX230" s="291"/>
      <c r="GY230" s="291"/>
      <c r="GZ230" s="291"/>
      <c r="HA230" s="291"/>
      <c r="HB230" s="291"/>
      <c r="HC230" s="291"/>
      <c r="HD230" s="291"/>
      <c r="HE230" s="291"/>
      <c r="HF230" s="291"/>
      <c r="HG230" s="291"/>
      <c r="HH230" s="291"/>
      <c r="HI230" s="291"/>
      <c r="HJ230" s="291"/>
      <c r="HK230" s="291"/>
      <c r="HL230" s="291"/>
      <c r="HM230" s="291"/>
      <c r="HN230" s="291"/>
      <c r="HO230" s="291"/>
      <c r="HP230" s="291"/>
      <c r="HQ230" s="291"/>
      <c r="HR230" s="291"/>
      <c r="HS230" s="291"/>
      <c r="HT230" s="291"/>
      <c r="HU230" s="291"/>
      <c r="HV230" s="291"/>
      <c r="HW230" s="291"/>
      <c r="HX230" s="291"/>
      <c r="HY230" s="291"/>
      <c r="HZ230" s="291"/>
      <c r="IA230" s="291"/>
      <c r="IB230" s="291"/>
      <c r="IC230" s="291"/>
      <c r="ID230" s="291"/>
      <c r="IE230" s="291"/>
      <c r="IF230" s="291"/>
      <c r="IG230" s="291"/>
      <c r="IH230" s="291"/>
      <c r="II230" s="291"/>
      <c r="IJ230" s="291"/>
      <c r="IK230" s="291"/>
      <c r="IL230" s="291"/>
      <c r="IM230" s="291"/>
      <c r="IN230" s="291"/>
      <c r="IO230" s="291"/>
      <c r="IP230" s="291"/>
      <c r="IQ230" s="291"/>
      <c r="IR230" s="291"/>
      <c r="IS230" s="291"/>
      <c r="IT230" s="291"/>
      <c r="IU230" s="291"/>
      <c r="IV230" s="291"/>
      <c r="IW230" s="291"/>
    </row>
    <row r="231" customFormat="false" ht="12.75" hidden="false" customHeight="false" outlineLevel="2" collapsed="false">
      <c r="A231" s="2" t="str">
        <f aca="false">B231&amp;C231&amp;D231</f>
        <v>O&amp;M Mobilization BudgetProcurement ExpensesShop Tools &amp; Equipment</v>
      </c>
      <c r="B231" s="2" t="s">
        <v>413</v>
      </c>
      <c r="C231" s="2" t="s">
        <v>574</v>
      </c>
      <c r="D231" s="2" t="s">
        <v>197</v>
      </c>
      <c r="E231" s="325" t="s">
        <v>708</v>
      </c>
      <c r="F231" s="326" t="s">
        <v>709</v>
      </c>
      <c r="G231" s="326" t="s">
        <v>710</v>
      </c>
      <c r="H231" s="293" t="n">
        <f aca="false">2*1200</f>
        <v>2400</v>
      </c>
      <c r="I231" s="314" t="n">
        <v>1</v>
      </c>
      <c r="J231" s="295" t="n">
        <f aca="false">I231*H231</f>
        <v>2400</v>
      </c>
      <c r="K231" s="295" t="n">
        <f aca="false">H231-J231</f>
        <v>0</v>
      </c>
      <c r="L231" s="0"/>
      <c r="M231" s="0"/>
      <c r="N231" s="2"/>
    </row>
    <row r="232" customFormat="false" ht="12.75" hidden="false" customHeight="false" outlineLevel="2" collapsed="false">
      <c r="A232" s="2" t="str">
        <f aca="false">B232&amp;C232&amp;D232</f>
        <v>O&amp;M Mobilization BudgetProcurement ExpensesShop Tools &amp; Equipment</v>
      </c>
      <c r="B232" s="2" t="s">
        <v>413</v>
      </c>
      <c r="C232" s="2" t="s">
        <v>574</v>
      </c>
      <c r="D232" s="2" t="s">
        <v>197</v>
      </c>
      <c r="E232" s="325" t="s">
        <v>711</v>
      </c>
      <c r="F232" s="326" t="s">
        <v>709</v>
      </c>
      <c r="G232" s="327" t="s">
        <v>712</v>
      </c>
      <c r="H232" s="293" t="n">
        <v>3000</v>
      </c>
      <c r="I232" s="314" t="n">
        <v>1</v>
      </c>
      <c r="J232" s="295" t="n">
        <f aca="false">I232*H232</f>
        <v>3000</v>
      </c>
      <c r="K232" s="295" t="n">
        <f aca="false">H232-J232</f>
        <v>0</v>
      </c>
      <c r="L232" s="0"/>
      <c r="M232" s="0"/>
      <c r="N232" s="2"/>
    </row>
    <row r="233" customFormat="false" ht="12.75" hidden="false" customHeight="false" outlineLevel="2" collapsed="false">
      <c r="A233" s="2" t="str">
        <f aca="false">B233&amp;C233&amp;D233</f>
        <v>O&amp;M Mobilization BudgetProcurement ExpensesShop Tools &amp; Equipment</v>
      </c>
      <c r="B233" s="2" t="s">
        <v>413</v>
      </c>
      <c r="C233" s="2" t="s">
        <v>574</v>
      </c>
      <c r="D233" s="2" t="s">
        <v>197</v>
      </c>
      <c r="E233" s="325" t="s">
        <v>713</v>
      </c>
      <c r="F233" s="326"/>
      <c r="G233" s="328" t="n">
        <v>8000</v>
      </c>
      <c r="H233" s="293" t="n">
        <v>8000</v>
      </c>
      <c r="I233" s="314" t="n">
        <v>1</v>
      </c>
      <c r="J233" s="295" t="n">
        <f aca="false">I233*H233</f>
        <v>8000</v>
      </c>
      <c r="K233" s="295" t="n">
        <f aca="false">H233-J233</f>
        <v>0</v>
      </c>
      <c r="L233" s="0"/>
      <c r="M233" s="0"/>
      <c r="N233" s="2"/>
    </row>
    <row r="234" customFormat="false" ht="12.75" hidden="false" customHeight="false" outlineLevel="2" collapsed="false">
      <c r="A234" s="2" t="str">
        <f aca="false">B234&amp;C234&amp;D234</f>
        <v>O&amp;M Mobilization BudgetProcurement ExpensesShop Tools &amp; Equipment</v>
      </c>
      <c r="B234" s="2" t="s">
        <v>413</v>
      </c>
      <c r="C234" s="2" t="s">
        <v>574</v>
      </c>
      <c r="D234" s="2" t="s">
        <v>197</v>
      </c>
      <c r="E234" s="325" t="s">
        <v>714</v>
      </c>
      <c r="F234" s="326"/>
      <c r="G234" s="326" t="s">
        <v>715</v>
      </c>
      <c r="H234" s="293" t="n">
        <v>4000</v>
      </c>
      <c r="I234" s="314" t="n">
        <v>1</v>
      </c>
      <c r="J234" s="295" t="n">
        <f aca="false">I234*H234</f>
        <v>4000</v>
      </c>
      <c r="K234" s="295" t="n">
        <f aca="false">H234-J234</f>
        <v>0</v>
      </c>
      <c r="L234" s="0"/>
      <c r="M234" s="0"/>
      <c r="N234" s="2"/>
    </row>
    <row r="235" customFormat="false" ht="12.75" hidden="false" customHeight="false" outlineLevel="2" collapsed="false">
      <c r="E235" s="325" t="s">
        <v>716</v>
      </c>
      <c r="F235" s="326"/>
      <c r="G235" s="326" t="s">
        <v>715</v>
      </c>
      <c r="H235" s="293" t="n">
        <v>1000</v>
      </c>
      <c r="I235" s="314" t="n">
        <v>1</v>
      </c>
      <c r="J235" s="295" t="n">
        <f aca="false">I235*H235</f>
        <v>1000</v>
      </c>
      <c r="K235" s="295" t="n">
        <f aca="false">H235-J235</f>
        <v>0</v>
      </c>
      <c r="L235" s="0"/>
      <c r="M235" s="0"/>
      <c r="N235" s="2"/>
    </row>
    <row r="236" customFormat="false" ht="12.75" hidden="false" customHeight="false" outlineLevel="2" collapsed="false">
      <c r="A236" s="2" t="str">
        <f aca="false">B236&amp;C236&amp;D236</f>
        <v>O&amp;M Mobilization BudgetProcurement ExpensesShop Tools &amp; Equipment</v>
      </c>
      <c r="B236" s="2" t="s">
        <v>413</v>
      </c>
      <c r="C236" s="2" t="s">
        <v>574</v>
      </c>
      <c r="D236" s="2" t="s">
        <v>197</v>
      </c>
      <c r="E236" s="325" t="s">
        <v>717</v>
      </c>
      <c r="F236" s="329" t="s">
        <v>718</v>
      </c>
      <c r="G236" s="330" t="s">
        <v>710</v>
      </c>
      <c r="H236" s="293"/>
      <c r="I236" s="314" t="n">
        <v>1</v>
      </c>
      <c r="J236" s="295" t="n">
        <f aca="false">I236*H236</f>
        <v>0</v>
      </c>
      <c r="K236" s="295" t="n">
        <f aca="false">H236-J236</f>
        <v>0</v>
      </c>
      <c r="L236" s="0"/>
      <c r="M236" s="0"/>
      <c r="N236" s="2"/>
    </row>
    <row r="237" customFormat="false" ht="12.75" hidden="false" customHeight="false" outlineLevel="2" collapsed="false">
      <c r="A237" s="2" t="str">
        <f aca="false">B237&amp;C237&amp;D237</f>
        <v>O&amp;M Mobilization BudgetProcurement ExpensesShop Tools &amp; Equipment</v>
      </c>
      <c r="B237" s="2" t="s">
        <v>413</v>
      </c>
      <c r="C237" s="2" t="s">
        <v>574</v>
      </c>
      <c r="D237" s="2" t="s">
        <v>197</v>
      </c>
      <c r="E237" s="325"/>
      <c r="F237" s="329" t="s">
        <v>719</v>
      </c>
      <c r="G237" s="330" t="s">
        <v>720</v>
      </c>
      <c r="H237" s="293"/>
      <c r="I237" s="314" t="n">
        <v>1</v>
      </c>
      <c r="J237" s="295" t="n">
        <f aca="false">I237*H237</f>
        <v>0</v>
      </c>
      <c r="K237" s="295" t="n">
        <f aca="false">H237-J237</f>
        <v>0</v>
      </c>
      <c r="L237" s="0"/>
      <c r="M237" s="0"/>
      <c r="N237" s="2"/>
    </row>
    <row r="238" customFormat="false" ht="12.75" hidden="false" customHeight="false" outlineLevel="2" collapsed="false">
      <c r="A238" s="2" t="str">
        <f aca="false">B238&amp;C238&amp;D238</f>
        <v>O&amp;M Mobilization BudgetProcurement ExpensesShop Tools &amp; Equipment</v>
      </c>
      <c r="B238" s="2" t="s">
        <v>413</v>
      </c>
      <c r="C238" s="2" t="s">
        <v>574</v>
      </c>
      <c r="D238" s="2" t="s">
        <v>197</v>
      </c>
      <c r="E238" s="325"/>
      <c r="F238" s="329" t="s">
        <v>721</v>
      </c>
      <c r="G238" s="330" t="s">
        <v>722</v>
      </c>
      <c r="H238" s="293" t="n">
        <v>960</v>
      </c>
      <c r="I238" s="314" t="n">
        <v>1</v>
      </c>
      <c r="J238" s="295" t="n">
        <f aca="false">I238*H238</f>
        <v>960</v>
      </c>
      <c r="K238" s="295" t="n">
        <f aca="false">H238-J238</f>
        <v>0</v>
      </c>
      <c r="L238" s="0"/>
      <c r="M238" s="0"/>
      <c r="N238" s="2"/>
    </row>
    <row r="239" customFormat="false" ht="12.75" hidden="false" customHeight="false" outlineLevel="2" collapsed="false">
      <c r="E239" s="331"/>
      <c r="F239" s="332" t="s">
        <v>723</v>
      </c>
      <c r="G239" s="333" t="s">
        <v>724</v>
      </c>
      <c r="H239" s="293"/>
      <c r="I239" s="314" t="n">
        <v>1</v>
      </c>
      <c r="J239" s="295" t="n">
        <f aca="false">I239*H239</f>
        <v>0</v>
      </c>
      <c r="K239" s="295" t="n">
        <f aca="false">H239-J239</f>
        <v>0</v>
      </c>
      <c r="L239" s="0"/>
      <c r="M239" s="0"/>
      <c r="N239" s="2"/>
    </row>
    <row r="240" customFormat="false" ht="12.75" hidden="false" customHeight="false" outlineLevel="2" collapsed="false">
      <c r="E240" s="334"/>
      <c r="F240" s="332" t="s">
        <v>725</v>
      </c>
      <c r="G240" s="333" t="s">
        <v>726</v>
      </c>
      <c r="H240" s="293" t="n">
        <v>2500</v>
      </c>
      <c r="I240" s="314" t="n">
        <v>1</v>
      </c>
      <c r="J240" s="295" t="n">
        <f aca="false">I240*H240</f>
        <v>2500</v>
      </c>
      <c r="K240" s="295" t="n">
        <f aca="false">H240-J240</f>
        <v>0</v>
      </c>
      <c r="L240" s="0"/>
      <c r="M240" s="0"/>
      <c r="N240" s="2"/>
    </row>
    <row r="241" customFormat="false" ht="12.75" hidden="false" customHeight="false" outlineLevel="2" collapsed="false">
      <c r="E241" s="334"/>
      <c r="F241" s="332" t="s">
        <v>727</v>
      </c>
      <c r="G241" s="333" t="s">
        <v>715</v>
      </c>
      <c r="H241" s="293" t="n">
        <v>1000</v>
      </c>
      <c r="I241" s="314" t="n">
        <v>1</v>
      </c>
      <c r="J241" s="295" t="n">
        <f aca="false">I241*H241</f>
        <v>1000</v>
      </c>
      <c r="K241" s="295" t="n">
        <f aca="false">H241-J241</f>
        <v>0</v>
      </c>
      <c r="L241" s="0"/>
      <c r="M241" s="0"/>
      <c r="N241" s="2"/>
    </row>
    <row r="242" customFormat="false" ht="12.75" hidden="false" customHeight="false" outlineLevel="2" collapsed="false">
      <c r="E242" s="325"/>
      <c r="F242" s="332" t="s">
        <v>728</v>
      </c>
      <c r="G242" s="333" t="s">
        <v>729</v>
      </c>
      <c r="H242" s="293"/>
      <c r="I242" s="314" t="n">
        <v>1</v>
      </c>
      <c r="J242" s="295" t="n">
        <f aca="false">I242*H242</f>
        <v>0</v>
      </c>
      <c r="K242" s="295" t="n">
        <f aca="false">H242-J242</f>
        <v>0</v>
      </c>
      <c r="L242" s="0"/>
      <c r="M242" s="0"/>
      <c r="N242" s="2"/>
    </row>
    <row r="243" customFormat="false" ht="12.75" hidden="false" customHeight="false" outlineLevel="2" collapsed="false">
      <c r="A243" s="2" t="str">
        <f aca="false">B243&amp;C243&amp;D243</f>
        <v>O&amp;M Mobilization BudgetProcurement ExpensesShop Tools &amp; Equipment</v>
      </c>
      <c r="B243" s="2" t="s">
        <v>413</v>
      </c>
      <c r="C243" s="2" t="s">
        <v>574</v>
      </c>
      <c r="D243" s="2" t="s">
        <v>197</v>
      </c>
      <c r="E243" s="325"/>
      <c r="F243" s="332" t="s">
        <v>730</v>
      </c>
      <c r="G243" s="333" t="s">
        <v>731</v>
      </c>
      <c r="H243" s="293" t="n">
        <v>900</v>
      </c>
      <c r="I243" s="314" t="n">
        <v>1</v>
      </c>
      <c r="J243" s="295" t="n">
        <f aca="false">I243*H243</f>
        <v>900</v>
      </c>
      <c r="K243" s="295" t="n">
        <f aca="false">H243-J243</f>
        <v>0</v>
      </c>
      <c r="L243" s="0"/>
      <c r="M243" s="0"/>
      <c r="N243" s="2"/>
    </row>
    <row r="244" customFormat="false" ht="12.75" hidden="false" customHeight="false" outlineLevel="2" collapsed="false">
      <c r="E244" s="325"/>
      <c r="F244" s="332" t="s">
        <v>732</v>
      </c>
      <c r="G244" s="333" t="s">
        <v>733</v>
      </c>
      <c r="H244" s="293" t="n">
        <v>600</v>
      </c>
      <c r="I244" s="314" t="n">
        <v>1</v>
      </c>
      <c r="J244" s="295" t="n">
        <f aca="false">I244*H244</f>
        <v>600</v>
      </c>
      <c r="K244" s="295" t="n">
        <f aca="false">H244-J244</f>
        <v>0</v>
      </c>
      <c r="L244" s="0"/>
      <c r="M244" s="0"/>
      <c r="N244" s="2"/>
    </row>
    <row r="245" customFormat="false" ht="12.75" hidden="false" customHeight="false" outlineLevel="2" collapsed="false">
      <c r="E245" s="334"/>
      <c r="F245" s="332" t="s">
        <v>734</v>
      </c>
      <c r="G245" s="333" t="s">
        <v>735</v>
      </c>
      <c r="H245" s="293" t="n">
        <v>1400</v>
      </c>
      <c r="I245" s="314" t="n">
        <v>1</v>
      </c>
      <c r="J245" s="295" t="n">
        <f aca="false">I245*H245</f>
        <v>1400</v>
      </c>
      <c r="K245" s="295" t="n">
        <f aca="false">H245-J245</f>
        <v>0</v>
      </c>
      <c r="L245" s="0"/>
      <c r="M245" s="0"/>
      <c r="N245" s="2"/>
    </row>
    <row r="246" customFormat="false" ht="12.75" hidden="false" customHeight="false" outlineLevel="1" collapsed="false">
      <c r="A246" s="291" t="s">
        <v>736</v>
      </c>
      <c r="B246" s="291" t="s">
        <v>413</v>
      </c>
      <c r="C246" s="291" t="s">
        <v>574</v>
      </c>
      <c r="D246" s="291" t="s">
        <v>197</v>
      </c>
      <c r="E246" s="334"/>
      <c r="F246" s="332" t="s">
        <v>737</v>
      </c>
      <c r="G246" s="333" t="s">
        <v>710</v>
      </c>
      <c r="H246" s="293"/>
      <c r="I246" s="314" t="n">
        <v>1</v>
      </c>
      <c r="J246" s="295" t="n">
        <f aca="false">I246*H246</f>
        <v>0</v>
      </c>
      <c r="K246" s="295" t="n">
        <f aca="false">H246-J246</f>
        <v>0</v>
      </c>
      <c r="L246" s="0"/>
      <c r="M246" s="0"/>
      <c r="N246" s="291"/>
      <c r="O246" s="291"/>
      <c r="P246" s="291"/>
      <c r="Q246" s="291"/>
      <c r="R246" s="291"/>
      <c r="S246" s="291"/>
      <c r="T246" s="291"/>
      <c r="U246" s="291"/>
      <c r="V246" s="291"/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1"/>
      <c r="AZ246" s="291"/>
      <c r="BA246" s="291"/>
      <c r="BB246" s="291"/>
      <c r="BC246" s="291"/>
      <c r="BD246" s="291"/>
      <c r="BE246" s="291"/>
      <c r="BF246" s="291"/>
      <c r="BG246" s="291"/>
      <c r="BH246" s="291"/>
      <c r="BI246" s="291"/>
      <c r="BJ246" s="291"/>
      <c r="BK246" s="291"/>
      <c r="BL246" s="291"/>
      <c r="BM246" s="291"/>
      <c r="BN246" s="291"/>
      <c r="BO246" s="291"/>
      <c r="BP246" s="291"/>
      <c r="BQ246" s="291"/>
      <c r="BR246" s="291"/>
      <c r="BS246" s="291"/>
      <c r="BT246" s="291"/>
      <c r="BU246" s="291"/>
      <c r="BV246" s="291"/>
      <c r="BW246" s="291"/>
      <c r="BX246" s="291"/>
      <c r="BY246" s="291"/>
      <c r="BZ246" s="291"/>
      <c r="CA246" s="291"/>
      <c r="CB246" s="291"/>
      <c r="CC246" s="291"/>
      <c r="CD246" s="291"/>
      <c r="CE246" s="291"/>
      <c r="CF246" s="291"/>
      <c r="CG246" s="291"/>
      <c r="CH246" s="291"/>
      <c r="CI246" s="291"/>
      <c r="CJ246" s="291"/>
      <c r="CK246" s="291"/>
      <c r="CL246" s="291"/>
      <c r="CM246" s="291"/>
      <c r="CN246" s="291"/>
      <c r="CO246" s="291"/>
      <c r="CP246" s="291"/>
      <c r="CQ246" s="291"/>
      <c r="CR246" s="291"/>
      <c r="CS246" s="291"/>
      <c r="CT246" s="291"/>
      <c r="CU246" s="291"/>
      <c r="CV246" s="291"/>
      <c r="CW246" s="291"/>
      <c r="CX246" s="291"/>
      <c r="CY246" s="291"/>
      <c r="CZ246" s="291"/>
      <c r="DA246" s="291"/>
      <c r="DB246" s="291"/>
      <c r="DC246" s="291"/>
      <c r="DD246" s="291"/>
      <c r="DE246" s="291"/>
      <c r="DF246" s="291"/>
      <c r="DG246" s="291"/>
      <c r="DH246" s="291"/>
      <c r="DI246" s="291"/>
      <c r="DJ246" s="291"/>
      <c r="DK246" s="291"/>
      <c r="DL246" s="291"/>
      <c r="DM246" s="291"/>
      <c r="DN246" s="291"/>
      <c r="DO246" s="291"/>
      <c r="DP246" s="291"/>
      <c r="DQ246" s="291"/>
      <c r="DR246" s="291"/>
      <c r="DS246" s="291"/>
      <c r="DT246" s="291"/>
      <c r="DU246" s="291"/>
      <c r="DV246" s="291"/>
      <c r="DW246" s="291"/>
      <c r="DX246" s="291"/>
      <c r="DY246" s="291"/>
      <c r="DZ246" s="291"/>
      <c r="EA246" s="291"/>
      <c r="EB246" s="291"/>
      <c r="EC246" s="291"/>
      <c r="ED246" s="291"/>
      <c r="EE246" s="291"/>
      <c r="EF246" s="291"/>
      <c r="EG246" s="291"/>
      <c r="EH246" s="291"/>
      <c r="EI246" s="291"/>
      <c r="EJ246" s="291"/>
      <c r="EK246" s="291"/>
      <c r="EL246" s="291"/>
      <c r="EM246" s="291"/>
      <c r="EN246" s="291"/>
      <c r="EO246" s="291"/>
      <c r="EP246" s="291"/>
      <c r="EQ246" s="291"/>
      <c r="ER246" s="291"/>
      <c r="ES246" s="291"/>
      <c r="ET246" s="291"/>
      <c r="EU246" s="291"/>
      <c r="EV246" s="291"/>
      <c r="EW246" s="291"/>
      <c r="EX246" s="291"/>
      <c r="EY246" s="291"/>
      <c r="EZ246" s="291"/>
      <c r="FA246" s="291"/>
      <c r="FB246" s="291"/>
      <c r="FC246" s="291"/>
      <c r="FD246" s="291"/>
      <c r="FE246" s="291"/>
      <c r="FF246" s="291"/>
      <c r="FG246" s="291"/>
      <c r="FH246" s="291"/>
      <c r="FI246" s="291"/>
      <c r="FJ246" s="291"/>
      <c r="FK246" s="291"/>
      <c r="FL246" s="291"/>
      <c r="FM246" s="291"/>
      <c r="FN246" s="291"/>
      <c r="FO246" s="291"/>
      <c r="FP246" s="291"/>
      <c r="FQ246" s="291"/>
      <c r="FR246" s="291"/>
      <c r="FS246" s="291"/>
      <c r="FT246" s="291"/>
      <c r="FU246" s="291"/>
      <c r="FV246" s="291"/>
      <c r="FW246" s="291"/>
      <c r="FX246" s="291"/>
      <c r="FY246" s="291"/>
      <c r="FZ246" s="291"/>
      <c r="GA246" s="291"/>
      <c r="GB246" s="291"/>
      <c r="GC246" s="291"/>
      <c r="GD246" s="291"/>
      <c r="GE246" s="291"/>
      <c r="GF246" s="291"/>
      <c r="GG246" s="291"/>
      <c r="GH246" s="291"/>
      <c r="GI246" s="291"/>
      <c r="GJ246" s="291"/>
      <c r="GK246" s="291"/>
      <c r="GL246" s="291"/>
      <c r="GM246" s="291"/>
      <c r="GN246" s="291"/>
      <c r="GO246" s="291"/>
      <c r="GP246" s="291"/>
      <c r="GQ246" s="291"/>
      <c r="GR246" s="291"/>
      <c r="GS246" s="291"/>
      <c r="GT246" s="291"/>
      <c r="GU246" s="291"/>
      <c r="GV246" s="291"/>
      <c r="GW246" s="291"/>
      <c r="GX246" s="291"/>
      <c r="GY246" s="291"/>
      <c r="GZ246" s="291"/>
      <c r="HA246" s="291"/>
      <c r="HB246" s="291"/>
      <c r="HC246" s="291"/>
      <c r="HD246" s="291"/>
      <c r="HE246" s="291"/>
      <c r="HF246" s="291"/>
      <c r="HG246" s="291"/>
      <c r="HH246" s="291"/>
      <c r="HI246" s="291"/>
      <c r="HJ246" s="291"/>
      <c r="HK246" s="291"/>
      <c r="HL246" s="291"/>
      <c r="HM246" s="291"/>
      <c r="HN246" s="291"/>
      <c r="HO246" s="291"/>
      <c r="HP246" s="291"/>
      <c r="HQ246" s="291"/>
      <c r="HR246" s="291"/>
      <c r="HS246" s="291"/>
      <c r="HT246" s="291"/>
      <c r="HU246" s="291"/>
      <c r="HV246" s="291"/>
      <c r="HW246" s="291"/>
      <c r="HX246" s="291"/>
      <c r="HY246" s="291"/>
      <c r="HZ246" s="291"/>
      <c r="IA246" s="291"/>
      <c r="IB246" s="291"/>
      <c r="IC246" s="291"/>
      <c r="ID246" s="291"/>
      <c r="IE246" s="291"/>
      <c r="IF246" s="291"/>
      <c r="IG246" s="291"/>
      <c r="IH246" s="291"/>
      <c r="II246" s="291"/>
      <c r="IJ246" s="291"/>
      <c r="IK246" s="291"/>
      <c r="IL246" s="291"/>
      <c r="IM246" s="291"/>
      <c r="IN246" s="291"/>
      <c r="IO246" s="291"/>
      <c r="IP246" s="291"/>
      <c r="IQ246" s="291"/>
      <c r="IR246" s="291"/>
      <c r="IS246" s="291"/>
      <c r="IT246" s="291"/>
      <c r="IU246" s="291"/>
      <c r="IV246" s="291"/>
      <c r="IW246" s="291"/>
    </row>
    <row r="247" customFormat="false" ht="12.75" hidden="false" customHeight="false" outlineLevel="1" collapsed="false">
      <c r="A247" s="2" t="s">
        <v>738</v>
      </c>
      <c r="B247" s="2" t="s">
        <v>413</v>
      </c>
      <c r="C247" s="2" t="s">
        <v>574</v>
      </c>
      <c r="D247" s="2" t="s">
        <v>198</v>
      </c>
      <c r="E247" s="334"/>
      <c r="F247" s="332" t="s">
        <v>739</v>
      </c>
      <c r="G247" s="333" t="s">
        <v>740</v>
      </c>
      <c r="H247" s="293" t="n">
        <v>160</v>
      </c>
      <c r="I247" s="314" t="n">
        <v>1</v>
      </c>
      <c r="J247" s="295" t="n">
        <f aca="false">I247*H247</f>
        <v>160</v>
      </c>
      <c r="K247" s="295" t="n">
        <f aca="false">H247-J247</f>
        <v>0</v>
      </c>
      <c r="L247" s="0"/>
      <c r="M247" s="0"/>
      <c r="N247" s="291"/>
      <c r="O247" s="291"/>
      <c r="P247" s="291"/>
      <c r="Q247" s="291"/>
      <c r="R247" s="291"/>
      <c r="S247" s="291"/>
      <c r="T247" s="291"/>
      <c r="U247" s="291"/>
      <c r="V247" s="291"/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1"/>
      <c r="AZ247" s="291"/>
      <c r="BA247" s="291"/>
      <c r="BB247" s="291"/>
      <c r="BC247" s="291"/>
      <c r="BD247" s="291"/>
      <c r="BE247" s="291"/>
      <c r="BF247" s="291"/>
      <c r="BG247" s="291"/>
      <c r="BH247" s="291"/>
      <c r="BI247" s="291"/>
      <c r="BJ247" s="291"/>
      <c r="BK247" s="291"/>
      <c r="BL247" s="291"/>
      <c r="BM247" s="291"/>
      <c r="BN247" s="291"/>
      <c r="BO247" s="291"/>
      <c r="BP247" s="291"/>
      <c r="BQ247" s="291"/>
      <c r="BR247" s="291"/>
      <c r="BS247" s="291"/>
      <c r="BT247" s="291"/>
      <c r="BU247" s="291"/>
      <c r="BV247" s="291"/>
      <c r="BW247" s="291"/>
      <c r="BX247" s="291"/>
      <c r="BY247" s="291"/>
      <c r="BZ247" s="291"/>
      <c r="CA247" s="291"/>
      <c r="CB247" s="291"/>
      <c r="CC247" s="291"/>
      <c r="CD247" s="291"/>
      <c r="CE247" s="291"/>
      <c r="CF247" s="291"/>
      <c r="CG247" s="291"/>
      <c r="CH247" s="291"/>
      <c r="CI247" s="291"/>
      <c r="CJ247" s="291"/>
      <c r="CK247" s="291"/>
      <c r="CL247" s="291"/>
      <c r="CM247" s="291"/>
      <c r="CN247" s="291"/>
      <c r="CO247" s="291"/>
      <c r="CP247" s="291"/>
      <c r="CQ247" s="291"/>
      <c r="CR247" s="291"/>
      <c r="CS247" s="291"/>
      <c r="CT247" s="291"/>
      <c r="CU247" s="291"/>
      <c r="CV247" s="291"/>
      <c r="CW247" s="291"/>
      <c r="CX247" s="291"/>
      <c r="CY247" s="291"/>
      <c r="CZ247" s="291"/>
      <c r="DA247" s="291"/>
      <c r="DB247" s="291"/>
      <c r="DC247" s="291"/>
      <c r="DD247" s="291"/>
      <c r="DE247" s="291"/>
      <c r="DF247" s="291"/>
      <c r="DG247" s="291"/>
      <c r="DH247" s="291"/>
      <c r="DI247" s="291"/>
      <c r="DJ247" s="291"/>
      <c r="DK247" s="291"/>
      <c r="DL247" s="291"/>
      <c r="DM247" s="291"/>
      <c r="DN247" s="291"/>
      <c r="DO247" s="291"/>
      <c r="DP247" s="291"/>
      <c r="DQ247" s="291"/>
      <c r="DR247" s="291"/>
      <c r="DS247" s="291"/>
      <c r="DT247" s="291"/>
      <c r="DU247" s="291"/>
      <c r="DV247" s="291"/>
      <c r="DW247" s="291"/>
      <c r="DX247" s="291"/>
      <c r="DY247" s="291"/>
      <c r="DZ247" s="291"/>
      <c r="EA247" s="291"/>
      <c r="EB247" s="291"/>
      <c r="EC247" s="291"/>
      <c r="ED247" s="291"/>
      <c r="EE247" s="291"/>
      <c r="EF247" s="291"/>
      <c r="EG247" s="291"/>
      <c r="EH247" s="291"/>
      <c r="EI247" s="291"/>
      <c r="EJ247" s="291"/>
      <c r="EK247" s="291"/>
      <c r="EL247" s="291"/>
      <c r="EM247" s="291"/>
      <c r="EN247" s="291"/>
      <c r="EO247" s="291"/>
      <c r="EP247" s="291"/>
      <c r="EQ247" s="291"/>
      <c r="ER247" s="291"/>
      <c r="ES247" s="291"/>
      <c r="ET247" s="291"/>
      <c r="EU247" s="291"/>
      <c r="EV247" s="291"/>
      <c r="EW247" s="291"/>
      <c r="EX247" s="291"/>
      <c r="EY247" s="291"/>
      <c r="EZ247" s="291"/>
      <c r="FA247" s="291"/>
      <c r="FB247" s="291"/>
      <c r="FC247" s="291"/>
      <c r="FD247" s="291"/>
      <c r="FE247" s="291"/>
      <c r="FF247" s="291"/>
      <c r="FG247" s="291"/>
      <c r="FH247" s="291"/>
      <c r="FI247" s="291"/>
      <c r="FJ247" s="291"/>
      <c r="FK247" s="291"/>
      <c r="FL247" s="291"/>
      <c r="FM247" s="291"/>
      <c r="FN247" s="291"/>
      <c r="FO247" s="291"/>
      <c r="FP247" s="291"/>
      <c r="FQ247" s="291"/>
      <c r="FR247" s="291"/>
      <c r="FS247" s="291"/>
      <c r="FT247" s="291"/>
      <c r="FU247" s="291"/>
      <c r="FV247" s="291"/>
      <c r="FW247" s="291"/>
      <c r="FX247" s="291"/>
      <c r="FY247" s="291"/>
      <c r="FZ247" s="291"/>
      <c r="GA247" s="291"/>
      <c r="GB247" s="291"/>
      <c r="GC247" s="291"/>
      <c r="GD247" s="291"/>
      <c r="GE247" s="291"/>
      <c r="GF247" s="291"/>
      <c r="GG247" s="291"/>
      <c r="GH247" s="291"/>
      <c r="GI247" s="291"/>
      <c r="GJ247" s="291"/>
      <c r="GK247" s="291"/>
      <c r="GL247" s="291"/>
      <c r="GM247" s="291"/>
      <c r="GN247" s="291"/>
      <c r="GO247" s="291"/>
      <c r="GP247" s="291"/>
      <c r="GQ247" s="291"/>
      <c r="GR247" s="291"/>
      <c r="GS247" s="291"/>
      <c r="GT247" s="291"/>
      <c r="GU247" s="291"/>
      <c r="GV247" s="291"/>
      <c r="GW247" s="291"/>
      <c r="GX247" s="291"/>
      <c r="GY247" s="291"/>
      <c r="GZ247" s="291"/>
      <c r="HA247" s="291"/>
      <c r="HB247" s="291"/>
      <c r="HC247" s="291"/>
      <c r="HD247" s="291"/>
      <c r="HE247" s="291"/>
      <c r="HF247" s="291"/>
      <c r="HG247" s="291"/>
      <c r="HH247" s="291"/>
      <c r="HI247" s="291"/>
      <c r="HJ247" s="291"/>
      <c r="HK247" s="291"/>
      <c r="HL247" s="291"/>
      <c r="HM247" s="291"/>
      <c r="HN247" s="291"/>
      <c r="HO247" s="291"/>
      <c r="HP247" s="291"/>
      <c r="HQ247" s="291"/>
      <c r="HR247" s="291"/>
      <c r="HS247" s="291"/>
      <c r="HT247" s="291"/>
      <c r="HU247" s="291"/>
      <c r="HV247" s="291"/>
      <c r="HW247" s="291"/>
      <c r="HX247" s="291"/>
      <c r="HY247" s="291"/>
      <c r="HZ247" s="291"/>
      <c r="IA247" s="291"/>
      <c r="IB247" s="291"/>
      <c r="IC247" s="291"/>
      <c r="ID247" s="291"/>
      <c r="IE247" s="291"/>
      <c r="IF247" s="291"/>
      <c r="IG247" s="291"/>
      <c r="IH247" s="291"/>
      <c r="II247" s="291"/>
      <c r="IJ247" s="291"/>
      <c r="IK247" s="291"/>
      <c r="IL247" s="291"/>
      <c r="IM247" s="291"/>
      <c r="IN247" s="291"/>
      <c r="IO247" s="291"/>
      <c r="IP247" s="291"/>
      <c r="IQ247" s="291"/>
      <c r="IR247" s="291"/>
      <c r="IS247" s="291"/>
      <c r="IT247" s="291"/>
      <c r="IU247" s="291"/>
      <c r="IV247" s="291"/>
      <c r="IW247" s="291"/>
    </row>
    <row r="248" customFormat="false" ht="12.75" hidden="false" customHeight="false" outlineLevel="2" collapsed="false">
      <c r="A248" s="2" t="str">
        <f aca="false">B248&amp;C248&amp;D248</f>
        <v>O&amp;M Mobilization BudgetProcurement ExpensesChemicals, Lubricants, Hydraulic Fluids</v>
      </c>
      <c r="B248" s="2" t="s">
        <v>413</v>
      </c>
      <c r="C248" s="2" t="s">
        <v>574</v>
      </c>
      <c r="D248" s="2" t="s">
        <v>198</v>
      </c>
      <c r="E248" s="334"/>
      <c r="F248" s="332" t="s">
        <v>741</v>
      </c>
      <c r="G248" s="333" t="s">
        <v>742</v>
      </c>
      <c r="H248" s="293" t="n">
        <f aca="false">250*12</f>
        <v>3000</v>
      </c>
      <c r="I248" s="314" t="n">
        <v>1</v>
      </c>
      <c r="J248" s="295" t="n">
        <f aca="false">I248*H248</f>
        <v>3000</v>
      </c>
      <c r="K248" s="295" t="n">
        <f aca="false">H248-J248</f>
        <v>0</v>
      </c>
      <c r="L248" s="0"/>
      <c r="M248" s="0"/>
      <c r="N248" s="2"/>
    </row>
    <row r="249" customFormat="false" ht="12.75" hidden="false" customHeight="false" outlineLevel="2" collapsed="false">
      <c r="A249" s="2" t="str">
        <f aca="false">B249&amp;C249&amp;D249</f>
        <v>O&amp;M Mobilization BudgetProcurement ExpensesChemicals, Lubricants, Hydraulic Fluids</v>
      </c>
      <c r="B249" s="2" t="s">
        <v>413</v>
      </c>
      <c r="C249" s="2" t="s">
        <v>574</v>
      </c>
      <c r="D249" s="2" t="s">
        <v>198</v>
      </c>
      <c r="E249" s="325"/>
      <c r="F249" s="332" t="s">
        <v>743</v>
      </c>
      <c r="G249" s="333" t="s">
        <v>744</v>
      </c>
      <c r="H249" s="293" t="n">
        <v>600</v>
      </c>
      <c r="I249" s="314" t="n">
        <v>1</v>
      </c>
      <c r="J249" s="295" t="n">
        <f aca="false">I249*H249</f>
        <v>600</v>
      </c>
      <c r="K249" s="295" t="n">
        <f aca="false">H249-J249</f>
        <v>0</v>
      </c>
      <c r="L249" s="0"/>
      <c r="M249" s="0"/>
      <c r="N249" s="2"/>
    </row>
    <row r="250" customFormat="false" ht="12.75" hidden="false" customHeight="false" outlineLevel="2" collapsed="false">
      <c r="E250" s="325"/>
      <c r="F250" s="332" t="s">
        <v>745</v>
      </c>
      <c r="G250" s="333" t="s">
        <v>715</v>
      </c>
      <c r="H250" s="293" t="n">
        <v>1000</v>
      </c>
      <c r="I250" s="314" t="n">
        <v>1</v>
      </c>
      <c r="J250" s="295" t="n">
        <f aca="false">I250*H250</f>
        <v>1000</v>
      </c>
      <c r="K250" s="295" t="n">
        <f aca="false">H250-J250</f>
        <v>0</v>
      </c>
      <c r="L250" s="0"/>
      <c r="M250" s="0"/>
      <c r="N250" s="2"/>
    </row>
    <row r="251" customFormat="false" ht="12.75" hidden="false" customHeight="false" outlineLevel="2" collapsed="false">
      <c r="E251" s="325"/>
      <c r="F251" s="332" t="s">
        <v>746</v>
      </c>
      <c r="G251" s="333" t="s">
        <v>747</v>
      </c>
      <c r="H251" s="293" t="n">
        <v>400</v>
      </c>
      <c r="I251" s="314" t="n">
        <v>1</v>
      </c>
      <c r="J251" s="295" t="n">
        <f aca="false">I251*H251</f>
        <v>400</v>
      </c>
      <c r="K251" s="295" t="n">
        <f aca="false">H251-J251</f>
        <v>0</v>
      </c>
      <c r="L251" s="0"/>
      <c r="M251" s="0"/>
      <c r="N251" s="2"/>
    </row>
    <row r="252" customFormat="false" ht="12.75" hidden="false" customHeight="false" outlineLevel="1" collapsed="false">
      <c r="A252" s="291" t="s">
        <v>748</v>
      </c>
      <c r="B252" s="291" t="s">
        <v>413</v>
      </c>
      <c r="C252" s="291" t="s">
        <v>574</v>
      </c>
      <c r="D252" s="291" t="s">
        <v>198</v>
      </c>
      <c r="E252" s="325"/>
      <c r="F252" s="332" t="s">
        <v>749</v>
      </c>
      <c r="G252" s="333" t="s">
        <v>750</v>
      </c>
      <c r="H252" s="293" t="n">
        <v>2375</v>
      </c>
      <c r="I252" s="314" t="n">
        <v>1</v>
      </c>
      <c r="J252" s="295" t="n">
        <f aca="false">I252*H252</f>
        <v>2375</v>
      </c>
      <c r="K252" s="295" t="n">
        <f aca="false">H252-J252</f>
        <v>0</v>
      </c>
      <c r="L252" s="0"/>
      <c r="M252" s="0"/>
      <c r="N252" s="291"/>
      <c r="O252" s="291"/>
      <c r="P252" s="291"/>
      <c r="Q252" s="291"/>
      <c r="R252" s="291"/>
      <c r="S252" s="291"/>
      <c r="T252" s="291"/>
      <c r="U252" s="291"/>
      <c r="V252" s="291"/>
      <c r="W252" s="291"/>
      <c r="X252" s="291"/>
      <c r="Y252" s="291"/>
      <c r="Z252" s="291"/>
      <c r="AA252" s="291"/>
      <c r="AB252" s="291"/>
      <c r="AC252" s="291"/>
      <c r="AD252" s="291"/>
      <c r="AE252" s="291"/>
      <c r="AF252" s="291"/>
      <c r="AG252" s="291"/>
      <c r="AH252" s="291"/>
      <c r="AI252" s="291"/>
      <c r="AJ252" s="291"/>
      <c r="AK252" s="291"/>
      <c r="AL252" s="291"/>
      <c r="AM252" s="291"/>
      <c r="AN252" s="291"/>
      <c r="AO252" s="291"/>
      <c r="AP252" s="291"/>
      <c r="AQ252" s="291"/>
      <c r="AR252" s="291"/>
      <c r="AS252" s="291"/>
      <c r="AT252" s="291"/>
      <c r="AU252" s="291"/>
      <c r="AV252" s="291"/>
      <c r="AW252" s="291"/>
      <c r="AX252" s="291"/>
      <c r="AY252" s="291"/>
      <c r="AZ252" s="291"/>
      <c r="BA252" s="291"/>
      <c r="BB252" s="291"/>
      <c r="BC252" s="291"/>
      <c r="BD252" s="291"/>
      <c r="BE252" s="291"/>
      <c r="BF252" s="291"/>
      <c r="BG252" s="291"/>
      <c r="BH252" s="291"/>
      <c r="BI252" s="291"/>
      <c r="BJ252" s="291"/>
      <c r="BK252" s="291"/>
      <c r="BL252" s="291"/>
      <c r="BM252" s="291"/>
      <c r="BN252" s="291"/>
      <c r="BO252" s="291"/>
      <c r="BP252" s="291"/>
      <c r="BQ252" s="291"/>
      <c r="BR252" s="291"/>
      <c r="BS252" s="291"/>
      <c r="BT252" s="291"/>
      <c r="BU252" s="291"/>
      <c r="BV252" s="291"/>
      <c r="BW252" s="291"/>
      <c r="BX252" s="291"/>
      <c r="BY252" s="291"/>
      <c r="BZ252" s="291"/>
      <c r="CA252" s="291"/>
      <c r="CB252" s="291"/>
      <c r="CC252" s="291"/>
      <c r="CD252" s="291"/>
      <c r="CE252" s="291"/>
      <c r="CF252" s="291"/>
      <c r="CG252" s="291"/>
      <c r="CH252" s="291"/>
      <c r="CI252" s="291"/>
      <c r="CJ252" s="291"/>
      <c r="CK252" s="291"/>
      <c r="CL252" s="291"/>
      <c r="CM252" s="291"/>
      <c r="CN252" s="291"/>
      <c r="CO252" s="291"/>
      <c r="CP252" s="291"/>
      <c r="CQ252" s="291"/>
      <c r="CR252" s="291"/>
      <c r="CS252" s="291"/>
      <c r="CT252" s="291"/>
      <c r="CU252" s="291"/>
      <c r="CV252" s="291"/>
      <c r="CW252" s="291"/>
      <c r="CX252" s="291"/>
      <c r="CY252" s="291"/>
      <c r="CZ252" s="291"/>
      <c r="DA252" s="291"/>
      <c r="DB252" s="291"/>
      <c r="DC252" s="291"/>
      <c r="DD252" s="291"/>
      <c r="DE252" s="291"/>
      <c r="DF252" s="291"/>
      <c r="DG252" s="291"/>
      <c r="DH252" s="291"/>
      <c r="DI252" s="291"/>
      <c r="DJ252" s="291"/>
      <c r="DK252" s="291"/>
      <c r="DL252" s="291"/>
      <c r="DM252" s="291"/>
      <c r="DN252" s="291"/>
      <c r="DO252" s="291"/>
      <c r="DP252" s="291"/>
      <c r="DQ252" s="291"/>
      <c r="DR252" s="291"/>
      <c r="DS252" s="291"/>
      <c r="DT252" s="291"/>
      <c r="DU252" s="291"/>
      <c r="DV252" s="291"/>
      <c r="DW252" s="291"/>
      <c r="DX252" s="291"/>
      <c r="DY252" s="291"/>
      <c r="DZ252" s="291"/>
      <c r="EA252" s="291"/>
      <c r="EB252" s="291"/>
      <c r="EC252" s="291"/>
      <c r="ED252" s="291"/>
      <c r="EE252" s="291"/>
      <c r="EF252" s="291"/>
      <c r="EG252" s="291"/>
      <c r="EH252" s="291"/>
      <c r="EI252" s="291"/>
      <c r="EJ252" s="291"/>
      <c r="EK252" s="291"/>
      <c r="EL252" s="291"/>
      <c r="EM252" s="291"/>
      <c r="EN252" s="291"/>
      <c r="EO252" s="291"/>
      <c r="EP252" s="291"/>
      <c r="EQ252" s="291"/>
      <c r="ER252" s="291"/>
      <c r="ES252" s="291"/>
      <c r="ET252" s="291"/>
      <c r="EU252" s="291"/>
      <c r="EV252" s="291"/>
      <c r="EW252" s="291"/>
      <c r="EX252" s="291"/>
      <c r="EY252" s="291"/>
      <c r="EZ252" s="291"/>
      <c r="FA252" s="291"/>
      <c r="FB252" s="291"/>
      <c r="FC252" s="291"/>
      <c r="FD252" s="291"/>
      <c r="FE252" s="291"/>
      <c r="FF252" s="291"/>
      <c r="FG252" s="291"/>
      <c r="FH252" s="291"/>
      <c r="FI252" s="291"/>
      <c r="FJ252" s="291"/>
      <c r="FK252" s="291"/>
      <c r="FL252" s="291"/>
      <c r="FM252" s="291"/>
      <c r="FN252" s="291"/>
      <c r="FO252" s="291"/>
      <c r="FP252" s="291"/>
      <c r="FQ252" s="291"/>
      <c r="FR252" s="291"/>
      <c r="FS252" s="291"/>
      <c r="FT252" s="291"/>
      <c r="FU252" s="291"/>
      <c r="FV252" s="291"/>
      <c r="FW252" s="291"/>
      <c r="FX252" s="291"/>
      <c r="FY252" s="291"/>
      <c r="FZ252" s="291"/>
      <c r="GA252" s="291"/>
      <c r="GB252" s="291"/>
      <c r="GC252" s="291"/>
      <c r="GD252" s="291"/>
      <c r="GE252" s="291"/>
      <c r="GF252" s="291"/>
      <c r="GG252" s="291"/>
      <c r="GH252" s="291"/>
      <c r="GI252" s="291"/>
      <c r="GJ252" s="291"/>
      <c r="GK252" s="291"/>
      <c r="GL252" s="291"/>
      <c r="GM252" s="291"/>
      <c r="GN252" s="291"/>
      <c r="GO252" s="291"/>
      <c r="GP252" s="291"/>
      <c r="GQ252" s="291"/>
      <c r="GR252" s="291"/>
      <c r="GS252" s="291"/>
      <c r="GT252" s="291"/>
      <c r="GU252" s="291"/>
      <c r="GV252" s="291"/>
      <c r="GW252" s="291"/>
      <c r="GX252" s="291"/>
      <c r="GY252" s="291"/>
      <c r="GZ252" s="291"/>
      <c r="HA252" s="291"/>
      <c r="HB252" s="291"/>
      <c r="HC252" s="291"/>
      <c r="HD252" s="291"/>
      <c r="HE252" s="291"/>
      <c r="HF252" s="291"/>
      <c r="HG252" s="291"/>
      <c r="HH252" s="291"/>
      <c r="HI252" s="291"/>
      <c r="HJ252" s="291"/>
      <c r="HK252" s="291"/>
      <c r="HL252" s="291"/>
      <c r="HM252" s="291"/>
      <c r="HN252" s="291"/>
      <c r="HO252" s="291"/>
      <c r="HP252" s="291"/>
      <c r="HQ252" s="291"/>
      <c r="HR252" s="291"/>
      <c r="HS252" s="291"/>
      <c r="HT252" s="291"/>
      <c r="HU252" s="291"/>
      <c r="HV252" s="291"/>
      <c r="HW252" s="291"/>
      <c r="HX252" s="291"/>
      <c r="HY252" s="291"/>
      <c r="HZ252" s="291"/>
      <c r="IA252" s="291"/>
      <c r="IB252" s="291"/>
      <c r="IC252" s="291"/>
      <c r="ID252" s="291"/>
      <c r="IE252" s="291"/>
      <c r="IF252" s="291"/>
      <c r="IG252" s="291"/>
      <c r="IH252" s="291"/>
      <c r="II252" s="291"/>
      <c r="IJ252" s="291"/>
      <c r="IK252" s="291"/>
      <c r="IL252" s="291"/>
      <c r="IM252" s="291"/>
      <c r="IN252" s="291"/>
      <c r="IO252" s="291"/>
      <c r="IP252" s="291"/>
      <c r="IQ252" s="291"/>
      <c r="IR252" s="291"/>
      <c r="IS252" s="291"/>
      <c r="IT252" s="291"/>
      <c r="IU252" s="291"/>
      <c r="IV252" s="291"/>
      <c r="IW252" s="291"/>
    </row>
    <row r="253" customFormat="false" ht="12.75" hidden="false" customHeight="false" outlineLevel="1" collapsed="false">
      <c r="A253" s="2" t="s">
        <v>751</v>
      </c>
      <c r="B253" s="2" t="s">
        <v>413</v>
      </c>
      <c r="C253" s="2" t="s">
        <v>752</v>
      </c>
      <c r="E253" s="325"/>
      <c r="F253" s="332" t="s">
        <v>753</v>
      </c>
      <c r="G253" s="333" t="s">
        <v>754</v>
      </c>
      <c r="H253" s="293" t="n">
        <v>3100</v>
      </c>
      <c r="I253" s="314" t="n">
        <v>1</v>
      </c>
      <c r="J253" s="295" t="n">
        <f aca="false">I253*H253</f>
        <v>3100</v>
      </c>
      <c r="K253" s="295" t="n">
        <f aca="false">H253-J253</f>
        <v>0</v>
      </c>
      <c r="L253" s="0"/>
      <c r="M253" s="0"/>
      <c r="N253" s="291"/>
      <c r="O253" s="291"/>
      <c r="P253" s="291"/>
      <c r="Q253" s="291"/>
      <c r="R253" s="291"/>
      <c r="S253" s="291"/>
      <c r="T253" s="291"/>
      <c r="U253" s="291"/>
      <c r="V253" s="291"/>
      <c r="W253" s="291"/>
      <c r="X253" s="291"/>
      <c r="Y253" s="291"/>
      <c r="Z253" s="291"/>
      <c r="AA253" s="291"/>
      <c r="AB253" s="291"/>
      <c r="AC253" s="291"/>
      <c r="AD253" s="291"/>
      <c r="AE253" s="291"/>
      <c r="AF253" s="291"/>
      <c r="AG253" s="291"/>
      <c r="AH253" s="291"/>
      <c r="AI253" s="291"/>
      <c r="AJ253" s="291"/>
      <c r="AK253" s="291"/>
      <c r="AL253" s="291"/>
      <c r="AM253" s="291"/>
      <c r="AN253" s="291"/>
      <c r="AO253" s="291"/>
      <c r="AP253" s="291"/>
      <c r="AQ253" s="291"/>
      <c r="AR253" s="291"/>
      <c r="AS253" s="291"/>
      <c r="AT253" s="291"/>
      <c r="AU253" s="291"/>
      <c r="AV253" s="291"/>
      <c r="AW253" s="291"/>
      <c r="AX253" s="291"/>
      <c r="AY253" s="291"/>
      <c r="AZ253" s="291"/>
      <c r="BA253" s="291"/>
      <c r="BB253" s="291"/>
      <c r="BC253" s="291"/>
      <c r="BD253" s="291"/>
      <c r="BE253" s="291"/>
      <c r="BF253" s="291"/>
      <c r="BG253" s="291"/>
      <c r="BH253" s="291"/>
      <c r="BI253" s="291"/>
      <c r="BJ253" s="291"/>
      <c r="BK253" s="291"/>
      <c r="BL253" s="291"/>
      <c r="BM253" s="291"/>
      <c r="BN253" s="291"/>
      <c r="BO253" s="291"/>
      <c r="BP253" s="291"/>
      <c r="BQ253" s="291"/>
      <c r="BR253" s="291"/>
      <c r="BS253" s="291"/>
      <c r="BT253" s="291"/>
      <c r="BU253" s="291"/>
      <c r="BV253" s="291"/>
      <c r="BW253" s="291"/>
      <c r="BX253" s="291"/>
      <c r="BY253" s="291"/>
      <c r="BZ253" s="291"/>
      <c r="CA253" s="291"/>
      <c r="CB253" s="291"/>
      <c r="CC253" s="291"/>
      <c r="CD253" s="291"/>
      <c r="CE253" s="291"/>
      <c r="CF253" s="291"/>
      <c r="CG253" s="291"/>
      <c r="CH253" s="291"/>
      <c r="CI253" s="291"/>
      <c r="CJ253" s="291"/>
      <c r="CK253" s="291"/>
      <c r="CL253" s="291"/>
      <c r="CM253" s="291"/>
      <c r="CN253" s="291"/>
      <c r="CO253" s="291"/>
      <c r="CP253" s="291"/>
      <c r="CQ253" s="291"/>
      <c r="CR253" s="291"/>
      <c r="CS253" s="291"/>
      <c r="CT253" s="291"/>
      <c r="CU253" s="291"/>
      <c r="CV253" s="291"/>
      <c r="CW253" s="291"/>
      <c r="CX253" s="291"/>
      <c r="CY253" s="291"/>
      <c r="CZ253" s="291"/>
      <c r="DA253" s="291"/>
      <c r="DB253" s="291"/>
      <c r="DC253" s="291"/>
      <c r="DD253" s="291"/>
      <c r="DE253" s="291"/>
      <c r="DF253" s="291"/>
      <c r="DG253" s="291"/>
      <c r="DH253" s="291"/>
      <c r="DI253" s="291"/>
      <c r="DJ253" s="291"/>
      <c r="DK253" s="291"/>
      <c r="DL253" s="291"/>
      <c r="DM253" s="291"/>
      <c r="DN253" s="291"/>
      <c r="DO253" s="291"/>
      <c r="DP253" s="291"/>
      <c r="DQ253" s="291"/>
      <c r="DR253" s="291"/>
      <c r="DS253" s="291"/>
      <c r="DT253" s="291"/>
      <c r="DU253" s="291"/>
      <c r="DV253" s="291"/>
      <c r="DW253" s="291"/>
      <c r="DX253" s="291"/>
      <c r="DY253" s="291"/>
      <c r="DZ253" s="291"/>
      <c r="EA253" s="291"/>
      <c r="EB253" s="291"/>
      <c r="EC253" s="291"/>
      <c r="ED253" s="291"/>
      <c r="EE253" s="291"/>
      <c r="EF253" s="291"/>
      <c r="EG253" s="291"/>
      <c r="EH253" s="291"/>
      <c r="EI253" s="291"/>
      <c r="EJ253" s="291"/>
      <c r="EK253" s="291"/>
      <c r="EL253" s="291"/>
      <c r="EM253" s="291"/>
      <c r="EN253" s="291"/>
      <c r="EO253" s="291"/>
      <c r="EP253" s="291"/>
      <c r="EQ253" s="291"/>
      <c r="ER253" s="291"/>
      <c r="ES253" s="291"/>
      <c r="ET253" s="291"/>
      <c r="EU253" s="291"/>
      <c r="EV253" s="291"/>
      <c r="EW253" s="291"/>
      <c r="EX253" s="291"/>
      <c r="EY253" s="291"/>
      <c r="EZ253" s="291"/>
      <c r="FA253" s="291"/>
      <c r="FB253" s="291"/>
      <c r="FC253" s="291"/>
      <c r="FD253" s="291"/>
      <c r="FE253" s="291"/>
      <c r="FF253" s="291"/>
      <c r="FG253" s="291"/>
      <c r="FH253" s="291"/>
      <c r="FI253" s="291"/>
      <c r="FJ253" s="291"/>
      <c r="FK253" s="291"/>
      <c r="FL253" s="291"/>
      <c r="FM253" s="291"/>
      <c r="FN253" s="291"/>
      <c r="FO253" s="291"/>
      <c r="FP253" s="291"/>
      <c r="FQ253" s="291"/>
      <c r="FR253" s="291"/>
      <c r="FS253" s="291"/>
      <c r="FT253" s="291"/>
      <c r="FU253" s="291"/>
      <c r="FV253" s="291"/>
      <c r="FW253" s="291"/>
      <c r="FX253" s="291"/>
      <c r="FY253" s="291"/>
      <c r="FZ253" s="291"/>
      <c r="GA253" s="291"/>
      <c r="GB253" s="291"/>
      <c r="GC253" s="291"/>
      <c r="GD253" s="291"/>
      <c r="GE253" s="291"/>
      <c r="GF253" s="291"/>
      <c r="GG253" s="291"/>
      <c r="GH253" s="291"/>
      <c r="GI253" s="291"/>
      <c r="GJ253" s="291"/>
      <c r="GK253" s="291"/>
      <c r="GL253" s="291"/>
      <c r="GM253" s="291"/>
      <c r="GN253" s="291"/>
      <c r="GO253" s="291"/>
      <c r="GP253" s="291"/>
      <c r="GQ253" s="291"/>
      <c r="GR253" s="291"/>
      <c r="GS253" s="291"/>
      <c r="GT253" s="291"/>
      <c r="GU253" s="291"/>
      <c r="GV253" s="291"/>
      <c r="GW253" s="291"/>
      <c r="GX253" s="291"/>
      <c r="GY253" s="291"/>
      <c r="GZ253" s="291"/>
      <c r="HA253" s="291"/>
      <c r="HB253" s="291"/>
      <c r="HC253" s="291"/>
      <c r="HD253" s="291"/>
      <c r="HE253" s="291"/>
      <c r="HF253" s="291"/>
      <c r="HG253" s="291"/>
      <c r="HH253" s="291"/>
      <c r="HI253" s="291"/>
      <c r="HJ253" s="291"/>
      <c r="HK253" s="291"/>
      <c r="HL253" s="291"/>
      <c r="HM253" s="291"/>
      <c r="HN253" s="291"/>
      <c r="HO253" s="291"/>
      <c r="HP253" s="291"/>
      <c r="HQ253" s="291"/>
      <c r="HR253" s="291"/>
      <c r="HS253" s="291"/>
      <c r="HT253" s="291"/>
      <c r="HU253" s="291"/>
      <c r="HV253" s="291"/>
      <c r="HW253" s="291"/>
      <c r="HX253" s="291"/>
      <c r="HY253" s="291"/>
      <c r="HZ253" s="291"/>
      <c r="IA253" s="291"/>
      <c r="IB253" s="291"/>
      <c r="IC253" s="291"/>
      <c r="ID253" s="291"/>
      <c r="IE253" s="291"/>
      <c r="IF253" s="291"/>
      <c r="IG253" s="291"/>
      <c r="IH253" s="291"/>
      <c r="II253" s="291"/>
      <c r="IJ253" s="291"/>
      <c r="IK253" s="291"/>
      <c r="IL253" s="291"/>
      <c r="IM253" s="291"/>
      <c r="IN253" s="291"/>
      <c r="IO253" s="291"/>
      <c r="IP253" s="291"/>
      <c r="IQ253" s="291"/>
      <c r="IR253" s="291"/>
      <c r="IS253" s="291"/>
      <c r="IT253" s="291"/>
      <c r="IU253" s="291"/>
      <c r="IV253" s="291"/>
      <c r="IW253" s="291"/>
    </row>
    <row r="254" customFormat="false" ht="12.75" hidden="false" customHeight="false" outlineLevel="2" collapsed="false">
      <c r="A254" s="2" t="str">
        <f aca="false">B254&amp;C254&amp;D254</f>
        <v>O&amp;M Mobilization BudgetO&amp;M Mobilization Fee</v>
      </c>
      <c r="B254" s="2" t="s">
        <v>413</v>
      </c>
      <c r="C254" s="2" t="s">
        <v>752</v>
      </c>
      <c r="E254" s="325"/>
      <c r="F254" s="332" t="s">
        <v>755</v>
      </c>
      <c r="G254" s="333" t="s">
        <v>756</v>
      </c>
      <c r="H254" s="293"/>
      <c r="I254" s="314" t="n">
        <v>1</v>
      </c>
      <c r="J254" s="295" t="n">
        <f aca="false">I254*H254</f>
        <v>0</v>
      </c>
      <c r="K254" s="295" t="n">
        <f aca="false">H254-J254</f>
        <v>0</v>
      </c>
      <c r="L254" s="0"/>
      <c r="M254" s="0"/>
      <c r="N254" s="2"/>
    </row>
    <row r="255" customFormat="false" ht="12.75" hidden="false" customHeight="false" outlineLevel="2" collapsed="false">
      <c r="E255" s="325"/>
      <c r="F255" s="332" t="s">
        <v>757</v>
      </c>
      <c r="G255" s="333" t="s">
        <v>742</v>
      </c>
      <c r="H255" s="293" t="n">
        <v>250</v>
      </c>
      <c r="I255" s="314" t="n">
        <v>1</v>
      </c>
      <c r="J255" s="295" t="n">
        <f aca="false">I255*H255</f>
        <v>250</v>
      </c>
      <c r="K255" s="295" t="n">
        <f aca="false">H255-J255</f>
        <v>0</v>
      </c>
      <c r="L255" s="0"/>
      <c r="M255" s="0"/>
      <c r="N255" s="2"/>
    </row>
    <row r="256" customFormat="false" ht="12.75" hidden="false" customHeight="false" outlineLevel="2" collapsed="false">
      <c r="E256" s="325"/>
      <c r="F256" s="332" t="s">
        <v>758</v>
      </c>
      <c r="G256" s="333" t="s">
        <v>715</v>
      </c>
      <c r="H256" s="293" t="n">
        <v>1000</v>
      </c>
      <c r="I256" s="314" t="n">
        <v>1</v>
      </c>
      <c r="J256" s="295" t="n">
        <f aca="false">I256*H256</f>
        <v>1000</v>
      </c>
      <c r="K256" s="295" t="n">
        <f aca="false">H256-J256</f>
        <v>0</v>
      </c>
      <c r="L256" s="0"/>
      <c r="M256" s="0"/>
      <c r="N256" s="2"/>
    </row>
    <row r="257" customFormat="false" ht="12.75" hidden="false" customHeight="false" outlineLevel="2" collapsed="false">
      <c r="E257" s="325"/>
      <c r="F257" s="332" t="s">
        <v>759</v>
      </c>
      <c r="G257" s="333" t="s">
        <v>760</v>
      </c>
      <c r="H257" s="293" t="n">
        <v>5000</v>
      </c>
      <c r="I257" s="314" t="n">
        <v>1</v>
      </c>
      <c r="J257" s="295" t="n">
        <f aca="false">I257*H257</f>
        <v>5000</v>
      </c>
      <c r="K257" s="295" t="n">
        <f aca="false">H257-J257</f>
        <v>0</v>
      </c>
      <c r="L257" s="0"/>
      <c r="M257" s="0"/>
      <c r="N257" s="2"/>
    </row>
    <row r="258" customFormat="false" ht="12.75" hidden="false" customHeight="false" outlineLevel="1" collapsed="false">
      <c r="A258" s="291" t="s">
        <v>761</v>
      </c>
      <c r="B258" s="291" t="s">
        <v>413</v>
      </c>
      <c r="C258" s="291" t="s">
        <v>752</v>
      </c>
      <c r="D258" s="291"/>
      <c r="E258" s="325" t="s">
        <v>762</v>
      </c>
      <c r="F258" s="332" t="s">
        <v>763</v>
      </c>
      <c r="G258" s="333" t="s">
        <v>764</v>
      </c>
      <c r="H258" s="293" t="n">
        <v>500</v>
      </c>
      <c r="I258" s="314" t="n">
        <v>1</v>
      </c>
      <c r="J258" s="295" t="n">
        <f aca="false">I258*H258</f>
        <v>500</v>
      </c>
      <c r="K258" s="295" t="n">
        <f aca="false">H258-J258</f>
        <v>0</v>
      </c>
      <c r="L258" s="0"/>
      <c r="M258" s="0"/>
      <c r="N258" s="291"/>
      <c r="O258" s="291"/>
      <c r="P258" s="291"/>
      <c r="Q258" s="291"/>
      <c r="R258" s="291"/>
      <c r="S258" s="291"/>
      <c r="T258" s="291"/>
      <c r="U258" s="291"/>
      <c r="V258" s="291"/>
      <c r="W258" s="291"/>
      <c r="X258" s="291"/>
      <c r="Y258" s="291"/>
      <c r="Z258" s="291"/>
      <c r="AA258" s="291"/>
      <c r="AB258" s="291"/>
      <c r="AC258" s="291"/>
      <c r="AD258" s="291"/>
      <c r="AE258" s="291"/>
      <c r="AF258" s="291"/>
      <c r="AG258" s="291"/>
      <c r="AH258" s="291"/>
      <c r="AI258" s="291"/>
      <c r="AJ258" s="291"/>
      <c r="AK258" s="291"/>
      <c r="AL258" s="291"/>
      <c r="AM258" s="291"/>
      <c r="AN258" s="291"/>
      <c r="AO258" s="291"/>
      <c r="AP258" s="291"/>
      <c r="AQ258" s="291"/>
      <c r="AR258" s="291"/>
      <c r="AS258" s="291"/>
      <c r="AT258" s="291"/>
      <c r="AU258" s="291"/>
      <c r="AV258" s="291"/>
      <c r="AW258" s="291"/>
      <c r="AX258" s="291"/>
      <c r="AY258" s="291"/>
      <c r="AZ258" s="291"/>
      <c r="BA258" s="291"/>
      <c r="BB258" s="291"/>
      <c r="BC258" s="291"/>
      <c r="BD258" s="291"/>
      <c r="BE258" s="291"/>
      <c r="BF258" s="291"/>
      <c r="BG258" s="291"/>
      <c r="BH258" s="291"/>
      <c r="BI258" s="291"/>
      <c r="BJ258" s="291"/>
      <c r="BK258" s="291"/>
      <c r="BL258" s="291"/>
      <c r="BM258" s="291"/>
      <c r="BN258" s="291"/>
      <c r="BO258" s="291"/>
      <c r="BP258" s="291"/>
      <c r="BQ258" s="291"/>
      <c r="BR258" s="291"/>
      <c r="BS258" s="291"/>
      <c r="BT258" s="291"/>
      <c r="BU258" s="291"/>
      <c r="BV258" s="291"/>
      <c r="BW258" s="291"/>
      <c r="BX258" s="291"/>
      <c r="BY258" s="291"/>
      <c r="BZ258" s="291"/>
      <c r="CA258" s="291"/>
      <c r="CB258" s="291"/>
      <c r="CC258" s="291"/>
      <c r="CD258" s="291"/>
      <c r="CE258" s="291"/>
      <c r="CF258" s="291"/>
      <c r="CG258" s="291"/>
      <c r="CH258" s="291"/>
      <c r="CI258" s="291"/>
      <c r="CJ258" s="291"/>
      <c r="CK258" s="291"/>
      <c r="CL258" s="291"/>
      <c r="CM258" s="291"/>
      <c r="CN258" s="291"/>
      <c r="CO258" s="291"/>
      <c r="CP258" s="291"/>
      <c r="CQ258" s="291"/>
      <c r="CR258" s="291"/>
      <c r="CS258" s="291"/>
      <c r="CT258" s="291"/>
      <c r="CU258" s="291"/>
      <c r="CV258" s="291"/>
      <c r="CW258" s="291"/>
      <c r="CX258" s="291"/>
      <c r="CY258" s="291"/>
      <c r="CZ258" s="291"/>
      <c r="DA258" s="291"/>
      <c r="DB258" s="291"/>
      <c r="DC258" s="291"/>
      <c r="DD258" s="291"/>
      <c r="DE258" s="291"/>
      <c r="DF258" s="291"/>
      <c r="DG258" s="291"/>
      <c r="DH258" s="291"/>
      <c r="DI258" s="291"/>
      <c r="DJ258" s="291"/>
      <c r="DK258" s="291"/>
      <c r="DL258" s="291"/>
      <c r="DM258" s="291"/>
      <c r="DN258" s="291"/>
      <c r="DO258" s="291"/>
      <c r="DP258" s="291"/>
      <c r="DQ258" s="291"/>
      <c r="DR258" s="291"/>
      <c r="DS258" s="291"/>
      <c r="DT258" s="291"/>
      <c r="DU258" s="291"/>
      <c r="DV258" s="291"/>
      <c r="DW258" s="291"/>
      <c r="DX258" s="291"/>
      <c r="DY258" s="291"/>
      <c r="DZ258" s="291"/>
      <c r="EA258" s="291"/>
      <c r="EB258" s="291"/>
      <c r="EC258" s="291"/>
      <c r="ED258" s="291"/>
      <c r="EE258" s="291"/>
      <c r="EF258" s="291"/>
      <c r="EG258" s="291"/>
      <c r="EH258" s="291"/>
      <c r="EI258" s="291"/>
      <c r="EJ258" s="291"/>
      <c r="EK258" s="291"/>
      <c r="EL258" s="291"/>
      <c r="EM258" s="291"/>
      <c r="EN258" s="291"/>
      <c r="EO258" s="291"/>
      <c r="EP258" s="291"/>
      <c r="EQ258" s="291"/>
      <c r="ER258" s="291"/>
      <c r="ES258" s="291"/>
      <c r="ET258" s="291"/>
      <c r="EU258" s="291"/>
      <c r="EV258" s="291"/>
      <c r="EW258" s="291"/>
      <c r="EX258" s="291"/>
      <c r="EY258" s="291"/>
      <c r="EZ258" s="291"/>
      <c r="FA258" s="291"/>
      <c r="FB258" s="291"/>
      <c r="FC258" s="291"/>
      <c r="FD258" s="291"/>
      <c r="FE258" s="291"/>
      <c r="FF258" s="291"/>
      <c r="FG258" s="291"/>
      <c r="FH258" s="291"/>
      <c r="FI258" s="291"/>
      <c r="FJ258" s="291"/>
      <c r="FK258" s="291"/>
      <c r="FL258" s="291"/>
      <c r="FM258" s="291"/>
      <c r="FN258" s="291"/>
      <c r="FO258" s="291"/>
      <c r="FP258" s="291"/>
      <c r="FQ258" s="291"/>
      <c r="FR258" s="291"/>
      <c r="FS258" s="291"/>
      <c r="FT258" s="291"/>
      <c r="FU258" s="291"/>
      <c r="FV258" s="291"/>
      <c r="FW258" s="291"/>
      <c r="FX258" s="291"/>
      <c r="FY258" s="291"/>
      <c r="FZ258" s="291"/>
      <c r="GA258" s="291"/>
      <c r="GB258" s="291"/>
      <c r="GC258" s="291"/>
      <c r="GD258" s="291"/>
      <c r="GE258" s="291"/>
      <c r="GF258" s="291"/>
      <c r="GG258" s="291"/>
      <c r="GH258" s="291"/>
      <c r="GI258" s="291"/>
      <c r="GJ258" s="291"/>
      <c r="GK258" s="291"/>
      <c r="GL258" s="291"/>
      <c r="GM258" s="291"/>
      <c r="GN258" s="291"/>
      <c r="GO258" s="291"/>
      <c r="GP258" s="291"/>
      <c r="GQ258" s="291"/>
      <c r="GR258" s="291"/>
      <c r="GS258" s="291"/>
      <c r="GT258" s="291"/>
      <c r="GU258" s="291"/>
      <c r="GV258" s="291"/>
      <c r="GW258" s="291"/>
      <c r="GX258" s="291"/>
      <c r="GY258" s="291"/>
      <c r="GZ258" s="291"/>
      <c r="HA258" s="291"/>
      <c r="HB258" s="291"/>
      <c r="HC258" s="291"/>
      <c r="HD258" s="291"/>
      <c r="HE258" s="291"/>
      <c r="HF258" s="291"/>
      <c r="HG258" s="291"/>
      <c r="HH258" s="291"/>
      <c r="HI258" s="291"/>
      <c r="HJ258" s="291"/>
      <c r="HK258" s="291"/>
      <c r="HL258" s="291"/>
      <c r="HM258" s="291"/>
      <c r="HN258" s="291"/>
      <c r="HO258" s="291"/>
      <c r="HP258" s="291"/>
      <c r="HQ258" s="291"/>
      <c r="HR258" s="291"/>
      <c r="HS258" s="291"/>
      <c r="HT258" s="291"/>
      <c r="HU258" s="291"/>
      <c r="HV258" s="291"/>
      <c r="HW258" s="291"/>
      <c r="HX258" s="291"/>
      <c r="HY258" s="291"/>
      <c r="HZ258" s="291"/>
      <c r="IA258" s="291"/>
      <c r="IB258" s="291"/>
      <c r="IC258" s="291"/>
      <c r="ID258" s="291"/>
      <c r="IE258" s="291"/>
      <c r="IF258" s="291"/>
      <c r="IG258" s="291"/>
      <c r="IH258" s="291"/>
      <c r="II258" s="291"/>
      <c r="IJ258" s="291"/>
      <c r="IK258" s="291"/>
      <c r="IL258" s="291"/>
      <c r="IM258" s="291"/>
      <c r="IN258" s="291"/>
      <c r="IO258" s="291"/>
      <c r="IP258" s="291"/>
      <c r="IQ258" s="291"/>
      <c r="IR258" s="291"/>
      <c r="IS258" s="291"/>
      <c r="IT258" s="291"/>
      <c r="IU258" s="291"/>
      <c r="IV258" s="291"/>
      <c r="IW258" s="291"/>
    </row>
    <row r="259" customFormat="false" ht="12.75" hidden="false" customHeight="false" outlineLevel="1" collapsed="false">
      <c r="A259" s="2" t="s">
        <v>765</v>
      </c>
      <c r="B259" s="2" t="s">
        <v>413</v>
      </c>
      <c r="C259" s="2" t="s">
        <v>766</v>
      </c>
      <c r="E259" s="325"/>
      <c r="F259" s="332" t="s">
        <v>767</v>
      </c>
      <c r="G259" s="333" t="s">
        <v>760</v>
      </c>
      <c r="H259" s="293" t="n">
        <v>5000</v>
      </c>
      <c r="I259" s="314" t="n">
        <v>1</v>
      </c>
      <c r="J259" s="295" t="n">
        <f aca="false">I259*H259</f>
        <v>5000</v>
      </c>
      <c r="K259" s="295" t="n">
        <f aca="false">H259-J259</f>
        <v>0</v>
      </c>
      <c r="L259" s="0"/>
      <c r="M259" s="0"/>
      <c r="N259" s="291"/>
      <c r="O259" s="291"/>
      <c r="P259" s="291"/>
      <c r="Q259" s="291"/>
      <c r="R259" s="291"/>
      <c r="S259" s="291"/>
      <c r="T259" s="291"/>
      <c r="U259" s="291"/>
      <c r="V259" s="291"/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1"/>
      <c r="AZ259" s="291"/>
      <c r="BA259" s="291"/>
      <c r="BB259" s="291"/>
      <c r="BC259" s="291"/>
      <c r="BD259" s="291"/>
      <c r="BE259" s="291"/>
      <c r="BF259" s="291"/>
      <c r="BG259" s="291"/>
      <c r="BH259" s="291"/>
      <c r="BI259" s="291"/>
      <c r="BJ259" s="291"/>
      <c r="BK259" s="291"/>
      <c r="BL259" s="291"/>
      <c r="BM259" s="291"/>
      <c r="BN259" s="291"/>
      <c r="BO259" s="291"/>
      <c r="BP259" s="291"/>
      <c r="BQ259" s="291"/>
      <c r="BR259" s="291"/>
      <c r="BS259" s="291"/>
      <c r="BT259" s="291"/>
      <c r="BU259" s="291"/>
      <c r="BV259" s="291"/>
      <c r="BW259" s="291"/>
      <c r="BX259" s="291"/>
      <c r="BY259" s="291"/>
      <c r="BZ259" s="291"/>
      <c r="CA259" s="291"/>
      <c r="CB259" s="291"/>
      <c r="CC259" s="291"/>
      <c r="CD259" s="291"/>
      <c r="CE259" s="291"/>
      <c r="CF259" s="291"/>
      <c r="CG259" s="291"/>
      <c r="CH259" s="291"/>
      <c r="CI259" s="291"/>
      <c r="CJ259" s="291"/>
      <c r="CK259" s="291"/>
      <c r="CL259" s="291"/>
      <c r="CM259" s="291"/>
      <c r="CN259" s="291"/>
      <c r="CO259" s="291"/>
      <c r="CP259" s="291"/>
      <c r="CQ259" s="291"/>
      <c r="CR259" s="291"/>
      <c r="CS259" s="291"/>
      <c r="CT259" s="291"/>
      <c r="CU259" s="291"/>
      <c r="CV259" s="291"/>
      <c r="CW259" s="291"/>
      <c r="CX259" s="291"/>
      <c r="CY259" s="291"/>
      <c r="CZ259" s="291"/>
      <c r="DA259" s="291"/>
      <c r="DB259" s="291"/>
      <c r="DC259" s="291"/>
      <c r="DD259" s="291"/>
      <c r="DE259" s="291"/>
      <c r="DF259" s="291"/>
      <c r="DG259" s="291"/>
      <c r="DH259" s="291"/>
      <c r="DI259" s="291"/>
      <c r="DJ259" s="291"/>
      <c r="DK259" s="291"/>
      <c r="DL259" s="291"/>
      <c r="DM259" s="291"/>
      <c r="DN259" s="291"/>
      <c r="DO259" s="291"/>
      <c r="DP259" s="291"/>
      <c r="DQ259" s="291"/>
      <c r="DR259" s="291"/>
      <c r="DS259" s="291"/>
      <c r="DT259" s="291"/>
      <c r="DU259" s="291"/>
      <c r="DV259" s="291"/>
      <c r="DW259" s="291"/>
      <c r="DX259" s="291"/>
      <c r="DY259" s="291"/>
      <c r="DZ259" s="291"/>
      <c r="EA259" s="291"/>
      <c r="EB259" s="291"/>
      <c r="EC259" s="291"/>
      <c r="ED259" s="291"/>
      <c r="EE259" s="291"/>
      <c r="EF259" s="291"/>
      <c r="EG259" s="291"/>
      <c r="EH259" s="291"/>
      <c r="EI259" s="291"/>
      <c r="EJ259" s="291"/>
      <c r="EK259" s="291"/>
      <c r="EL259" s="291"/>
      <c r="EM259" s="291"/>
      <c r="EN259" s="291"/>
      <c r="EO259" s="291"/>
      <c r="EP259" s="291"/>
      <c r="EQ259" s="291"/>
      <c r="ER259" s="291"/>
      <c r="ES259" s="291"/>
      <c r="ET259" s="291"/>
      <c r="EU259" s="291"/>
      <c r="EV259" s="291"/>
      <c r="EW259" s="291"/>
      <c r="EX259" s="291"/>
      <c r="EY259" s="291"/>
      <c r="EZ259" s="291"/>
      <c r="FA259" s="291"/>
      <c r="FB259" s="291"/>
      <c r="FC259" s="291"/>
      <c r="FD259" s="291"/>
      <c r="FE259" s="291"/>
      <c r="FF259" s="291"/>
      <c r="FG259" s="291"/>
      <c r="FH259" s="291"/>
      <c r="FI259" s="291"/>
      <c r="FJ259" s="291"/>
      <c r="FK259" s="291"/>
      <c r="FL259" s="291"/>
      <c r="FM259" s="291"/>
      <c r="FN259" s="291"/>
      <c r="FO259" s="291"/>
      <c r="FP259" s="291"/>
      <c r="FQ259" s="291"/>
      <c r="FR259" s="291"/>
      <c r="FS259" s="291"/>
      <c r="FT259" s="291"/>
      <c r="FU259" s="291"/>
      <c r="FV259" s="291"/>
      <c r="FW259" s="291"/>
      <c r="FX259" s="291"/>
      <c r="FY259" s="291"/>
      <c r="FZ259" s="291"/>
      <c r="GA259" s="291"/>
      <c r="GB259" s="291"/>
      <c r="GC259" s="291"/>
      <c r="GD259" s="291"/>
      <c r="GE259" s="291"/>
      <c r="GF259" s="291"/>
      <c r="GG259" s="291"/>
      <c r="GH259" s="291"/>
      <c r="GI259" s="291"/>
      <c r="GJ259" s="291"/>
      <c r="GK259" s="291"/>
      <c r="GL259" s="291"/>
      <c r="GM259" s="291"/>
      <c r="GN259" s="291"/>
      <c r="GO259" s="291"/>
      <c r="GP259" s="291"/>
      <c r="GQ259" s="291"/>
      <c r="GR259" s="291"/>
      <c r="GS259" s="291"/>
      <c r="GT259" s="291"/>
      <c r="GU259" s="291"/>
      <c r="GV259" s="291"/>
      <c r="GW259" s="291"/>
      <c r="GX259" s="291"/>
      <c r="GY259" s="291"/>
      <c r="GZ259" s="291"/>
      <c r="HA259" s="291"/>
      <c r="HB259" s="291"/>
      <c r="HC259" s="291"/>
      <c r="HD259" s="291"/>
      <c r="HE259" s="291"/>
      <c r="HF259" s="291"/>
      <c r="HG259" s="291"/>
      <c r="HH259" s="291"/>
      <c r="HI259" s="291"/>
      <c r="HJ259" s="291"/>
      <c r="HK259" s="291"/>
      <c r="HL259" s="291"/>
      <c r="HM259" s="291"/>
      <c r="HN259" s="291"/>
      <c r="HO259" s="291"/>
      <c r="HP259" s="291"/>
      <c r="HQ259" s="291"/>
      <c r="HR259" s="291"/>
      <c r="HS259" s="291"/>
      <c r="HT259" s="291"/>
      <c r="HU259" s="291"/>
      <c r="HV259" s="291"/>
      <c r="HW259" s="291"/>
      <c r="HX259" s="291"/>
      <c r="HY259" s="291"/>
      <c r="HZ259" s="291"/>
      <c r="IA259" s="291"/>
      <c r="IB259" s="291"/>
      <c r="IC259" s="291"/>
      <c r="ID259" s="291"/>
      <c r="IE259" s="291"/>
      <c r="IF259" s="291"/>
      <c r="IG259" s="291"/>
      <c r="IH259" s="291"/>
      <c r="II259" s="291"/>
      <c r="IJ259" s="291"/>
      <c r="IK259" s="291"/>
      <c r="IL259" s="291"/>
      <c r="IM259" s="291"/>
      <c r="IN259" s="291"/>
      <c r="IO259" s="291"/>
      <c r="IP259" s="291"/>
      <c r="IQ259" s="291"/>
      <c r="IR259" s="291"/>
      <c r="IS259" s="291"/>
      <c r="IT259" s="291"/>
      <c r="IU259" s="291"/>
      <c r="IV259" s="291"/>
      <c r="IW259" s="291"/>
    </row>
    <row r="260" customFormat="false" ht="12.75" hidden="false" customHeight="false" outlineLevel="2" collapsed="false">
      <c r="A260" s="2" t="str">
        <f aca="false">B260&amp;C260&amp;D260</f>
        <v>O&amp;M Mobilization BudgetOwner Optional Items</v>
      </c>
      <c r="B260" s="2" t="s">
        <v>413</v>
      </c>
      <c r="C260" s="2" t="s">
        <v>766</v>
      </c>
      <c r="E260" s="325"/>
      <c r="F260" s="332" t="s">
        <v>768</v>
      </c>
      <c r="G260" s="333" t="s">
        <v>729</v>
      </c>
      <c r="H260" s="293" t="n">
        <v>1800</v>
      </c>
      <c r="I260" s="314" t="n">
        <v>1</v>
      </c>
      <c r="J260" s="295" t="n">
        <f aca="false">I260*H260</f>
        <v>1800</v>
      </c>
      <c r="K260" s="295" t="n">
        <f aca="false">H260-J260</f>
        <v>0</v>
      </c>
      <c r="L260" s="0"/>
      <c r="M260" s="0"/>
      <c r="N260" s="2"/>
    </row>
    <row r="261" customFormat="false" ht="12.75" hidden="false" customHeight="false" outlineLevel="2" collapsed="false">
      <c r="E261" s="325"/>
      <c r="F261" s="332" t="s">
        <v>769</v>
      </c>
      <c r="G261" s="333" t="s">
        <v>724</v>
      </c>
      <c r="H261" s="293"/>
      <c r="I261" s="314" t="n">
        <v>1</v>
      </c>
      <c r="J261" s="295" t="n">
        <f aca="false">I261*H261</f>
        <v>0</v>
      </c>
      <c r="K261" s="295" t="n">
        <f aca="false">H261-J261</f>
        <v>0</v>
      </c>
      <c r="L261" s="0"/>
      <c r="M261" s="0"/>
      <c r="N261" s="2"/>
    </row>
    <row r="262" customFormat="false" ht="12.75" hidden="false" customHeight="false" outlineLevel="2" collapsed="false">
      <c r="E262" s="325"/>
      <c r="F262" s="332" t="s">
        <v>770</v>
      </c>
      <c r="G262" s="333" t="s">
        <v>771</v>
      </c>
      <c r="H262" s="293"/>
      <c r="I262" s="314" t="n">
        <v>1</v>
      </c>
      <c r="J262" s="295" t="n">
        <f aca="false">I262*H262</f>
        <v>0</v>
      </c>
      <c r="K262" s="295" t="n">
        <f aca="false">H262-J262</f>
        <v>0</v>
      </c>
      <c r="L262" s="0"/>
      <c r="M262" s="0"/>
      <c r="N262" s="2"/>
    </row>
    <row r="263" customFormat="false" ht="12.75" hidden="false" customHeight="false" outlineLevel="2" collapsed="false">
      <c r="E263" s="325"/>
      <c r="F263" s="332" t="s">
        <v>772</v>
      </c>
      <c r="G263" s="333" t="s">
        <v>773</v>
      </c>
      <c r="H263" s="293" t="n">
        <v>700</v>
      </c>
      <c r="I263" s="314" t="n">
        <v>1</v>
      </c>
      <c r="J263" s="295" t="n">
        <f aca="false">I263*H263</f>
        <v>700</v>
      </c>
      <c r="K263" s="295" t="n">
        <f aca="false">H263-J263</f>
        <v>0</v>
      </c>
      <c r="L263" s="0"/>
      <c r="M263" s="0"/>
      <c r="N263" s="2"/>
    </row>
    <row r="264" customFormat="false" ht="12.75" hidden="false" customHeight="false" outlineLevel="1" collapsed="false">
      <c r="A264" s="291" t="s">
        <v>774</v>
      </c>
      <c r="B264" s="291" t="s">
        <v>413</v>
      </c>
      <c r="C264" s="291" t="s">
        <v>766</v>
      </c>
      <c r="D264" s="291"/>
      <c r="E264" s="325"/>
      <c r="F264" s="332" t="s">
        <v>775</v>
      </c>
      <c r="G264" s="333" t="s">
        <v>776</v>
      </c>
      <c r="H264" s="293" t="n">
        <v>950</v>
      </c>
      <c r="I264" s="314" t="n">
        <v>1</v>
      </c>
      <c r="J264" s="295" t="n">
        <f aca="false">I264*H264</f>
        <v>950</v>
      </c>
      <c r="K264" s="295" t="n">
        <f aca="false">H264-J264</f>
        <v>0</v>
      </c>
      <c r="L264" s="0"/>
      <c r="M264" s="0"/>
      <c r="N264" s="291"/>
      <c r="O264" s="291"/>
      <c r="P264" s="291"/>
      <c r="Q264" s="291"/>
      <c r="R264" s="291"/>
      <c r="S264" s="291"/>
      <c r="T264" s="291"/>
      <c r="U264" s="291"/>
      <c r="V264" s="291"/>
      <c r="W264" s="291"/>
      <c r="X264" s="291"/>
      <c r="Y264" s="291"/>
      <c r="Z264" s="291"/>
      <c r="AA264" s="291"/>
      <c r="AB264" s="291"/>
      <c r="AC264" s="291"/>
      <c r="AD264" s="291"/>
      <c r="AE264" s="291"/>
      <c r="AF264" s="291"/>
      <c r="AG264" s="291"/>
      <c r="AH264" s="291"/>
      <c r="AI264" s="291"/>
      <c r="AJ264" s="291"/>
      <c r="AK264" s="291"/>
      <c r="AL264" s="291"/>
      <c r="AM264" s="291"/>
      <c r="AN264" s="291"/>
      <c r="AO264" s="291"/>
      <c r="AP264" s="291"/>
      <c r="AQ264" s="291"/>
      <c r="AR264" s="291"/>
      <c r="AS264" s="291"/>
      <c r="AT264" s="291"/>
      <c r="AU264" s="291"/>
      <c r="AV264" s="291"/>
      <c r="AW264" s="291"/>
      <c r="AX264" s="291"/>
      <c r="AY264" s="291"/>
      <c r="AZ264" s="291"/>
      <c r="BA264" s="291"/>
      <c r="BB264" s="291"/>
      <c r="BC264" s="291"/>
      <c r="BD264" s="291"/>
      <c r="BE264" s="291"/>
      <c r="BF264" s="291"/>
      <c r="BG264" s="291"/>
      <c r="BH264" s="291"/>
      <c r="BI264" s="291"/>
      <c r="BJ264" s="291"/>
      <c r="BK264" s="291"/>
      <c r="BL264" s="291"/>
      <c r="BM264" s="291"/>
      <c r="BN264" s="291"/>
      <c r="BO264" s="291"/>
      <c r="BP264" s="291"/>
      <c r="BQ264" s="291"/>
      <c r="BR264" s="291"/>
      <c r="BS264" s="291"/>
      <c r="BT264" s="291"/>
      <c r="BU264" s="291"/>
      <c r="BV264" s="291"/>
      <c r="BW264" s="291"/>
      <c r="BX264" s="291"/>
      <c r="BY264" s="291"/>
      <c r="BZ264" s="291"/>
      <c r="CA264" s="291"/>
      <c r="CB264" s="291"/>
      <c r="CC264" s="291"/>
      <c r="CD264" s="291"/>
      <c r="CE264" s="291"/>
      <c r="CF264" s="291"/>
      <c r="CG264" s="291"/>
      <c r="CH264" s="291"/>
      <c r="CI264" s="291"/>
      <c r="CJ264" s="291"/>
      <c r="CK264" s="291"/>
      <c r="CL264" s="291"/>
      <c r="CM264" s="291"/>
      <c r="CN264" s="291"/>
      <c r="CO264" s="291"/>
      <c r="CP264" s="291"/>
      <c r="CQ264" s="291"/>
      <c r="CR264" s="291"/>
      <c r="CS264" s="291"/>
      <c r="CT264" s="291"/>
      <c r="CU264" s="291"/>
      <c r="CV264" s="291"/>
      <c r="CW264" s="291"/>
      <c r="CX264" s="291"/>
      <c r="CY264" s="291"/>
      <c r="CZ264" s="291"/>
      <c r="DA264" s="291"/>
      <c r="DB264" s="291"/>
      <c r="DC264" s="291"/>
      <c r="DD264" s="291"/>
      <c r="DE264" s="291"/>
      <c r="DF264" s="291"/>
      <c r="DG264" s="291"/>
      <c r="DH264" s="291"/>
      <c r="DI264" s="291"/>
      <c r="DJ264" s="291"/>
      <c r="DK264" s="291"/>
      <c r="DL264" s="291"/>
      <c r="DM264" s="291"/>
      <c r="DN264" s="291"/>
      <c r="DO264" s="291"/>
      <c r="DP264" s="291"/>
      <c r="DQ264" s="291"/>
      <c r="DR264" s="291"/>
      <c r="DS264" s="291"/>
      <c r="DT264" s="291"/>
      <c r="DU264" s="291"/>
      <c r="DV264" s="291"/>
      <c r="DW264" s="291"/>
      <c r="DX264" s="291"/>
      <c r="DY264" s="291"/>
      <c r="DZ264" s="291"/>
      <c r="EA264" s="291"/>
      <c r="EB264" s="291"/>
      <c r="EC264" s="291"/>
      <c r="ED264" s="291"/>
      <c r="EE264" s="291"/>
      <c r="EF264" s="291"/>
      <c r="EG264" s="291"/>
      <c r="EH264" s="291"/>
      <c r="EI264" s="291"/>
      <c r="EJ264" s="291"/>
      <c r="EK264" s="291"/>
      <c r="EL264" s="291"/>
      <c r="EM264" s="291"/>
      <c r="EN264" s="291"/>
      <c r="EO264" s="291"/>
      <c r="EP264" s="291"/>
      <c r="EQ264" s="291"/>
      <c r="ER264" s="291"/>
      <c r="ES264" s="291"/>
      <c r="ET264" s="291"/>
      <c r="EU264" s="291"/>
      <c r="EV264" s="291"/>
      <c r="EW264" s="291"/>
      <c r="EX264" s="291"/>
      <c r="EY264" s="291"/>
      <c r="EZ264" s="291"/>
      <c r="FA264" s="291"/>
      <c r="FB264" s="291"/>
      <c r="FC264" s="291"/>
      <c r="FD264" s="291"/>
      <c r="FE264" s="291"/>
      <c r="FF264" s="291"/>
      <c r="FG264" s="291"/>
      <c r="FH264" s="291"/>
      <c r="FI264" s="291"/>
      <c r="FJ264" s="291"/>
      <c r="FK264" s="291"/>
      <c r="FL264" s="291"/>
      <c r="FM264" s="291"/>
      <c r="FN264" s="291"/>
      <c r="FO264" s="291"/>
      <c r="FP264" s="291"/>
      <c r="FQ264" s="291"/>
      <c r="FR264" s="291"/>
      <c r="FS264" s="291"/>
      <c r="FT264" s="291"/>
      <c r="FU264" s="291"/>
      <c r="FV264" s="291"/>
      <c r="FW264" s="291"/>
      <c r="FX264" s="291"/>
      <c r="FY264" s="291"/>
      <c r="FZ264" s="291"/>
      <c r="GA264" s="291"/>
      <c r="GB264" s="291"/>
      <c r="GC264" s="291"/>
      <c r="GD264" s="291"/>
      <c r="GE264" s="291"/>
      <c r="GF264" s="291"/>
      <c r="GG264" s="291"/>
      <c r="GH264" s="291"/>
      <c r="GI264" s="291"/>
      <c r="GJ264" s="291"/>
      <c r="GK264" s="291"/>
      <c r="GL264" s="291"/>
      <c r="GM264" s="291"/>
      <c r="GN264" s="291"/>
      <c r="GO264" s="291"/>
      <c r="GP264" s="291"/>
      <c r="GQ264" s="291"/>
      <c r="GR264" s="291"/>
      <c r="GS264" s="291"/>
      <c r="GT264" s="291"/>
      <c r="GU264" s="291"/>
      <c r="GV264" s="291"/>
      <c r="GW264" s="291"/>
      <c r="GX264" s="291"/>
      <c r="GY264" s="291"/>
      <c r="GZ264" s="291"/>
      <c r="HA264" s="291"/>
      <c r="HB264" s="291"/>
      <c r="HC264" s="291"/>
      <c r="HD264" s="291"/>
      <c r="HE264" s="291"/>
      <c r="HF264" s="291"/>
      <c r="HG264" s="291"/>
      <c r="HH264" s="291"/>
      <c r="HI264" s="291"/>
      <c r="HJ264" s="291"/>
      <c r="HK264" s="291"/>
      <c r="HL264" s="291"/>
      <c r="HM264" s="291"/>
      <c r="HN264" s="291"/>
      <c r="HO264" s="291"/>
      <c r="HP264" s="291"/>
      <c r="HQ264" s="291"/>
      <c r="HR264" s="291"/>
      <c r="HS264" s="291"/>
      <c r="HT264" s="291"/>
      <c r="HU264" s="291"/>
      <c r="HV264" s="291"/>
      <c r="HW264" s="291"/>
      <c r="HX264" s="291"/>
      <c r="HY264" s="291"/>
      <c r="HZ264" s="291"/>
      <c r="IA264" s="291"/>
      <c r="IB264" s="291"/>
      <c r="IC264" s="291"/>
      <c r="ID264" s="291"/>
      <c r="IE264" s="291"/>
      <c r="IF264" s="291"/>
      <c r="IG264" s="291"/>
      <c r="IH264" s="291"/>
      <c r="II264" s="291"/>
      <c r="IJ264" s="291"/>
      <c r="IK264" s="291"/>
      <c r="IL264" s="291"/>
      <c r="IM264" s="291"/>
      <c r="IN264" s="291"/>
      <c r="IO264" s="291"/>
      <c r="IP264" s="291"/>
      <c r="IQ264" s="291"/>
      <c r="IR264" s="291"/>
      <c r="IS264" s="291"/>
      <c r="IT264" s="291"/>
      <c r="IU264" s="291"/>
      <c r="IV264" s="291"/>
      <c r="IW264" s="291"/>
    </row>
    <row r="265" customFormat="false" ht="12.75" hidden="false" customHeight="false" outlineLevel="1" collapsed="false">
      <c r="A265" s="291"/>
      <c r="B265" s="291"/>
      <c r="C265" s="291"/>
      <c r="D265" s="291"/>
      <c r="E265" s="325"/>
      <c r="F265" s="332" t="s">
        <v>777</v>
      </c>
      <c r="G265" s="333" t="s">
        <v>778</v>
      </c>
      <c r="H265" s="293" t="n">
        <v>5700</v>
      </c>
      <c r="I265" s="314" t="n">
        <v>1</v>
      </c>
      <c r="J265" s="295" t="n">
        <f aca="false">I265*H265</f>
        <v>5700</v>
      </c>
      <c r="K265" s="295" t="n">
        <f aca="false">H265-J265</f>
        <v>0</v>
      </c>
      <c r="L265" s="0"/>
      <c r="M265" s="0"/>
      <c r="N265" s="291"/>
      <c r="O265" s="291"/>
      <c r="P265" s="291"/>
      <c r="Q265" s="291"/>
      <c r="R265" s="291"/>
      <c r="S265" s="291"/>
      <c r="T265" s="291"/>
      <c r="U265" s="291"/>
      <c r="V265" s="291"/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1"/>
      <c r="AZ265" s="291"/>
      <c r="BA265" s="291"/>
      <c r="BB265" s="291"/>
      <c r="BC265" s="291"/>
      <c r="BD265" s="291"/>
      <c r="BE265" s="291"/>
      <c r="BF265" s="291"/>
      <c r="BG265" s="291"/>
      <c r="BH265" s="291"/>
      <c r="BI265" s="291"/>
      <c r="BJ265" s="291"/>
      <c r="BK265" s="291"/>
      <c r="BL265" s="291"/>
      <c r="BM265" s="291"/>
      <c r="BN265" s="291"/>
      <c r="BO265" s="291"/>
      <c r="BP265" s="291"/>
      <c r="BQ265" s="291"/>
      <c r="BR265" s="291"/>
      <c r="BS265" s="291"/>
      <c r="BT265" s="291"/>
      <c r="BU265" s="291"/>
      <c r="BV265" s="291"/>
      <c r="BW265" s="291"/>
      <c r="BX265" s="291"/>
      <c r="BY265" s="291"/>
      <c r="BZ265" s="291"/>
      <c r="CA265" s="291"/>
      <c r="CB265" s="291"/>
      <c r="CC265" s="291"/>
      <c r="CD265" s="291"/>
      <c r="CE265" s="291"/>
      <c r="CF265" s="291"/>
      <c r="CG265" s="291"/>
      <c r="CH265" s="291"/>
      <c r="CI265" s="291"/>
      <c r="CJ265" s="291"/>
      <c r="CK265" s="291"/>
      <c r="CL265" s="291"/>
      <c r="CM265" s="291"/>
      <c r="CN265" s="291"/>
      <c r="CO265" s="291"/>
      <c r="CP265" s="291"/>
      <c r="CQ265" s="291"/>
      <c r="CR265" s="291"/>
      <c r="CS265" s="291"/>
      <c r="CT265" s="291"/>
      <c r="CU265" s="291"/>
      <c r="CV265" s="291"/>
      <c r="CW265" s="291"/>
      <c r="CX265" s="291"/>
      <c r="CY265" s="291"/>
      <c r="CZ265" s="291"/>
      <c r="DA265" s="291"/>
      <c r="DB265" s="291"/>
      <c r="DC265" s="291"/>
      <c r="DD265" s="291"/>
      <c r="DE265" s="291"/>
      <c r="DF265" s="291"/>
      <c r="DG265" s="291"/>
      <c r="DH265" s="291"/>
      <c r="DI265" s="291"/>
      <c r="DJ265" s="291"/>
      <c r="DK265" s="291"/>
      <c r="DL265" s="291"/>
      <c r="DM265" s="291"/>
      <c r="DN265" s="291"/>
      <c r="DO265" s="291"/>
      <c r="DP265" s="291"/>
      <c r="DQ265" s="291"/>
      <c r="DR265" s="291"/>
      <c r="DS265" s="291"/>
      <c r="DT265" s="291"/>
      <c r="DU265" s="291"/>
      <c r="DV265" s="291"/>
      <c r="DW265" s="291"/>
      <c r="DX265" s="291"/>
      <c r="DY265" s="291"/>
      <c r="DZ265" s="291"/>
      <c r="EA265" s="291"/>
      <c r="EB265" s="291"/>
      <c r="EC265" s="291"/>
      <c r="ED265" s="291"/>
      <c r="EE265" s="291"/>
      <c r="EF265" s="291"/>
      <c r="EG265" s="291"/>
      <c r="EH265" s="291"/>
      <c r="EI265" s="291"/>
      <c r="EJ265" s="291"/>
      <c r="EK265" s="291"/>
      <c r="EL265" s="291"/>
      <c r="EM265" s="291"/>
      <c r="EN265" s="291"/>
      <c r="EO265" s="291"/>
      <c r="EP265" s="291"/>
      <c r="EQ265" s="291"/>
      <c r="ER265" s="291"/>
      <c r="ES265" s="291"/>
      <c r="ET265" s="291"/>
      <c r="EU265" s="291"/>
      <c r="EV265" s="291"/>
      <c r="EW265" s="291"/>
      <c r="EX265" s="291"/>
      <c r="EY265" s="291"/>
      <c r="EZ265" s="291"/>
      <c r="FA265" s="291"/>
      <c r="FB265" s="291"/>
      <c r="FC265" s="291"/>
      <c r="FD265" s="291"/>
      <c r="FE265" s="291"/>
      <c r="FF265" s="291"/>
      <c r="FG265" s="291"/>
      <c r="FH265" s="291"/>
      <c r="FI265" s="291"/>
      <c r="FJ265" s="291"/>
      <c r="FK265" s="291"/>
      <c r="FL265" s="291"/>
      <c r="FM265" s="291"/>
      <c r="FN265" s="291"/>
      <c r="FO265" s="291"/>
      <c r="FP265" s="291"/>
      <c r="FQ265" s="291"/>
      <c r="FR265" s="291"/>
      <c r="FS265" s="291"/>
      <c r="FT265" s="291"/>
      <c r="FU265" s="291"/>
      <c r="FV265" s="291"/>
      <c r="FW265" s="291"/>
      <c r="FX265" s="291"/>
      <c r="FY265" s="291"/>
      <c r="FZ265" s="291"/>
      <c r="GA265" s="291"/>
      <c r="GB265" s="291"/>
      <c r="GC265" s="291"/>
      <c r="GD265" s="291"/>
      <c r="GE265" s="291"/>
      <c r="GF265" s="291"/>
      <c r="GG265" s="291"/>
      <c r="GH265" s="291"/>
      <c r="GI265" s="291"/>
      <c r="GJ265" s="291"/>
      <c r="GK265" s="291"/>
      <c r="GL265" s="291"/>
      <c r="GM265" s="291"/>
      <c r="GN265" s="291"/>
      <c r="GO265" s="291"/>
      <c r="GP265" s="291"/>
      <c r="GQ265" s="291"/>
      <c r="GR265" s="291"/>
      <c r="GS265" s="291"/>
      <c r="GT265" s="291"/>
      <c r="GU265" s="291"/>
      <c r="GV265" s="291"/>
      <c r="GW265" s="291"/>
      <c r="GX265" s="291"/>
      <c r="GY265" s="291"/>
      <c r="GZ265" s="291"/>
      <c r="HA265" s="291"/>
      <c r="HB265" s="291"/>
      <c r="HC265" s="291"/>
      <c r="HD265" s="291"/>
      <c r="HE265" s="291"/>
      <c r="HF265" s="291"/>
      <c r="HG265" s="291"/>
      <c r="HH265" s="291"/>
      <c r="HI265" s="291"/>
      <c r="HJ265" s="291"/>
      <c r="HK265" s="291"/>
      <c r="HL265" s="291"/>
      <c r="HM265" s="291"/>
      <c r="HN265" s="291"/>
      <c r="HO265" s="291"/>
      <c r="HP265" s="291"/>
      <c r="HQ265" s="291"/>
      <c r="HR265" s="291"/>
      <c r="HS265" s="291"/>
      <c r="HT265" s="291"/>
      <c r="HU265" s="291"/>
      <c r="HV265" s="291"/>
      <c r="HW265" s="291"/>
      <c r="HX265" s="291"/>
      <c r="HY265" s="291"/>
      <c r="HZ265" s="291"/>
      <c r="IA265" s="291"/>
      <c r="IB265" s="291"/>
      <c r="IC265" s="291"/>
      <c r="ID265" s="291"/>
      <c r="IE265" s="291"/>
      <c r="IF265" s="291"/>
      <c r="IG265" s="291"/>
      <c r="IH265" s="291"/>
      <c r="II265" s="291"/>
      <c r="IJ265" s="291"/>
      <c r="IK265" s="291"/>
      <c r="IL265" s="291"/>
      <c r="IM265" s="291"/>
      <c r="IN265" s="291"/>
      <c r="IO265" s="291"/>
      <c r="IP265" s="291"/>
      <c r="IQ265" s="291"/>
      <c r="IR265" s="291"/>
      <c r="IS265" s="291"/>
      <c r="IT265" s="291"/>
      <c r="IU265" s="291"/>
      <c r="IV265" s="291"/>
      <c r="IW265" s="291"/>
    </row>
    <row r="266" customFormat="false" ht="12.75" hidden="false" customHeight="false" outlineLevel="1" collapsed="false">
      <c r="A266" s="291"/>
      <c r="B266" s="291"/>
      <c r="C266" s="291"/>
      <c r="D266" s="291"/>
      <c r="E266" s="325"/>
      <c r="F266" s="332" t="s">
        <v>779</v>
      </c>
      <c r="G266" s="333" t="s">
        <v>744</v>
      </c>
      <c r="H266" s="293"/>
      <c r="I266" s="314" t="n">
        <v>1</v>
      </c>
      <c r="J266" s="295" t="n">
        <f aca="false">I266*H266</f>
        <v>0</v>
      </c>
      <c r="K266" s="295" t="n">
        <f aca="false">H266-J266</f>
        <v>0</v>
      </c>
      <c r="L266" s="0"/>
      <c r="M266" s="0"/>
      <c r="N266" s="291"/>
      <c r="O266" s="291"/>
      <c r="P266" s="291"/>
      <c r="Q266" s="291"/>
      <c r="R266" s="291"/>
      <c r="S266" s="291"/>
      <c r="T266" s="291"/>
      <c r="U266" s="291"/>
      <c r="V266" s="291"/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1"/>
      <c r="AZ266" s="291"/>
      <c r="BA266" s="291"/>
      <c r="BB266" s="291"/>
      <c r="BC266" s="291"/>
      <c r="BD266" s="291"/>
      <c r="BE266" s="291"/>
      <c r="BF266" s="291"/>
      <c r="BG266" s="291"/>
      <c r="BH266" s="291"/>
      <c r="BI266" s="291"/>
      <c r="BJ266" s="291"/>
      <c r="BK266" s="291"/>
      <c r="BL266" s="291"/>
      <c r="BM266" s="291"/>
      <c r="BN266" s="291"/>
      <c r="BO266" s="291"/>
      <c r="BP266" s="291"/>
      <c r="BQ266" s="291"/>
      <c r="BR266" s="291"/>
      <c r="BS266" s="291"/>
      <c r="BT266" s="291"/>
      <c r="BU266" s="291"/>
      <c r="BV266" s="291"/>
      <c r="BW266" s="291"/>
      <c r="BX266" s="291"/>
      <c r="BY266" s="291"/>
      <c r="BZ266" s="291"/>
      <c r="CA266" s="291"/>
      <c r="CB266" s="291"/>
      <c r="CC266" s="291"/>
      <c r="CD266" s="291"/>
      <c r="CE266" s="291"/>
      <c r="CF266" s="291"/>
      <c r="CG266" s="291"/>
      <c r="CH266" s="291"/>
      <c r="CI266" s="291"/>
      <c r="CJ266" s="291"/>
      <c r="CK266" s="291"/>
      <c r="CL266" s="291"/>
      <c r="CM266" s="291"/>
      <c r="CN266" s="291"/>
      <c r="CO266" s="291"/>
      <c r="CP266" s="291"/>
      <c r="CQ266" s="291"/>
      <c r="CR266" s="291"/>
      <c r="CS266" s="291"/>
      <c r="CT266" s="291"/>
      <c r="CU266" s="291"/>
      <c r="CV266" s="291"/>
      <c r="CW266" s="291"/>
      <c r="CX266" s="291"/>
      <c r="CY266" s="291"/>
      <c r="CZ266" s="291"/>
      <c r="DA266" s="291"/>
      <c r="DB266" s="291"/>
      <c r="DC266" s="291"/>
      <c r="DD266" s="291"/>
      <c r="DE266" s="291"/>
      <c r="DF266" s="291"/>
      <c r="DG266" s="291"/>
      <c r="DH266" s="291"/>
      <c r="DI266" s="291"/>
      <c r="DJ266" s="291"/>
      <c r="DK266" s="291"/>
      <c r="DL266" s="291"/>
      <c r="DM266" s="291"/>
      <c r="DN266" s="291"/>
      <c r="DO266" s="291"/>
      <c r="DP266" s="291"/>
      <c r="DQ266" s="291"/>
      <c r="DR266" s="291"/>
      <c r="DS266" s="291"/>
      <c r="DT266" s="291"/>
      <c r="DU266" s="291"/>
      <c r="DV266" s="291"/>
      <c r="DW266" s="291"/>
      <c r="DX266" s="291"/>
      <c r="DY266" s="291"/>
      <c r="DZ266" s="291"/>
      <c r="EA266" s="291"/>
      <c r="EB266" s="291"/>
      <c r="EC266" s="291"/>
      <c r="ED266" s="291"/>
      <c r="EE266" s="291"/>
      <c r="EF266" s="291"/>
      <c r="EG266" s="291"/>
      <c r="EH266" s="291"/>
      <c r="EI266" s="291"/>
      <c r="EJ266" s="291"/>
      <c r="EK266" s="291"/>
      <c r="EL266" s="291"/>
      <c r="EM266" s="291"/>
      <c r="EN266" s="291"/>
      <c r="EO266" s="291"/>
      <c r="EP266" s="291"/>
      <c r="EQ266" s="291"/>
      <c r="ER266" s="291"/>
      <c r="ES266" s="291"/>
      <c r="ET266" s="291"/>
      <c r="EU266" s="291"/>
      <c r="EV266" s="291"/>
      <c r="EW266" s="291"/>
      <c r="EX266" s="291"/>
      <c r="EY266" s="291"/>
      <c r="EZ266" s="291"/>
      <c r="FA266" s="291"/>
      <c r="FB266" s="291"/>
      <c r="FC266" s="291"/>
      <c r="FD266" s="291"/>
      <c r="FE266" s="291"/>
      <c r="FF266" s="291"/>
      <c r="FG266" s="291"/>
      <c r="FH266" s="291"/>
      <c r="FI266" s="291"/>
      <c r="FJ266" s="291"/>
      <c r="FK266" s="291"/>
      <c r="FL266" s="291"/>
      <c r="FM266" s="291"/>
      <c r="FN266" s="291"/>
      <c r="FO266" s="291"/>
      <c r="FP266" s="291"/>
      <c r="FQ266" s="291"/>
      <c r="FR266" s="291"/>
      <c r="FS266" s="291"/>
      <c r="FT266" s="291"/>
      <c r="FU266" s="291"/>
      <c r="FV266" s="291"/>
      <c r="FW266" s="291"/>
      <c r="FX266" s="291"/>
      <c r="FY266" s="291"/>
      <c r="FZ266" s="291"/>
      <c r="GA266" s="291"/>
      <c r="GB266" s="291"/>
      <c r="GC266" s="291"/>
      <c r="GD266" s="291"/>
      <c r="GE266" s="291"/>
      <c r="GF266" s="291"/>
      <c r="GG266" s="291"/>
      <c r="GH266" s="291"/>
      <c r="GI266" s="291"/>
      <c r="GJ266" s="291"/>
      <c r="GK266" s="291"/>
      <c r="GL266" s="291"/>
      <c r="GM266" s="291"/>
      <c r="GN266" s="291"/>
      <c r="GO266" s="291"/>
      <c r="GP266" s="291"/>
      <c r="GQ266" s="291"/>
      <c r="GR266" s="291"/>
      <c r="GS266" s="291"/>
      <c r="GT266" s="291"/>
      <c r="GU266" s="291"/>
      <c r="GV266" s="291"/>
      <c r="GW266" s="291"/>
      <c r="GX266" s="291"/>
      <c r="GY266" s="291"/>
      <c r="GZ266" s="291"/>
      <c r="HA266" s="291"/>
      <c r="HB266" s="291"/>
      <c r="HC266" s="291"/>
      <c r="HD266" s="291"/>
      <c r="HE266" s="291"/>
      <c r="HF266" s="291"/>
      <c r="HG266" s="291"/>
      <c r="HH266" s="291"/>
      <c r="HI266" s="291"/>
      <c r="HJ266" s="291"/>
      <c r="HK266" s="291"/>
      <c r="HL266" s="291"/>
      <c r="HM266" s="291"/>
      <c r="HN266" s="291"/>
      <c r="HO266" s="291"/>
      <c r="HP266" s="291"/>
      <c r="HQ266" s="291"/>
      <c r="HR266" s="291"/>
      <c r="HS266" s="291"/>
      <c r="HT266" s="291"/>
      <c r="HU266" s="291"/>
      <c r="HV266" s="291"/>
      <c r="HW266" s="291"/>
      <c r="HX266" s="291"/>
      <c r="HY266" s="291"/>
      <c r="HZ266" s="291"/>
      <c r="IA266" s="291"/>
      <c r="IB266" s="291"/>
      <c r="IC266" s="291"/>
      <c r="ID266" s="291"/>
      <c r="IE266" s="291"/>
      <c r="IF266" s="291"/>
      <c r="IG266" s="291"/>
      <c r="IH266" s="291"/>
      <c r="II266" s="291"/>
      <c r="IJ266" s="291"/>
      <c r="IK266" s="291"/>
      <c r="IL266" s="291"/>
      <c r="IM266" s="291"/>
      <c r="IN266" s="291"/>
      <c r="IO266" s="291"/>
      <c r="IP266" s="291"/>
      <c r="IQ266" s="291"/>
      <c r="IR266" s="291"/>
      <c r="IS266" s="291"/>
      <c r="IT266" s="291"/>
      <c r="IU266" s="291"/>
      <c r="IV266" s="291"/>
      <c r="IW266" s="291"/>
    </row>
    <row r="267" customFormat="false" ht="12.75" hidden="false" customHeight="false" outlineLevel="1" collapsed="false">
      <c r="A267" s="291"/>
      <c r="B267" s="291"/>
      <c r="C267" s="291"/>
      <c r="D267" s="291"/>
      <c r="E267" s="325"/>
      <c r="F267" s="332" t="s">
        <v>780</v>
      </c>
      <c r="G267" s="333" t="s">
        <v>781</v>
      </c>
      <c r="H267" s="293" t="n">
        <v>700</v>
      </c>
      <c r="I267" s="314" t="n">
        <v>1</v>
      </c>
      <c r="J267" s="295" t="n">
        <f aca="false">I267*H267</f>
        <v>700</v>
      </c>
      <c r="K267" s="295" t="n">
        <f aca="false">H267-J267</f>
        <v>0</v>
      </c>
      <c r="L267" s="0"/>
      <c r="M267" s="0"/>
      <c r="N267" s="291"/>
      <c r="O267" s="291"/>
      <c r="P267" s="291"/>
      <c r="Q267" s="291"/>
      <c r="R267" s="291"/>
      <c r="S267" s="291"/>
      <c r="T267" s="291"/>
      <c r="U267" s="291"/>
      <c r="V267" s="291"/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1"/>
      <c r="AZ267" s="291"/>
      <c r="BA267" s="291"/>
      <c r="BB267" s="291"/>
      <c r="BC267" s="291"/>
      <c r="BD267" s="291"/>
      <c r="BE267" s="291"/>
      <c r="BF267" s="291"/>
      <c r="BG267" s="291"/>
      <c r="BH267" s="291"/>
      <c r="BI267" s="291"/>
      <c r="BJ267" s="291"/>
      <c r="BK267" s="291"/>
      <c r="BL267" s="291"/>
      <c r="BM267" s="291"/>
      <c r="BN267" s="291"/>
      <c r="BO267" s="291"/>
      <c r="BP267" s="291"/>
      <c r="BQ267" s="291"/>
      <c r="BR267" s="291"/>
      <c r="BS267" s="291"/>
      <c r="BT267" s="291"/>
      <c r="BU267" s="291"/>
      <c r="BV267" s="291"/>
      <c r="BW267" s="291"/>
      <c r="BX267" s="291"/>
      <c r="BY267" s="291"/>
      <c r="BZ267" s="291"/>
      <c r="CA267" s="291"/>
      <c r="CB267" s="291"/>
      <c r="CC267" s="291"/>
      <c r="CD267" s="291"/>
      <c r="CE267" s="291"/>
      <c r="CF267" s="291"/>
      <c r="CG267" s="291"/>
      <c r="CH267" s="291"/>
      <c r="CI267" s="291"/>
      <c r="CJ267" s="291"/>
      <c r="CK267" s="291"/>
      <c r="CL267" s="291"/>
      <c r="CM267" s="291"/>
      <c r="CN267" s="291"/>
      <c r="CO267" s="291"/>
      <c r="CP267" s="291"/>
      <c r="CQ267" s="291"/>
      <c r="CR267" s="291"/>
      <c r="CS267" s="291"/>
      <c r="CT267" s="291"/>
      <c r="CU267" s="291"/>
      <c r="CV267" s="291"/>
      <c r="CW267" s="291"/>
      <c r="CX267" s="291"/>
      <c r="CY267" s="291"/>
      <c r="CZ267" s="291"/>
      <c r="DA267" s="291"/>
      <c r="DB267" s="291"/>
      <c r="DC267" s="291"/>
      <c r="DD267" s="291"/>
      <c r="DE267" s="291"/>
      <c r="DF267" s="291"/>
      <c r="DG267" s="291"/>
      <c r="DH267" s="291"/>
      <c r="DI267" s="291"/>
      <c r="DJ267" s="291"/>
      <c r="DK267" s="291"/>
      <c r="DL267" s="291"/>
      <c r="DM267" s="291"/>
      <c r="DN267" s="291"/>
      <c r="DO267" s="291"/>
      <c r="DP267" s="291"/>
      <c r="DQ267" s="291"/>
      <c r="DR267" s="291"/>
      <c r="DS267" s="291"/>
      <c r="DT267" s="291"/>
      <c r="DU267" s="291"/>
      <c r="DV267" s="291"/>
      <c r="DW267" s="291"/>
      <c r="DX267" s="291"/>
      <c r="DY267" s="291"/>
      <c r="DZ267" s="291"/>
      <c r="EA267" s="291"/>
      <c r="EB267" s="291"/>
      <c r="EC267" s="291"/>
      <c r="ED267" s="291"/>
      <c r="EE267" s="291"/>
      <c r="EF267" s="291"/>
      <c r="EG267" s="291"/>
      <c r="EH267" s="291"/>
      <c r="EI267" s="291"/>
      <c r="EJ267" s="291"/>
      <c r="EK267" s="291"/>
      <c r="EL267" s="291"/>
      <c r="EM267" s="291"/>
      <c r="EN267" s="291"/>
      <c r="EO267" s="291"/>
      <c r="EP267" s="291"/>
      <c r="EQ267" s="291"/>
      <c r="ER267" s="291"/>
      <c r="ES267" s="291"/>
      <c r="ET267" s="291"/>
      <c r="EU267" s="291"/>
      <c r="EV267" s="291"/>
      <c r="EW267" s="291"/>
      <c r="EX267" s="291"/>
      <c r="EY267" s="291"/>
      <c r="EZ267" s="291"/>
      <c r="FA267" s="291"/>
      <c r="FB267" s="291"/>
      <c r="FC267" s="291"/>
      <c r="FD267" s="291"/>
      <c r="FE267" s="291"/>
      <c r="FF267" s="291"/>
      <c r="FG267" s="291"/>
      <c r="FH267" s="291"/>
      <c r="FI267" s="291"/>
      <c r="FJ267" s="291"/>
      <c r="FK267" s="291"/>
      <c r="FL267" s="291"/>
      <c r="FM267" s="291"/>
      <c r="FN267" s="291"/>
      <c r="FO267" s="291"/>
      <c r="FP267" s="291"/>
      <c r="FQ267" s="291"/>
      <c r="FR267" s="291"/>
      <c r="FS267" s="291"/>
      <c r="FT267" s="291"/>
      <c r="FU267" s="291"/>
      <c r="FV267" s="291"/>
      <c r="FW267" s="291"/>
      <c r="FX267" s="291"/>
      <c r="FY267" s="291"/>
      <c r="FZ267" s="291"/>
      <c r="GA267" s="291"/>
      <c r="GB267" s="291"/>
      <c r="GC267" s="291"/>
      <c r="GD267" s="291"/>
      <c r="GE267" s="291"/>
      <c r="GF267" s="291"/>
      <c r="GG267" s="291"/>
      <c r="GH267" s="291"/>
      <c r="GI267" s="291"/>
      <c r="GJ267" s="291"/>
      <c r="GK267" s="291"/>
      <c r="GL267" s="291"/>
      <c r="GM267" s="291"/>
      <c r="GN267" s="291"/>
      <c r="GO267" s="291"/>
      <c r="GP267" s="291"/>
      <c r="GQ267" s="291"/>
      <c r="GR267" s="291"/>
      <c r="GS267" s="291"/>
      <c r="GT267" s="291"/>
      <c r="GU267" s="291"/>
      <c r="GV267" s="291"/>
      <c r="GW267" s="291"/>
      <c r="GX267" s="291"/>
      <c r="GY267" s="291"/>
      <c r="GZ267" s="291"/>
      <c r="HA267" s="291"/>
      <c r="HB267" s="291"/>
      <c r="HC267" s="291"/>
      <c r="HD267" s="291"/>
      <c r="HE267" s="291"/>
      <c r="HF267" s="291"/>
      <c r="HG267" s="291"/>
      <c r="HH267" s="291"/>
      <c r="HI267" s="291"/>
      <c r="HJ267" s="291"/>
      <c r="HK267" s="291"/>
      <c r="HL267" s="291"/>
      <c r="HM267" s="291"/>
      <c r="HN267" s="291"/>
      <c r="HO267" s="291"/>
      <c r="HP267" s="291"/>
      <c r="HQ267" s="291"/>
      <c r="HR267" s="291"/>
      <c r="HS267" s="291"/>
      <c r="HT267" s="291"/>
      <c r="HU267" s="291"/>
      <c r="HV267" s="291"/>
      <c r="HW267" s="291"/>
      <c r="HX267" s="291"/>
      <c r="HY267" s="291"/>
      <c r="HZ267" s="291"/>
      <c r="IA267" s="291"/>
      <c r="IB267" s="291"/>
      <c r="IC267" s="291"/>
      <c r="ID267" s="291"/>
      <c r="IE267" s="291"/>
      <c r="IF267" s="291"/>
      <c r="IG267" s="291"/>
      <c r="IH267" s="291"/>
      <c r="II267" s="291"/>
      <c r="IJ267" s="291"/>
      <c r="IK267" s="291"/>
      <c r="IL267" s="291"/>
      <c r="IM267" s="291"/>
      <c r="IN267" s="291"/>
      <c r="IO267" s="291"/>
      <c r="IP267" s="291"/>
      <c r="IQ267" s="291"/>
      <c r="IR267" s="291"/>
      <c r="IS267" s="291"/>
      <c r="IT267" s="291"/>
      <c r="IU267" s="291"/>
      <c r="IV267" s="291"/>
      <c r="IW267" s="291"/>
    </row>
    <row r="268" customFormat="false" ht="12.75" hidden="false" customHeight="false" outlineLevel="1" collapsed="false">
      <c r="A268" s="291"/>
      <c r="B268" s="291"/>
      <c r="C268" s="291"/>
      <c r="D268" s="291"/>
      <c r="E268" s="325"/>
      <c r="F268" s="332" t="s">
        <v>782</v>
      </c>
      <c r="G268" s="333" t="s">
        <v>783</v>
      </c>
      <c r="H268" s="293" t="n">
        <v>1000</v>
      </c>
      <c r="I268" s="314" t="n">
        <v>1</v>
      </c>
      <c r="J268" s="295" t="n">
        <f aca="false">I268*H268</f>
        <v>1000</v>
      </c>
      <c r="K268" s="295" t="n">
        <f aca="false">H268-J268</f>
        <v>0</v>
      </c>
      <c r="L268" s="0"/>
      <c r="M268" s="0"/>
      <c r="N268" s="291"/>
      <c r="O268" s="291"/>
      <c r="P268" s="291"/>
      <c r="Q268" s="291"/>
      <c r="R268" s="291"/>
      <c r="S268" s="291"/>
      <c r="T268" s="291"/>
      <c r="U268" s="291"/>
      <c r="V268" s="291"/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1"/>
      <c r="AZ268" s="291"/>
      <c r="BA268" s="291"/>
      <c r="BB268" s="291"/>
      <c r="BC268" s="291"/>
      <c r="BD268" s="291"/>
      <c r="BE268" s="291"/>
      <c r="BF268" s="291"/>
      <c r="BG268" s="291"/>
      <c r="BH268" s="291"/>
      <c r="BI268" s="291"/>
      <c r="BJ268" s="291"/>
      <c r="BK268" s="291"/>
      <c r="BL268" s="291"/>
      <c r="BM268" s="291"/>
      <c r="BN268" s="291"/>
      <c r="BO268" s="291"/>
      <c r="BP268" s="291"/>
      <c r="BQ268" s="291"/>
      <c r="BR268" s="291"/>
      <c r="BS268" s="291"/>
      <c r="BT268" s="291"/>
      <c r="BU268" s="291"/>
      <c r="BV268" s="291"/>
      <c r="BW268" s="291"/>
      <c r="BX268" s="291"/>
      <c r="BY268" s="291"/>
      <c r="BZ268" s="291"/>
      <c r="CA268" s="291"/>
      <c r="CB268" s="291"/>
      <c r="CC268" s="291"/>
      <c r="CD268" s="291"/>
      <c r="CE268" s="291"/>
      <c r="CF268" s="291"/>
      <c r="CG268" s="291"/>
      <c r="CH268" s="291"/>
      <c r="CI268" s="291"/>
      <c r="CJ268" s="291"/>
      <c r="CK268" s="291"/>
      <c r="CL268" s="291"/>
      <c r="CM268" s="291"/>
      <c r="CN268" s="291"/>
      <c r="CO268" s="291"/>
      <c r="CP268" s="291"/>
      <c r="CQ268" s="291"/>
      <c r="CR268" s="291"/>
      <c r="CS268" s="291"/>
      <c r="CT268" s="291"/>
      <c r="CU268" s="291"/>
      <c r="CV268" s="291"/>
      <c r="CW268" s="291"/>
      <c r="CX268" s="291"/>
      <c r="CY268" s="291"/>
      <c r="CZ268" s="291"/>
      <c r="DA268" s="291"/>
      <c r="DB268" s="291"/>
      <c r="DC268" s="291"/>
      <c r="DD268" s="291"/>
      <c r="DE268" s="291"/>
      <c r="DF268" s="291"/>
      <c r="DG268" s="291"/>
      <c r="DH268" s="291"/>
      <c r="DI268" s="291"/>
      <c r="DJ268" s="291"/>
      <c r="DK268" s="291"/>
      <c r="DL268" s="291"/>
      <c r="DM268" s="291"/>
      <c r="DN268" s="291"/>
      <c r="DO268" s="291"/>
      <c r="DP268" s="291"/>
      <c r="DQ268" s="291"/>
      <c r="DR268" s="291"/>
      <c r="DS268" s="291"/>
      <c r="DT268" s="291"/>
      <c r="DU268" s="291"/>
      <c r="DV268" s="291"/>
      <c r="DW268" s="291"/>
      <c r="DX268" s="291"/>
      <c r="DY268" s="291"/>
      <c r="DZ268" s="291"/>
      <c r="EA268" s="291"/>
      <c r="EB268" s="291"/>
      <c r="EC268" s="291"/>
      <c r="ED268" s="291"/>
      <c r="EE268" s="291"/>
      <c r="EF268" s="291"/>
      <c r="EG268" s="291"/>
      <c r="EH268" s="291"/>
      <c r="EI268" s="291"/>
      <c r="EJ268" s="291"/>
      <c r="EK268" s="291"/>
      <c r="EL268" s="291"/>
      <c r="EM268" s="291"/>
      <c r="EN268" s="291"/>
      <c r="EO268" s="291"/>
      <c r="EP268" s="291"/>
      <c r="EQ268" s="291"/>
      <c r="ER268" s="291"/>
      <c r="ES268" s="291"/>
      <c r="ET268" s="291"/>
      <c r="EU268" s="291"/>
      <c r="EV268" s="291"/>
      <c r="EW268" s="291"/>
      <c r="EX268" s="291"/>
      <c r="EY268" s="291"/>
      <c r="EZ268" s="291"/>
      <c r="FA268" s="291"/>
      <c r="FB268" s="291"/>
      <c r="FC268" s="291"/>
      <c r="FD268" s="291"/>
      <c r="FE268" s="291"/>
      <c r="FF268" s="291"/>
      <c r="FG268" s="291"/>
      <c r="FH268" s="291"/>
      <c r="FI268" s="291"/>
      <c r="FJ268" s="291"/>
      <c r="FK268" s="291"/>
      <c r="FL268" s="291"/>
      <c r="FM268" s="291"/>
      <c r="FN268" s="291"/>
      <c r="FO268" s="291"/>
      <c r="FP268" s="291"/>
      <c r="FQ268" s="291"/>
      <c r="FR268" s="291"/>
      <c r="FS268" s="291"/>
      <c r="FT268" s="291"/>
      <c r="FU268" s="291"/>
      <c r="FV268" s="291"/>
      <c r="FW268" s="291"/>
      <c r="FX268" s="291"/>
      <c r="FY268" s="291"/>
      <c r="FZ268" s="291"/>
      <c r="GA268" s="291"/>
      <c r="GB268" s="291"/>
      <c r="GC268" s="291"/>
      <c r="GD268" s="291"/>
      <c r="GE268" s="291"/>
      <c r="GF268" s="291"/>
      <c r="GG268" s="291"/>
      <c r="GH268" s="291"/>
      <c r="GI268" s="291"/>
      <c r="GJ268" s="291"/>
      <c r="GK268" s="291"/>
      <c r="GL268" s="291"/>
      <c r="GM268" s="291"/>
      <c r="GN268" s="291"/>
      <c r="GO268" s="291"/>
      <c r="GP268" s="291"/>
      <c r="GQ268" s="291"/>
      <c r="GR268" s="291"/>
      <c r="GS268" s="291"/>
      <c r="GT268" s="291"/>
      <c r="GU268" s="291"/>
      <c r="GV268" s="291"/>
      <c r="GW268" s="291"/>
      <c r="GX268" s="291"/>
      <c r="GY268" s="291"/>
      <c r="GZ268" s="291"/>
      <c r="HA268" s="291"/>
      <c r="HB268" s="291"/>
      <c r="HC268" s="291"/>
      <c r="HD268" s="291"/>
      <c r="HE268" s="291"/>
      <c r="HF268" s="291"/>
      <c r="HG268" s="291"/>
      <c r="HH268" s="291"/>
      <c r="HI268" s="291"/>
      <c r="HJ268" s="291"/>
      <c r="HK268" s="291"/>
      <c r="HL268" s="291"/>
      <c r="HM268" s="291"/>
      <c r="HN268" s="291"/>
      <c r="HO268" s="291"/>
      <c r="HP268" s="291"/>
      <c r="HQ268" s="291"/>
      <c r="HR268" s="291"/>
      <c r="HS268" s="291"/>
      <c r="HT268" s="291"/>
      <c r="HU268" s="291"/>
      <c r="HV268" s="291"/>
      <c r="HW268" s="291"/>
      <c r="HX268" s="291"/>
      <c r="HY268" s="291"/>
      <c r="HZ268" s="291"/>
      <c r="IA268" s="291"/>
      <c r="IB268" s="291"/>
      <c r="IC268" s="291"/>
      <c r="ID268" s="291"/>
      <c r="IE268" s="291"/>
      <c r="IF268" s="291"/>
      <c r="IG268" s="291"/>
      <c r="IH268" s="291"/>
      <c r="II268" s="291"/>
      <c r="IJ268" s="291"/>
      <c r="IK268" s="291"/>
      <c r="IL268" s="291"/>
      <c r="IM268" s="291"/>
      <c r="IN268" s="291"/>
      <c r="IO268" s="291"/>
      <c r="IP268" s="291"/>
      <c r="IQ268" s="291"/>
      <c r="IR268" s="291"/>
      <c r="IS268" s="291"/>
      <c r="IT268" s="291"/>
      <c r="IU268" s="291"/>
      <c r="IV268" s="291"/>
      <c r="IW268" s="291"/>
    </row>
    <row r="269" customFormat="false" ht="12.75" hidden="false" customHeight="false" outlineLevel="1" collapsed="false">
      <c r="A269" s="291"/>
      <c r="B269" s="291"/>
      <c r="C269" s="291"/>
      <c r="D269" s="291"/>
      <c r="E269" s="325"/>
      <c r="F269" s="332" t="s">
        <v>784</v>
      </c>
      <c r="G269" s="333" t="s">
        <v>785</v>
      </c>
      <c r="H269" s="293"/>
      <c r="I269" s="314" t="n">
        <v>1</v>
      </c>
      <c r="J269" s="295" t="n">
        <f aca="false">I269*H269</f>
        <v>0</v>
      </c>
      <c r="K269" s="295" t="n">
        <f aca="false">H269-J269</f>
        <v>0</v>
      </c>
      <c r="L269" s="0"/>
      <c r="M269" s="0"/>
      <c r="N269" s="291"/>
      <c r="O269" s="291"/>
      <c r="P269" s="291"/>
      <c r="Q269" s="291"/>
      <c r="R269" s="291"/>
      <c r="S269" s="291"/>
      <c r="T269" s="291"/>
      <c r="U269" s="291"/>
      <c r="V269" s="291"/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1"/>
      <c r="AZ269" s="291"/>
      <c r="BA269" s="291"/>
      <c r="BB269" s="291"/>
      <c r="BC269" s="291"/>
      <c r="BD269" s="291"/>
      <c r="BE269" s="291"/>
      <c r="BF269" s="291"/>
      <c r="BG269" s="291"/>
      <c r="BH269" s="291"/>
      <c r="BI269" s="291"/>
      <c r="BJ269" s="291"/>
      <c r="BK269" s="291"/>
      <c r="BL269" s="291"/>
      <c r="BM269" s="291"/>
      <c r="BN269" s="291"/>
      <c r="BO269" s="291"/>
      <c r="BP269" s="291"/>
      <c r="BQ269" s="291"/>
      <c r="BR269" s="291"/>
      <c r="BS269" s="291"/>
      <c r="BT269" s="291"/>
      <c r="BU269" s="291"/>
      <c r="BV269" s="291"/>
      <c r="BW269" s="291"/>
      <c r="BX269" s="291"/>
      <c r="BY269" s="291"/>
      <c r="BZ269" s="291"/>
      <c r="CA269" s="291"/>
      <c r="CB269" s="291"/>
      <c r="CC269" s="291"/>
      <c r="CD269" s="291"/>
      <c r="CE269" s="291"/>
      <c r="CF269" s="291"/>
      <c r="CG269" s="291"/>
      <c r="CH269" s="291"/>
      <c r="CI269" s="291"/>
      <c r="CJ269" s="291"/>
      <c r="CK269" s="291"/>
      <c r="CL269" s="291"/>
      <c r="CM269" s="291"/>
      <c r="CN269" s="291"/>
      <c r="CO269" s="291"/>
      <c r="CP269" s="291"/>
      <c r="CQ269" s="291"/>
      <c r="CR269" s="291"/>
      <c r="CS269" s="291"/>
      <c r="CT269" s="291"/>
      <c r="CU269" s="291"/>
      <c r="CV269" s="291"/>
      <c r="CW269" s="291"/>
      <c r="CX269" s="291"/>
      <c r="CY269" s="291"/>
      <c r="CZ269" s="291"/>
      <c r="DA269" s="291"/>
      <c r="DB269" s="291"/>
      <c r="DC269" s="291"/>
      <c r="DD269" s="291"/>
      <c r="DE269" s="291"/>
      <c r="DF269" s="291"/>
      <c r="DG269" s="291"/>
      <c r="DH269" s="291"/>
      <c r="DI269" s="291"/>
      <c r="DJ269" s="291"/>
      <c r="DK269" s="291"/>
      <c r="DL269" s="291"/>
      <c r="DM269" s="291"/>
      <c r="DN269" s="291"/>
      <c r="DO269" s="291"/>
      <c r="DP269" s="291"/>
      <c r="DQ269" s="291"/>
      <c r="DR269" s="291"/>
      <c r="DS269" s="291"/>
      <c r="DT269" s="291"/>
      <c r="DU269" s="291"/>
      <c r="DV269" s="291"/>
      <c r="DW269" s="291"/>
      <c r="DX269" s="291"/>
      <c r="DY269" s="291"/>
      <c r="DZ269" s="291"/>
      <c r="EA269" s="291"/>
      <c r="EB269" s="291"/>
      <c r="EC269" s="291"/>
      <c r="ED269" s="291"/>
      <c r="EE269" s="291"/>
      <c r="EF269" s="291"/>
      <c r="EG269" s="291"/>
      <c r="EH269" s="291"/>
      <c r="EI269" s="291"/>
      <c r="EJ269" s="291"/>
      <c r="EK269" s="291"/>
      <c r="EL269" s="291"/>
      <c r="EM269" s="291"/>
      <c r="EN269" s="291"/>
      <c r="EO269" s="291"/>
      <c r="EP269" s="291"/>
      <c r="EQ269" s="291"/>
      <c r="ER269" s="291"/>
      <c r="ES269" s="291"/>
      <c r="ET269" s="291"/>
      <c r="EU269" s="291"/>
      <c r="EV269" s="291"/>
      <c r="EW269" s="291"/>
      <c r="EX269" s="291"/>
      <c r="EY269" s="291"/>
      <c r="EZ269" s="291"/>
      <c r="FA269" s="291"/>
      <c r="FB269" s="291"/>
      <c r="FC269" s="291"/>
      <c r="FD269" s="291"/>
      <c r="FE269" s="291"/>
      <c r="FF269" s="291"/>
      <c r="FG269" s="291"/>
      <c r="FH269" s="291"/>
      <c r="FI269" s="291"/>
      <c r="FJ269" s="291"/>
      <c r="FK269" s="291"/>
      <c r="FL269" s="291"/>
      <c r="FM269" s="291"/>
      <c r="FN269" s="291"/>
      <c r="FO269" s="291"/>
      <c r="FP269" s="291"/>
      <c r="FQ269" s="291"/>
      <c r="FR269" s="291"/>
      <c r="FS269" s="291"/>
      <c r="FT269" s="291"/>
      <c r="FU269" s="291"/>
      <c r="FV269" s="291"/>
      <c r="FW269" s="291"/>
      <c r="FX269" s="291"/>
      <c r="FY269" s="291"/>
      <c r="FZ269" s="291"/>
      <c r="GA269" s="291"/>
      <c r="GB269" s="291"/>
      <c r="GC269" s="291"/>
      <c r="GD269" s="291"/>
      <c r="GE269" s="291"/>
      <c r="GF269" s="291"/>
      <c r="GG269" s="291"/>
      <c r="GH269" s="291"/>
      <c r="GI269" s="291"/>
      <c r="GJ269" s="291"/>
      <c r="GK269" s="291"/>
      <c r="GL269" s="291"/>
      <c r="GM269" s="291"/>
      <c r="GN269" s="291"/>
      <c r="GO269" s="291"/>
      <c r="GP269" s="291"/>
      <c r="GQ269" s="291"/>
      <c r="GR269" s="291"/>
      <c r="GS269" s="291"/>
      <c r="GT269" s="291"/>
      <c r="GU269" s="291"/>
      <c r="GV269" s="291"/>
      <c r="GW269" s="291"/>
      <c r="GX269" s="291"/>
      <c r="GY269" s="291"/>
      <c r="GZ269" s="291"/>
      <c r="HA269" s="291"/>
      <c r="HB269" s="291"/>
      <c r="HC269" s="291"/>
      <c r="HD269" s="291"/>
      <c r="HE269" s="291"/>
      <c r="HF269" s="291"/>
      <c r="HG269" s="291"/>
      <c r="HH269" s="291"/>
      <c r="HI269" s="291"/>
      <c r="HJ269" s="291"/>
      <c r="HK269" s="291"/>
      <c r="HL269" s="291"/>
      <c r="HM269" s="291"/>
      <c r="HN269" s="291"/>
      <c r="HO269" s="291"/>
      <c r="HP269" s="291"/>
      <c r="HQ269" s="291"/>
      <c r="HR269" s="291"/>
      <c r="HS269" s="291"/>
      <c r="HT269" s="291"/>
      <c r="HU269" s="291"/>
      <c r="HV269" s="291"/>
      <c r="HW269" s="291"/>
      <c r="HX269" s="291"/>
      <c r="HY269" s="291"/>
      <c r="HZ269" s="291"/>
      <c r="IA269" s="291"/>
      <c r="IB269" s="291"/>
      <c r="IC269" s="291"/>
      <c r="ID269" s="291"/>
      <c r="IE269" s="291"/>
      <c r="IF269" s="291"/>
      <c r="IG269" s="291"/>
      <c r="IH269" s="291"/>
      <c r="II269" s="291"/>
      <c r="IJ269" s="291"/>
      <c r="IK269" s="291"/>
      <c r="IL269" s="291"/>
      <c r="IM269" s="291"/>
      <c r="IN269" s="291"/>
      <c r="IO269" s="291"/>
      <c r="IP269" s="291"/>
      <c r="IQ269" s="291"/>
      <c r="IR269" s="291"/>
      <c r="IS269" s="291"/>
      <c r="IT269" s="291"/>
      <c r="IU269" s="291"/>
      <c r="IV269" s="291"/>
      <c r="IW269" s="291"/>
    </row>
    <row r="270" customFormat="false" ht="12.75" hidden="false" customHeight="false" outlineLevel="1" collapsed="false">
      <c r="A270" s="291"/>
      <c r="B270" s="291"/>
      <c r="C270" s="291"/>
      <c r="D270" s="291"/>
      <c r="E270" s="334"/>
      <c r="F270" s="332" t="s">
        <v>786</v>
      </c>
      <c r="G270" s="333" t="s">
        <v>787</v>
      </c>
      <c r="H270" s="293" t="n">
        <v>4065</v>
      </c>
      <c r="I270" s="314" t="n">
        <v>1</v>
      </c>
      <c r="J270" s="295" t="n">
        <f aca="false">I270*H270</f>
        <v>4065</v>
      </c>
      <c r="K270" s="295" t="n">
        <f aca="false">H270-J270</f>
        <v>0</v>
      </c>
      <c r="L270" s="0"/>
      <c r="M270" s="0"/>
      <c r="N270" s="291"/>
      <c r="O270" s="291"/>
      <c r="P270" s="291"/>
      <c r="Q270" s="291"/>
      <c r="R270" s="291"/>
      <c r="S270" s="291"/>
      <c r="T270" s="291"/>
      <c r="U270" s="291"/>
      <c r="V270" s="291"/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1"/>
      <c r="AZ270" s="291"/>
      <c r="BA270" s="291"/>
      <c r="BB270" s="291"/>
      <c r="BC270" s="291"/>
      <c r="BD270" s="291"/>
      <c r="BE270" s="291"/>
      <c r="BF270" s="291"/>
      <c r="BG270" s="291"/>
      <c r="BH270" s="291"/>
      <c r="BI270" s="291"/>
      <c r="BJ270" s="291"/>
      <c r="BK270" s="291"/>
      <c r="BL270" s="291"/>
      <c r="BM270" s="291"/>
      <c r="BN270" s="291"/>
      <c r="BO270" s="291"/>
      <c r="BP270" s="291"/>
      <c r="BQ270" s="291"/>
      <c r="BR270" s="291"/>
      <c r="BS270" s="291"/>
      <c r="BT270" s="291"/>
      <c r="BU270" s="291"/>
      <c r="BV270" s="291"/>
      <c r="BW270" s="291"/>
      <c r="BX270" s="291"/>
      <c r="BY270" s="291"/>
      <c r="BZ270" s="291"/>
      <c r="CA270" s="291"/>
      <c r="CB270" s="291"/>
      <c r="CC270" s="291"/>
      <c r="CD270" s="291"/>
      <c r="CE270" s="291"/>
      <c r="CF270" s="291"/>
      <c r="CG270" s="291"/>
      <c r="CH270" s="291"/>
      <c r="CI270" s="291"/>
      <c r="CJ270" s="291"/>
      <c r="CK270" s="291"/>
      <c r="CL270" s="291"/>
      <c r="CM270" s="291"/>
      <c r="CN270" s="291"/>
      <c r="CO270" s="291"/>
      <c r="CP270" s="291"/>
      <c r="CQ270" s="291"/>
      <c r="CR270" s="291"/>
      <c r="CS270" s="291"/>
      <c r="CT270" s="291"/>
      <c r="CU270" s="291"/>
      <c r="CV270" s="291"/>
      <c r="CW270" s="291"/>
      <c r="CX270" s="291"/>
      <c r="CY270" s="291"/>
      <c r="CZ270" s="291"/>
      <c r="DA270" s="291"/>
      <c r="DB270" s="291"/>
      <c r="DC270" s="291"/>
      <c r="DD270" s="291"/>
      <c r="DE270" s="291"/>
      <c r="DF270" s="291"/>
      <c r="DG270" s="291"/>
      <c r="DH270" s="291"/>
      <c r="DI270" s="291"/>
      <c r="DJ270" s="291"/>
      <c r="DK270" s="291"/>
      <c r="DL270" s="291"/>
      <c r="DM270" s="291"/>
      <c r="DN270" s="291"/>
      <c r="DO270" s="291"/>
      <c r="DP270" s="291"/>
      <c r="DQ270" s="291"/>
      <c r="DR270" s="291"/>
      <c r="DS270" s="291"/>
      <c r="DT270" s="291"/>
      <c r="DU270" s="291"/>
      <c r="DV270" s="291"/>
      <c r="DW270" s="291"/>
      <c r="DX270" s="291"/>
      <c r="DY270" s="291"/>
      <c r="DZ270" s="291"/>
      <c r="EA270" s="291"/>
      <c r="EB270" s="291"/>
      <c r="EC270" s="291"/>
      <c r="ED270" s="291"/>
      <c r="EE270" s="291"/>
      <c r="EF270" s="291"/>
      <c r="EG270" s="291"/>
      <c r="EH270" s="291"/>
      <c r="EI270" s="291"/>
      <c r="EJ270" s="291"/>
      <c r="EK270" s="291"/>
      <c r="EL270" s="291"/>
      <c r="EM270" s="291"/>
      <c r="EN270" s="291"/>
      <c r="EO270" s="291"/>
      <c r="EP270" s="291"/>
      <c r="EQ270" s="291"/>
      <c r="ER270" s="291"/>
      <c r="ES270" s="291"/>
      <c r="ET270" s="291"/>
      <c r="EU270" s="291"/>
      <c r="EV270" s="291"/>
      <c r="EW270" s="291"/>
      <c r="EX270" s="291"/>
      <c r="EY270" s="291"/>
      <c r="EZ270" s="291"/>
      <c r="FA270" s="291"/>
      <c r="FB270" s="291"/>
      <c r="FC270" s="291"/>
      <c r="FD270" s="291"/>
      <c r="FE270" s="291"/>
      <c r="FF270" s="291"/>
      <c r="FG270" s="291"/>
      <c r="FH270" s="291"/>
      <c r="FI270" s="291"/>
      <c r="FJ270" s="291"/>
      <c r="FK270" s="291"/>
      <c r="FL270" s="291"/>
      <c r="FM270" s="291"/>
      <c r="FN270" s="291"/>
      <c r="FO270" s="291"/>
      <c r="FP270" s="291"/>
      <c r="FQ270" s="291"/>
      <c r="FR270" s="291"/>
      <c r="FS270" s="291"/>
      <c r="FT270" s="291"/>
      <c r="FU270" s="291"/>
      <c r="FV270" s="291"/>
      <c r="FW270" s="291"/>
      <c r="FX270" s="291"/>
      <c r="FY270" s="291"/>
      <c r="FZ270" s="291"/>
      <c r="GA270" s="291"/>
      <c r="GB270" s="291"/>
      <c r="GC270" s="291"/>
      <c r="GD270" s="291"/>
      <c r="GE270" s="291"/>
      <c r="GF270" s="291"/>
      <c r="GG270" s="291"/>
      <c r="GH270" s="291"/>
      <c r="GI270" s="291"/>
      <c r="GJ270" s="291"/>
      <c r="GK270" s="291"/>
      <c r="GL270" s="291"/>
      <c r="GM270" s="291"/>
      <c r="GN270" s="291"/>
      <c r="GO270" s="291"/>
      <c r="GP270" s="291"/>
      <c r="GQ270" s="291"/>
      <c r="GR270" s="291"/>
      <c r="GS270" s="291"/>
      <c r="GT270" s="291"/>
      <c r="GU270" s="291"/>
      <c r="GV270" s="291"/>
      <c r="GW270" s="291"/>
      <c r="GX270" s="291"/>
      <c r="GY270" s="291"/>
      <c r="GZ270" s="291"/>
      <c r="HA270" s="291"/>
      <c r="HB270" s="291"/>
      <c r="HC270" s="291"/>
      <c r="HD270" s="291"/>
      <c r="HE270" s="291"/>
      <c r="HF270" s="291"/>
      <c r="HG270" s="291"/>
      <c r="HH270" s="291"/>
      <c r="HI270" s="291"/>
      <c r="HJ270" s="291"/>
      <c r="HK270" s="291"/>
      <c r="HL270" s="291"/>
      <c r="HM270" s="291"/>
      <c r="HN270" s="291"/>
      <c r="HO270" s="291"/>
      <c r="HP270" s="291"/>
      <c r="HQ270" s="291"/>
      <c r="HR270" s="291"/>
      <c r="HS270" s="291"/>
      <c r="HT270" s="291"/>
      <c r="HU270" s="291"/>
      <c r="HV270" s="291"/>
      <c r="HW270" s="291"/>
      <c r="HX270" s="291"/>
      <c r="HY270" s="291"/>
      <c r="HZ270" s="291"/>
      <c r="IA270" s="291"/>
      <c r="IB270" s="291"/>
      <c r="IC270" s="291"/>
      <c r="ID270" s="291"/>
      <c r="IE270" s="291"/>
      <c r="IF270" s="291"/>
      <c r="IG270" s="291"/>
      <c r="IH270" s="291"/>
      <c r="II270" s="291"/>
      <c r="IJ270" s="291"/>
      <c r="IK270" s="291"/>
      <c r="IL270" s="291"/>
      <c r="IM270" s="291"/>
      <c r="IN270" s="291"/>
      <c r="IO270" s="291"/>
      <c r="IP270" s="291"/>
      <c r="IQ270" s="291"/>
      <c r="IR270" s="291"/>
      <c r="IS270" s="291"/>
      <c r="IT270" s="291"/>
      <c r="IU270" s="291"/>
      <c r="IV270" s="291"/>
      <c r="IW270" s="291"/>
    </row>
    <row r="271" customFormat="false" ht="12.75" hidden="false" customHeight="false" outlineLevel="1" collapsed="false">
      <c r="A271" s="291"/>
      <c r="B271" s="291"/>
      <c r="C271" s="291"/>
      <c r="D271" s="291"/>
      <c r="E271" s="334"/>
      <c r="F271" s="332" t="s">
        <v>788</v>
      </c>
      <c r="G271" s="333" t="s">
        <v>789</v>
      </c>
      <c r="H271" s="293"/>
      <c r="I271" s="314" t="n">
        <v>1</v>
      </c>
      <c r="J271" s="295" t="n">
        <f aca="false">I271*H271</f>
        <v>0</v>
      </c>
      <c r="K271" s="295" t="n">
        <f aca="false">H271-J271</f>
        <v>0</v>
      </c>
      <c r="L271" s="0"/>
      <c r="M271" s="0"/>
      <c r="N271" s="291"/>
      <c r="O271" s="291"/>
      <c r="P271" s="291"/>
      <c r="Q271" s="291"/>
      <c r="R271" s="291"/>
      <c r="S271" s="291"/>
      <c r="T271" s="291"/>
      <c r="U271" s="291"/>
      <c r="V271" s="291"/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1"/>
      <c r="AZ271" s="291"/>
      <c r="BA271" s="291"/>
      <c r="BB271" s="291"/>
      <c r="BC271" s="291"/>
      <c r="BD271" s="291"/>
      <c r="BE271" s="291"/>
      <c r="BF271" s="291"/>
      <c r="BG271" s="291"/>
      <c r="BH271" s="291"/>
      <c r="BI271" s="291"/>
      <c r="BJ271" s="291"/>
      <c r="BK271" s="291"/>
      <c r="BL271" s="291"/>
      <c r="BM271" s="291"/>
      <c r="BN271" s="291"/>
      <c r="BO271" s="291"/>
      <c r="BP271" s="291"/>
      <c r="BQ271" s="291"/>
      <c r="BR271" s="291"/>
      <c r="BS271" s="291"/>
      <c r="BT271" s="291"/>
      <c r="BU271" s="291"/>
      <c r="BV271" s="291"/>
      <c r="BW271" s="291"/>
      <c r="BX271" s="291"/>
      <c r="BY271" s="291"/>
      <c r="BZ271" s="291"/>
      <c r="CA271" s="291"/>
      <c r="CB271" s="291"/>
      <c r="CC271" s="291"/>
      <c r="CD271" s="291"/>
      <c r="CE271" s="291"/>
      <c r="CF271" s="291"/>
      <c r="CG271" s="291"/>
      <c r="CH271" s="291"/>
      <c r="CI271" s="291"/>
      <c r="CJ271" s="291"/>
      <c r="CK271" s="291"/>
      <c r="CL271" s="291"/>
      <c r="CM271" s="291"/>
      <c r="CN271" s="291"/>
      <c r="CO271" s="291"/>
      <c r="CP271" s="291"/>
      <c r="CQ271" s="291"/>
      <c r="CR271" s="291"/>
      <c r="CS271" s="291"/>
      <c r="CT271" s="291"/>
      <c r="CU271" s="291"/>
      <c r="CV271" s="291"/>
      <c r="CW271" s="291"/>
      <c r="CX271" s="291"/>
      <c r="CY271" s="291"/>
      <c r="CZ271" s="291"/>
      <c r="DA271" s="291"/>
      <c r="DB271" s="291"/>
      <c r="DC271" s="291"/>
      <c r="DD271" s="291"/>
      <c r="DE271" s="291"/>
      <c r="DF271" s="291"/>
      <c r="DG271" s="291"/>
      <c r="DH271" s="291"/>
      <c r="DI271" s="291"/>
      <c r="DJ271" s="291"/>
      <c r="DK271" s="291"/>
      <c r="DL271" s="291"/>
      <c r="DM271" s="291"/>
      <c r="DN271" s="291"/>
      <c r="DO271" s="291"/>
      <c r="DP271" s="291"/>
      <c r="DQ271" s="291"/>
      <c r="DR271" s="291"/>
      <c r="DS271" s="291"/>
      <c r="DT271" s="291"/>
      <c r="DU271" s="291"/>
      <c r="DV271" s="291"/>
      <c r="DW271" s="291"/>
      <c r="DX271" s="291"/>
      <c r="DY271" s="291"/>
      <c r="DZ271" s="291"/>
      <c r="EA271" s="291"/>
      <c r="EB271" s="291"/>
      <c r="EC271" s="291"/>
      <c r="ED271" s="291"/>
      <c r="EE271" s="291"/>
      <c r="EF271" s="291"/>
      <c r="EG271" s="291"/>
      <c r="EH271" s="291"/>
      <c r="EI271" s="291"/>
      <c r="EJ271" s="291"/>
      <c r="EK271" s="291"/>
      <c r="EL271" s="291"/>
      <c r="EM271" s="291"/>
      <c r="EN271" s="291"/>
      <c r="EO271" s="291"/>
      <c r="EP271" s="291"/>
      <c r="EQ271" s="291"/>
      <c r="ER271" s="291"/>
      <c r="ES271" s="291"/>
      <c r="ET271" s="291"/>
      <c r="EU271" s="291"/>
      <c r="EV271" s="291"/>
      <c r="EW271" s="291"/>
      <c r="EX271" s="291"/>
      <c r="EY271" s="291"/>
      <c r="EZ271" s="291"/>
      <c r="FA271" s="291"/>
      <c r="FB271" s="291"/>
      <c r="FC271" s="291"/>
      <c r="FD271" s="291"/>
      <c r="FE271" s="291"/>
      <c r="FF271" s="291"/>
      <c r="FG271" s="291"/>
      <c r="FH271" s="291"/>
      <c r="FI271" s="291"/>
      <c r="FJ271" s="291"/>
      <c r="FK271" s="291"/>
      <c r="FL271" s="291"/>
      <c r="FM271" s="291"/>
      <c r="FN271" s="291"/>
      <c r="FO271" s="291"/>
      <c r="FP271" s="291"/>
      <c r="FQ271" s="291"/>
      <c r="FR271" s="291"/>
      <c r="FS271" s="291"/>
      <c r="FT271" s="291"/>
      <c r="FU271" s="291"/>
      <c r="FV271" s="291"/>
      <c r="FW271" s="291"/>
      <c r="FX271" s="291"/>
      <c r="FY271" s="291"/>
      <c r="FZ271" s="291"/>
      <c r="GA271" s="291"/>
      <c r="GB271" s="291"/>
      <c r="GC271" s="291"/>
      <c r="GD271" s="291"/>
      <c r="GE271" s="291"/>
      <c r="GF271" s="291"/>
      <c r="GG271" s="291"/>
      <c r="GH271" s="291"/>
      <c r="GI271" s="291"/>
      <c r="GJ271" s="291"/>
      <c r="GK271" s="291"/>
      <c r="GL271" s="291"/>
      <c r="GM271" s="291"/>
      <c r="GN271" s="291"/>
      <c r="GO271" s="291"/>
      <c r="GP271" s="291"/>
      <c r="GQ271" s="291"/>
      <c r="GR271" s="291"/>
      <c r="GS271" s="291"/>
      <c r="GT271" s="291"/>
      <c r="GU271" s="291"/>
      <c r="GV271" s="291"/>
      <c r="GW271" s="291"/>
      <c r="GX271" s="291"/>
      <c r="GY271" s="291"/>
      <c r="GZ271" s="291"/>
      <c r="HA271" s="291"/>
      <c r="HB271" s="291"/>
      <c r="HC271" s="291"/>
      <c r="HD271" s="291"/>
      <c r="HE271" s="291"/>
      <c r="HF271" s="291"/>
      <c r="HG271" s="291"/>
      <c r="HH271" s="291"/>
      <c r="HI271" s="291"/>
      <c r="HJ271" s="291"/>
      <c r="HK271" s="291"/>
      <c r="HL271" s="291"/>
      <c r="HM271" s="291"/>
      <c r="HN271" s="291"/>
      <c r="HO271" s="291"/>
      <c r="HP271" s="291"/>
      <c r="HQ271" s="291"/>
      <c r="HR271" s="291"/>
      <c r="HS271" s="291"/>
      <c r="HT271" s="291"/>
      <c r="HU271" s="291"/>
      <c r="HV271" s="291"/>
      <c r="HW271" s="291"/>
      <c r="HX271" s="291"/>
      <c r="HY271" s="291"/>
      <c r="HZ271" s="291"/>
      <c r="IA271" s="291"/>
      <c r="IB271" s="291"/>
      <c r="IC271" s="291"/>
      <c r="ID271" s="291"/>
      <c r="IE271" s="291"/>
      <c r="IF271" s="291"/>
      <c r="IG271" s="291"/>
      <c r="IH271" s="291"/>
      <c r="II271" s="291"/>
      <c r="IJ271" s="291"/>
      <c r="IK271" s="291"/>
      <c r="IL271" s="291"/>
      <c r="IM271" s="291"/>
      <c r="IN271" s="291"/>
      <c r="IO271" s="291"/>
      <c r="IP271" s="291"/>
      <c r="IQ271" s="291"/>
      <c r="IR271" s="291"/>
      <c r="IS271" s="291"/>
      <c r="IT271" s="291"/>
      <c r="IU271" s="291"/>
      <c r="IV271" s="291"/>
      <c r="IW271" s="291"/>
    </row>
    <row r="272" customFormat="false" ht="12.75" hidden="false" customHeight="false" outlineLevel="1" collapsed="false">
      <c r="A272" s="291"/>
      <c r="B272" s="291"/>
      <c r="C272" s="291"/>
      <c r="D272" s="291"/>
      <c r="E272" s="325" t="s">
        <v>790</v>
      </c>
      <c r="F272" s="332" t="s">
        <v>791</v>
      </c>
      <c r="G272" s="333" t="s">
        <v>792</v>
      </c>
      <c r="H272" s="293"/>
      <c r="I272" s="314" t="n">
        <v>1</v>
      </c>
      <c r="J272" s="295" t="n">
        <f aca="false">I272*H272</f>
        <v>0</v>
      </c>
      <c r="K272" s="295" t="n">
        <f aca="false">H272-J272</f>
        <v>0</v>
      </c>
      <c r="L272" s="0"/>
      <c r="M272" s="0"/>
      <c r="N272" s="291"/>
      <c r="O272" s="291"/>
      <c r="P272" s="291"/>
      <c r="Q272" s="291"/>
      <c r="R272" s="291"/>
      <c r="S272" s="291"/>
      <c r="T272" s="291"/>
      <c r="U272" s="291"/>
      <c r="V272" s="291"/>
      <c r="W272" s="291"/>
      <c r="X272" s="291"/>
      <c r="Y272" s="291"/>
      <c r="Z272" s="291"/>
      <c r="AA272" s="291"/>
      <c r="AB272" s="291"/>
      <c r="AC272" s="291"/>
      <c r="AD272" s="291"/>
      <c r="AE272" s="291"/>
      <c r="AF272" s="291"/>
      <c r="AG272" s="291"/>
      <c r="AH272" s="291"/>
      <c r="AI272" s="291"/>
      <c r="AJ272" s="291"/>
      <c r="AK272" s="291"/>
      <c r="AL272" s="291"/>
      <c r="AM272" s="291"/>
      <c r="AN272" s="291"/>
      <c r="AO272" s="291"/>
      <c r="AP272" s="291"/>
      <c r="AQ272" s="291"/>
      <c r="AR272" s="291"/>
      <c r="AS272" s="291"/>
      <c r="AT272" s="291"/>
      <c r="AU272" s="291"/>
      <c r="AV272" s="291"/>
      <c r="AW272" s="291"/>
      <c r="AX272" s="291"/>
      <c r="AY272" s="291"/>
      <c r="AZ272" s="291"/>
      <c r="BA272" s="291"/>
      <c r="BB272" s="291"/>
      <c r="BC272" s="291"/>
      <c r="BD272" s="291"/>
      <c r="BE272" s="291"/>
      <c r="BF272" s="291"/>
      <c r="BG272" s="291"/>
      <c r="BH272" s="291"/>
      <c r="BI272" s="291"/>
      <c r="BJ272" s="291"/>
      <c r="BK272" s="291"/>
      <c r="BL272" s="291"/>
      <c r="BM272" s="291"/>
      <c r="BN272" s="291"/>
      <c r="BO272" s="291"/>
      <c r="BP272" s="291"/>
      <c r="BQ272" s="291"/>
      <c r="BR272" s="291"/>
      <c r="BS272" s="291"/>
      <c r="BT272" s="291"/>
      <c r="BU272" s="291"/>
      <c r="BV272" s="291"/>
      <c r="BW272" s="291"/>
      <c r="BX272" s="291"/>
      <c r="BY272" s="291"/>
      <c r="BZ272" s="291"/>
      <c r="CA272" s="291"/>
      <c r="CB272" s="291"/>
      <c r="CC272" s="291"/>
      <c r="CD272" s="291"/>
      <c r="CE272" s="291"/>
      <c r="CF272" s="291"/>
      <c r="CG272" s="291"/>
      <c r="CH272" s="291"/>
      <c r="CI272" s="291"/>
      <c r="CJ272" s="291"/>
      <c r="CK272" s="291"/>
      <c r="CL272" s="291"/>
      <c r="CM272" s="291"/>
      <c r="CN272" s="291"/>
      <c r="CO272" s="291"/>
      <c r="CP272" s="291"/>
      <c r="CQ272" s="291"/>
      <c r="CR272" s="291"/>
      <c r="CS272" s="291"/>
      <c r="CT272" s="291"/>
      <c r="CU272" s="291"/>
      <c r="CV272" s="291"/>
      <c r="CW272" s="291"/>
      <c r="CX272" s="291"/>
      <c r="CY272" s="291"/>
      <c r="CZ272" s="291"/>
      <c r="DA272" s="291"/>
      <c r="DB272" s="291"/>
      <c r="DC272" s="291"/>
      <c r="DD272" s="291"/>
      <c r="DE272" s="291"/>
      <c r="DF272" s="291"/>
      <c r="DG272" s="291"/>
      <c r="DH272" s="291"/>
      <c r="DI272" s="291"/>
      <c r="DJ272" s="291"/>
      <c r="DK272" s="291"/>
      <c r="DL272" s="291"/>
      <c r="DM272" s="291"/>
      <c r="DN272" s="291"/>
      <c r="DO272" s="291"/>
      <c r="DP272" s="291"/>
      <c r="DQ272" s="291"/>
      <c r="DR272" s="291"/>
      <c r="DS272" s="291"/>
      <c r="DT272" s="291"/>
      <c r="DU272" s="291"/>
      <c r="DV272" s="291"/>
      <c r="DW272" s="291"/>
      <c r="DX272" s="291"/>
      <c r="DY272" s="291"/>
      <c r="DZ272" s="291"/>
      <c r="EA272" s="291"/>
      <c r="EB272" s="291"/>
      <c r="EC272" s="291"/>
      <c r="ED272" s="291"/>
      <c r="EE272" s="291"/>
      <c r="EF272" s="291"/>
      <c r="EG272" s="291"/>
      <c r="EH272" s="291"/>
      <c r="EI272" s="291"/>
      <c r="EJ272" s="291"/>
      <c r="EK272" s="291"/>
      <c r="EL272" s="291"/>
      <c r="EM272" s="291"/>
      <c r="EN272" s="291"/>
      <c r="EO272" s="291"/>
      <c r="EP272" s="291"/>
      <c r="EQ272" s="291"/>
      <c r="ER272" s="291"/>
      <c r="ES272" s="291"/>
      <c r="ET272" s="291"/>
      <c r="EU272" s="291"/>
      <c r="EV272" s="291"/>
      <c r="EW272" s="291"/>
      <c r="EX272" s="291"/>
      <c r="EY272" s="291"/>
      <c r="EZ272" s="291"/>
      <c r="FA272" s="291"/>
      <c r="FB272" s="291"/>
      <c r="FC272" s="291"/>
      <c r="FD272" s="291"/>
      <c r="FE272" s="291"/>
      <c r="FF272" s="291"/>
      <c r="FG272" s="291"/>
      <c r="FH272" s="291"/>
      <c r="FI272" s="291"/>
      <c r="FJ272" s="291"/>
      <c r="FK272" s="291"/>
      <c r="FL272" s="291"/>
      <c r="FM272" s="291"/>
      <c r="FN272" s="291"/>
      <c r="FO272" s="291"/>
      <c r="FP272" s="291"/>
      <c r="FQ272" s="291"/>
      <c r="FR272" s="291"/>
      <c r="FS272" s="291"/>
      <c r="FT272" s="291"/>
      <c r="FU272" s="291"/>
      <c r="FV272" s="291"/>
      <c r="FW272" s="291"/>
      <c r="FX272" s="291"/>
      <c r="FY272" s="291"/>
      <c r="FZ272" s="291"/>
      <c r="GA272" s="291"/>
      <c r="GB272" s="291"/>
      <c r="GC272" s="291"/>
      <c r="GD272" s="291"/>
      <c r="GE272" s="291"/>
      <c r="GF272" s="291"/>
      <c r="GG272" s="291"/>
      <c r="GH272" s="291"/>
      <c r="GI272" s="291"/>
      <c r="GJ272" s="291"/>
      <c r="GK272" s="291"/>
      <c r="GL272" s="291"/>
      <c r="GM272" s="291"/>
      <c r="GN272" s="291"/>
      <c r="GO272" s="291"/>
      <c r="GP272" s="291"/>
      <c r="GQ272" s="291"/>
      <c r="GR272" s="291"/>
      <c r="GS272" s="291"/>
      <c r="GT272" s="291"/>
      <c r="GU272" s="291"/>
      <c r="GV272" s="291"/>
      <c r="GW272" s="291"/>
      <c r="GX272" s="291"/>
      <c r="GY272" s="291"/>
      <c r="GZ272" s="291"/>
      <c r="HA272" s="291"/>
      <c r="HB272" s="291"/>
      <c r="HC272" s="291"/>
      <c r="HD272" s="291"/>
      <c r="HE272" s="291"/>
      <c r="HF272" s="291"/>
      <c r="HG272" s="291"/>
      <c r="HH272" s="291"/>
      <c r="HI272" s="291"/>
      <c r="HJ272" s="291"/>
      <c r="HK272" s="291"/>
      <c r="HL272" s="291"/>
      <c r="HM272" s="291"/>
      <c r="HN272" s="291"/>
      <c r="HO272" s="291"/>
      <c r="HP272" s="291"/>
      <c r="HQ272" s="291"/>
      <c r="HR272" s="291"/>
      <c r="HS272" s="291"/>
      <c r="HT272" s="291"/>
      <c r="HU272" s="291"/>
      <c r="HV272" s="291"/>
      <c r="HW272" s="291"/>
      <c r="HX272" s="291"/>
      <c r="HY272" s="291"/>
      <c r="HZ272" s="291"/>
      <c r="IA272" s="291"/>
      <c r="IB272" s="291"/>
      <c r="IC272" s="291"/>
      <c r="ID272" s="291"/>
      <c r="IE272" s="291"/>
      <c r="IF272" s="291"/>
      <c r="IG272" s="291"/>
      <c r="IH272" s="291"/>
      <c r="II272" s="291"/>
      <c r="IJ272" s="291"/>
      <c r="IK272" s="291"/>
      <c r="IL272" s="291"/>
      <c r="IM272" s="291"/>
      <c r="IN272" s="291"/>
      <c r="IO272" s="291"/>
      <c r="IP272" s="291"/>
      <c r="IQ272" s="291"/>
      <c r="IR272" s="291"/>
      <c r="IS272" s="291"/>
      <c r="IT272" s="291"/>
      <c r="IU272" s="291"/>
      <c r="IV272" s="291"/>
      <c r="IW272" s="291"/>
    </row>
    <row r="273" customFormat="false" ht="12.75" hidden="false" customHeight="false" outlineLevel="1" collapsed="false">
      <c r="A273" s="2" t="s">
        <v>793</v>
      </c>
      <c r="B273" s="2" t="s">
        <v>413</v>
      </c>
      <c r="C273" s="2" t="s">
        <v>794</v>
      </c>
      <c r="E273" s="325"/>
      <c r="F273" s="332" t="s">
        <v>795</v>
      </c>
      <c r="G273" s="333" t="s">
        <v>796</v>
      </c>
      <c r="H273" s="293"/>
      <c r="I273" s="314" t="n">
        <v>1</v>
      </c>
      <c r="J273" s="295" t="n">
        <f aca="false">I273*H273</f>
        <v>0</v>
      </c>
      <c r="K273" s="295" t="n">
        <f aca="false">H273-J273</f>
        <v>0</v>
      </c>
      <c r="L273" s="0"/>
      <c r="M273" s="0"/>
      <c r="N273" s="291"/>
      <c r="O273" s="291"/>
      <c r="P273" s="291"/>
      <c r="Q273" s="291"/>
      <c r="R273" s="291"/>
      <c r="S273" s="291"/>
      <c r="T273" s="291"/>
      <c r="U273" s="291"/>
      <c r="V273" s="291"/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1"/>
      <c r="AG273" s="291"/>
      <c r="AH273" s="291"/>
      <c r="AI273" s="291"/>
      <c r="AJ273" s="291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1"/>
      <c r="AZ273" s="291"/>
      <c r="BA273" s="291"/>
      <c r="BB273" s="291"/>
      <c r="BC273" s="291"/>
      <c r="BD273" s="291"/>
      <c r="BE273" s="291"/>
      <c r="BF273" s="291"/>
      <c r="BG273" s="291"/>
      <c r="BH273" s="291"/>
      <c r="BI273" s="291"/>
      <c r="BJ273" s="291"/>
      <c r="BK273" s="291"/>
      <c r="BL273" s="291"/>
      <c r="BM273" s="291"/>
      <c r="BN273" s="291"/>
      <c r="BO273" s="291"/>
      <c r="BP273" s="291"/>
      <c r="BQ273" s="291"/>
      <c r="BR273" s="291"/>
      <c r="BS273" s="291"/>
      <c r="BT273" s="291"/>
      <c r="BU273" s="291"/>
      <c r="BV273" s="291"/>
      <c r="BW273" s="291"/>
      <c r="BX273" s="291"/>
      <c r="BY273" s="291"/>
      <c r="BZ273" s="291"/>
      <c r="CA273" s="291"/>
      <c r="CB273" s="291"/>
      <c r="CC273" s="291"/>
      <c r="CD273" s="291"/>
      <c r="CE273" s="291"/>
      <c r="CF273" s="291"/>
      <c r="CG273" s="291"/>
      <c r="CH273" s="291"/>
      <c r="CI273" s="291"/>
      <c r="CJ273" s="291"/>
      <c r="CK273" s="291"/>
      <c r="CL273" s="291"/>
      <c r="CM273" s="291"/>
      <c r="CN273" s="291"/>
      <c r="CO273" s="291"/>
      <c r="CP273" s="291"/>
      <c r="CQ273" s="291"/>
      <c r="CR273" s="291"/>
      <c r="CS273" s="291"/>
      <c r="CT273" s="291"/>
      <c r="CU273" s="291"/>
      <c r="CV273" s="291"/>
      <c r="CW273" s="291"/>
      <c r="CX273" s="291"/>
      <c r="CY273" s="291"/>
      <c r="CZ273" s="291"/>
      <c r="DA273" s="291"/>
      <c r="DB273" s="291"/>
      <c r="DC273" s="291"/>
      <c r="DD273" s="291"/>
      <c r="DE273" s="291"/>
      <c r="DF273" s="291"/>
      <c r="DG273" s="291"/>
      <c r="DH273" s="291"/>
      <c r="DI273" s="291"/>
      <c r="DJ273" s="291"/>
      <c r="DK273" s="291"/>
      <c r="DL273" s="291"/>
      <c r="DM273" s="291"/>
      <c r="DN273" s="291"/>
      <c r="DO273" s="291"/>
      <c r="DP273" s="291"/>
      <c r="DQ273" s="291"/>
      <c r="DR273" s="291"/>
      <c r="DS273" s="291"/>
      <c r="DT273" s="291"/>
      <c r="DU273" s="291"/>
      <c r="DV273" s="291"/>
      <c r="DW273" s="291"/>
      <c r="DX273" s="291"/>
      <c r="DY273" s="291"/>
      <c r="DZ273" s="291"/>
      <c r="EA273" s="291"/>
      <c r="EB273" s="291"/>
      <c r="EC273" s="291"/>
      <c r="ED273" s="291"/>
      <c r="EE273" s="291"/>
      <c r="EF273" s="291"/>
      <c r="EG273" s="291"/>
      <c r="EH273" s="291"/>
      <c r="EI273" s="291"/>
      <c r="EJ273" s="291"/>
      <c r="EK273" s="291"/>
      <c r="EL273" s="291"/>
      <c r="EM273" s="291"/>
      <c r="EN273" s="291"/>
      <c r="EO273" s="291"/>
      <c r="EP273" s="291"/>
      <c r="EQ273" s="291"/>
      <c r="ER273" s="291"/>
      <c r="ES273" s="291"/>
      <c r="ET273" s="291"/>
      <c r="EU273" s="291"/>
      <c r="EV273" s="291"/>
      <c r="EW273" s="291"/>
      <c r="EX273" s="291"/>
      <c r="EY273" s="291"/>
      <c r="EZ273" s="291"/>
      <c r="FA273" s="291"/>
      <c r="FB273" s="291"/>
      <c r="FC273" s="291"/>
      <c r="FD273" s="291"/>
      <c r="FE273" s="291"/>
      <c r="FF273" s="291"/>
      <c r="FG273" s="291"/>
      <c r="FH273" s="291"/>
      <c r="FI273" s="291"/>
      <c r="FJ273" s="291"/>
      <c r="FK273" s="291"/>
      <c r="FL273" s="291"/>
      <c r="FM273" s="291"/>
      <c r="FN273" s="291"/>
      <c r="FO273" s="291"/>
      <c r="FP273" s="291"/>
      <c r="FQ273" s="291"/>
      <c r="FR273" s="291"/>
      <c r="FS273" s="291"/>
      <c r="FT273" s="291"/>
      <c r="FU273" s="291"/>
      <c r="FV273" s="291"/>
      <c r="FW273" s="291"/>
      <c r="FX273" s="291"/>
      <c r="FY273" s="291"/>
      <c r="FZ273" s="291"/>
      <c r="GA273" s="291"/>
      <c r="GB273" s="291"/>
      <c r="GC273" s="291"/>
      <c r="GD273" s="291"/>
      <c r="GE273" s="291"/>
      <c r="GF273" s="291"/>
      <c r="GG273" s="291"/>
      <c r="GH273" s="291"/>
      <c r="GI273" s="291"/>
      <c r="GJ273" s="291"/>
      <c r="GK273" s="291"/>
      <c r="GL273" s="291"/>
      <c r="GM273" s="291"/>
      <c r="GN273" s="291"/>
      <c r="GO273" s="291"/>
      <c r="GP273" s="291"/>
      <c r="GQ273" s="291"/>
      <c r="GR273" s="291"/>
      <c r="GS273" s="291"/>
      <c r="GT273" s="291"/>
      <c r="GU273" s="291"/>
      <c r="GV273" s="291"/>
      <c r="GW273" s="291"/>
      <c r="GX273" s="291"/>
      <c r="GY273" s="291"/>
      <c r="GZ273" s="291"/>
      <c r="HA273" s="291"/>
      <c r="HB273" s="291"/>
      <c r="HC273" s="291"/>
      <c r="HD273" s="291"/>
      <c r="HE273" s="291"/>
      <c r="HF273" s="291"/>
      <c r="HG273" s="291"/>
      <c r="HH273" s="291"/>
      <c r="HI273" s="291"/>
      <c r="HJ273" s="291"/>
      <c r="HK273" s="291"/>
      <c r="HL273" s="291"/>
      <c r="HM273" s="291"/>
      <c r="HN273" s="291"/>
      <c r="HO273" s="291"/>
      <c r="HP273" s="291"/>
      <c r="HQ273" s="291"/>
      <c r="HR273" s="291"/>
      <c r="HS273" s="291"/>
      <c r="HT273" s="291"/>
      <c r="HU273" s="291"/>
      <c r="HV273" s="291"/>
      <c r="HW273" s="291"/>
      <c r="HX273" s="291"/>
      <c r="HY273" s="291"/>
      <c r="HZ273" s="291"/>
      <c r="IA273" s="291"/>
      <c r="IB273" s="291"/>
      <c r="IC273" s="291"/>
      <c r="ID273" s="291"/>
      <c r="IE273" s="291"/>
      <c r="IF273" s="291"/>
      <c r="IG273" s="291"/>
      <c r="IH273" s="291"/>
      <c r="II273" s="291"/>
      <c r="IJ273" s="291"/>
      <c r="IK273" s="291"/>
      <c r="IL273" s="291"/>
      <c r="IM273" s="291"/>
      <c r="IN273" s="291"/>
      <c r="IO273" s="291"/>
      <c r="IP273" s="291"/>
      <c r="IQ273" s="291"/>
      <c r="IR273" s="291"/>
      <c r="IS273" s="291"/>
      <c r="IT273" s="291"/>
      <c r="IU273" s="291"/>
      <c r="IV273" s="291"/>
      <c r="IW273" s="291"/>
    </row>
    <row r="274" customFormat="false" ht="12.75" hidden="false" customHeight="false" outlineLevel="2" collapsed="false">
      <c r="A274" s="2" t="str">
        <f aca="false">B274&amp;C274&amp;D274</f>
        <v>O&amp;M Mobilization BudgetCapital, Operating and BOP Spares (1998$)</v>
      </c>
      <c r="B274" s="2" t="s">
        <v>413</v>
      </c>
      <c r="C274" s="2" t="s">
        <v>797</v>
      </c>
      <c r="E274" s="325"/>
      <c r="F274" s="332" t="s">
        <v>798</v>
      </c>
      <c r="G274" s="333" t="s">
        <v>799</v>
      </c>
      <c r="H274" s="293"/>
      <c r="I274" s="314" t="n">
        <v>1</v>
      </c>
      <c r="J274" s="295" t="n">
        <f aca="false">I274*H274</f>
        <v>0</v>
      </c>
      <c r="K274" s="295" t="n">
        <f aca="false">H274-J274</f>
        <v>0</v>
      </c>
      <c r="L274" s="0"/>
      <c r="M274" s="0"/>
      <c r="N274" s="2"/>
    </row>
    <row r="275" customFormat="false" ht="12.75" hidden="false" customHeight="false" outlineLevel="2" collapsed="false">
      <c r="E275" s="325"/>
      <c r="F275" s="332" t="s">
        <v>800</v>
      </c>
      <c r="G275" s="333" t="s">
        <v>801</v>
      </c>
      <c r="H275" s="293" t="n">
        <v>1795</v>
      </c>
      <c r="I275" s="314" t="n">
        <v>1</v>
      </c>
      <c r="J275" s="295" t="n">
        <f aca="false">I275*H275</f>
        <v>1795</v>
      </c>
      <c r="K275" s="295" t="n">
        <f aca="false">H275-J275</f>
        <v>0</v>
      </c>
      <c r="L275" s="0"/>
      <c r="M275" s="0"/>
      <c r="N275" s="2"/>
    </row>
    <row r="276" customFormat="false" ht="12.75" hidden="false" customHeight="false" outlineLevel="2" collapsed="false">
      <c r="E276" s="325"/>
      <c r="F276" s="326"/>
      <c r="G276" s="326"/>
      <c r="H276" s="293"/>
      <c r="I276" s="335"/>
      <c r="J276" s="306"/>
      <c r="K276" s="306"/>
      <c r="L276" s="0"/>
      <c r="M276" s="0"/>
      <c r="N276" s="2"/>
    </row>
    <row r="277" customFormat="false" ht="12.75" hidden="false" customHeight="false" outlineLevel="2" collapsed="false">
      <c r="E277" s="325" t="s">
        <v>559</v>
      </c>
      <c r="F277" s="336" t="n">
        <v>0.05</v>
      </c>
      <c r="G277" s="326"/>
      <c r="H277" s="293" t="n">
        <f aca="false">0.05*SUM(H231:H276)</f>
        <v>3242.75</v>
      </c>
      <c r="I277" s="314" t="n">
        <v>1</v>
      </c>
      <c r="J277" s="295" t="n">
        <f aca="false">I277*H277</f>
        <v>3242.75</v>
      </c>
      <c r="K277" s="295" t="n">
        <f aca="false">H277-J277</f>
        <v>0</v>
      </c>
      <c r="L277" s="0"/>
      <c r="M277" s="0"/>
      <c r="N277" s="2"/>
    </row>
    <row r="278" customFormat="false" ht="12.75" hidden="false" customHeight="false" outlineLevel="1" collapsed="false">
      <c r="A278" s="291" t="s">
        <v>802</v>
      </c>
      <c r="B278" s="291" t="s">
        <v>413</v>
      </c>
      <c r="C278" s="291" t="s">
        <v>797</v>
      </c>
      <c r="D278" s="291"/>
      <c r="E278" s="325"/>
      <c r="F278" s="326"/>
      <c r="G278" s="326"/>
      <c r="H278" s="337"/>
      <c r="I278" s="338"/>
      <c r="J278" s="306"/>
      <c r="K278" s="306"/>
      <c r="L278" s="0"/>
      <c r="M278" s="0"/>
      <c r="N278" s="291"/>
      <c r="O278" s="291"/>
      <c r="P278" s="291"/>
      <c r="Q278" s="291"/>
      <c r="R278" s="291"/>
      <c r="S278" s="291"/>
      <c r="T278" s="291"/>
      <c r="U278" s="291"/>
      <c r="V278" s="291"/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1"/>
      <c r="AZ278" s="291"/>
      <c r="BA278" s="291"/>
      <c r="BB278" s="291"/>
      <c r="BC278" s="291"/>
      <c r="BD278" s="291"/>
      <c r="BE278" s="291"/>
      <c r="BF278" s="291"/>
      <c r="BG278" s="291"/>
      <c r="BH278" s="291"/>
      <c r="BI278" s="291"/>
      <c r="BJ278" s="291"/>
      <c r="BK278" s="291"/>
      <c r="BL278" s="291"/>
      <c r="BM278" s="291"/>
      <c r="BN278" s="291"/>
      <c r="BO278" s="291"/>
      <c r="BP278" s="291"/>
      <c r="BQ278" s="291"/>
      <c r="BR278" s="291"/>
      <c r="BS278" s="291"/>
      <c r="BT278" s="291"/>
      <c r="BU278" s="291"/>
      <c r="BV278" s="291"/>
      <c r="BW278" s="291"/>
      <c r="BX278" s="291"/>
      <c r="BY278" s="291"/>
      <c r="BZ278" s="291"/>
      <c r="CA278" s="291"/>
      <c r="CB278" s="291"/>
      <c r="CC278" s="291"/>
      <c r="CD278" s="291"/>
      <c r="CE278" s="291"/>
      <c r="CF278" s="291"/>
      <c r="CG278" s="291"/>
      <c r="CH278" s="291"/>
      <c r="CI278" s="291"/>
      <c r="CJ278" s="291"/>
      <c r="CK278" s="291"/>
      <c r="CL278" s="291"/>
      <c r="CM278" s="291"/>
      <c r="CN278" s="291"/>
      <c r="CO278" s="291"/>
      <c r="CP278" s="291"/>
      <c r="CQ278" s="291"/>
      <c r="CR278" s="291"/>
      <c r="CS278" s="291"/>
      <c r="CT278" s="291"/>
      <c r="CU278" s="291"/>
      <c r="CV278" s="291"/>
      <c r="CW278" s="291"/>
      <c r="CX278" s="291"/>
      <c r="CY278" s="291"/>
      <c r="CZ278" s="291"/>
      <c r="DA278" s="291"/>
      <c r="DB278" s="291"/>
      <c r="DC278" s="291"/>
      <c r="DD278" s="291"/>
      <c r="DE278" s="291"/>
      <c r="DF278" s="291"/>
      <c r="DG278" s="291"/>
      <c r="DH278" s="291"/>
      <c r="DI278" s="291"/>
      <c r="DJ278" s="291"/>
      <c r="DK278" s="291"/>
      <c r="DL278" s="291"/>
      <c r="DM278" s="291"/>
      <c r="DN278" s="291"/>
      <c r="DO278" s="291"/>
      <c r="DP278" s="291"/>
      <c r="DQ278" s="291"/>
      <c r="DR278" s="291"/>
      <c r="DS278" s="291"/>
      <c r="DT278" s="291"/>
      <c r="DU278" s="291"/>
      <c r="DV278" s="291"/>
      <c r="DW278" s="291"/>
      <c r="DX278" s="291"/>
      <c r="DY278" s="291"/>
      <c r="DZ278" s="291"/>
      <c r="EA278" s="291"/>
      <c r="EB278" s="291"/>
      <c r="EC278" s="291"/>
      <c r="ED278" s="291"/>
      <c r="EE278" s="291"/>
      <c r="EF278" s="291"/>
      <c r="EG278" s="291"/>
      <c r="EH278" s="291"/>
      <c r="EI278" s="291"/>
      <c r="EJ278" s="291"/>
      <c r="EK278" s="291"/>
      <c r="EL278" s="291"/>
      <c r="EM278" s="291"/>
      <c r="EN278" s="291"/>
      <c r="EO278" s="291"/>
      <c r="EP278" s="291"/>
      <c r="EQ278" s="291"/>
      <c r="ER278" s="291"/>
      <c r="ES278" s="291"/>
      <c r="ET278" s="291"/>
      <c r="EU278" s="291"/>
      <c r="EV278" s="291"/>
      <c r="EW278" s="291"/>
      <c r="EX278" s="291"/>
      <c r="EY278" s="291"/>
      <c r="EZ278" s="291"/>
      <c r="FA278" s="291"/>
      <c r="FB278" s="291"/>
      <c r="FC278" s="291"/>
      <c r="FD278" s="291"/>
      <c r="FE278" s="291"/>
      <c r="FF278" s="291"/>
      <c r="FG278" s="291"/>
      <c r="FH278" s="291"/>
      <c r="FI278" s="291"/>
      <c r="FJ278" s="291"/>
      <c r="FK278" s="291"/>
      <c r="FL278" s="291"/>
      <c r="FM278" s="291"/>
      <c r="FN278" s="291"/>
      <c r="FO278" s="291"/>
      <c r="FP278" s="291"/>
      <c r="FQ278" s="291"/>
      <c r="FR278" s="291"/>
      <c r="FS278" s="291"/>
      <c r="FT278" s="291"/>
      <c r="FU278" s="291"/>
      <c r="FV278" s="291"/>
      <c r="FW278" s="291"/>
      <c r="FX278" s="291"/>
      <c r="FY278" s="291"/>
      <c r="FZ278" s="291"/>
      <c r="GA278" s="291"/>
      <c r="GB278" s="291"/>
      <c r="GC278" s="291"/>
      <c r="GD278" s="291"/>
      <c r="GE278" s="291"/>
      <c r="GF278" s="291"/>
      <c r="GG278" s="291"/>
      <c r="GH278" s="291"/>
      <c r="GI278" s="291"/>
      <c r="GJ278" s="291"/>
      <c r="GK278" s="291"/>
      <c r="GL278" s="291"/>
      <c r="GM278" s="291"/>
      <c r="GN278" s="291"/>
      <c r="GO278" s="291"/>
      <c r="GP278" s="291"/>
      <c r="GQ278" s="291"/>
      <c r="GR278" s="291"/>
      <c r="GS278" s="291"/>
      <c r="GT278" s="291"/>
      <c r="GU278" s="291"/>
      <c r="GV278" s="291"/>
      <c r="GW278" s="291"/>
      <c r="GX278" s="291"/>
      <c r="GY278" s="291"/>
      <c r="GZ278" s="291"/>
      <c r="HA278" s="291"/>
      <c r="HB278" s="291"/>
      <c r="HC278" s="291"/>
      <c r="HD278" s="291"/>
      <c r="HE278" s="291"/>
      <c r="HF278" s="291"/>
      <c r="HG278" s="291"/>
      <c r="HH278" s="291"/>
      <c r="HI278" s="291"/>
      <c r="HJ278" s="291"/>
      <c r="HK278" s="291"/>
      <c r="HL278" s="291"/>
      <c r="HM278" s="291"/>
      <c r="HN278" s="291"/>
      <c r="HO278" s="291"/>
      <c r="HP278" s="291"/>
      <c r="HQ278" s="291"/>
      <c r="HR278" s="291"/>
      <c r="HS278" s="291"/>
      <c r="HT278" s="291"/>
      <c r="HU278" s="291"/>
      <c r="HV278" s="291"/>
      <c r="HW278" s="291"/>
      <c r="HX278" s="291"/>
      <c r="HY278" s="291"/>
      <c r="HZ278" s="291"/>
      <c r="IA278" s="291"/>
      <c r="IB278" s="291"/>
      <c r="IC278" s="291"/>
      <c r="ID278" s="291"/>
      <c r="IE278" s="291"/>
      <c r="IF278" s="291"/>
      <c r="IG278" s="291"/>
      <c r="IH278" s="291"/>
      <c r="II278" s="291"/>
      <c r="IJ278" s="291"/>
      <c r="IK278" s="291"/>
      <c r="IL278" s="291"/>
      <c r="IM278" s="291"/>
      <c r="IN278" s="291"/>
      <c r="IO278" s="291"/>
      <c r="IP278" s="291"/>
      <c r="IQ278" s="291"/>
      <c r="IR278" s="291"/>
      <c r="IS278" s="291"/>
      <c r="IT278" s="291"/>
      <c r="IU278" s="291"/>
      <c r="IV278" s="291"/>
      <c r="IW278" s="291"/>
    </row>
    <row r="279" customFormat="false" ht="12.75" hidden="false" customHeight="false" outlineLevel="0" collapsed="false">
      <c r="A279" s="291"/>
      <c r="B279" s="291"/>
      <c r="C279" s="291"/>
      <c r="D279" s="291"/>
      <c r="E279" s="339"/>
      <c r="F279" s="340"/>
      <c r="G279" s="341" t="s">
        <v>431</v>
      </c>
      <c r="H279" s="307" t="n">
        <f aca="false">SUBTOTAL(9,H231:H278)</f>
        <v>68097.75</v>
      </c>
      <c r="I279" s="308"/>
      <c r="J279" s="307" t="n">
        <f aca="false">SUBTOTAL(9,J231:J278)</f>
        <v>68097.75</v>
      </c>
      <c r="K279" s="307" t="n">
        <f aca="false">SUBTOTAL(9,K231:K278)</f>
        <v>0</v>
      </c>
      <c r="L279" s="0"/>
      <c r="M279" s="0"/>
      <c r="N279" s="291"/>
      <c r="O279" s="291"/>
      <c r="P279" s="291"/>
      <c r="Q279" s="291"/>
      <c r="R279" s="291"/>
      <c r="S279" s="291"/>
      <c r="T279" s="291"/>
      <c r="U279" s="291"/>
      <c r="V279" s="291"/>
      <c r="W279" s="291"/>
      <c r="X279" s="291"/>
      <c r="Y279" s="291"/>
      <c r="Z279" s="291"/>
      <c r="AA279" s="291"/>
      <c r="AB279" s="291"/>
      <c r="AC279" s="291"/>
      <c r="AD279" s="291"/>
      <c r="AE279" s="291"/>
      <c r="AF279" s="291"/>
      <c r="AG279" s="291"/>
      <c r="AH279" s="291"/>
      <c r="AI279" s="291"/>
      <c r="AJ279" s="291"/>
      <c r="AK279" s="291"/>
      <c r="AL279" s="291"/>
      <c r="AM279" s="291"/>
      <c r="AN279" s="291"/>
      <c r="AO279" s="291"/>
      <c r="AP279" s="291"/>
      <c r="AQ279" s="291"/>
      <c r="AR279" s="291"/>
      <c r="AS279" s="291"/>
      <c r="AT279" s="291"/>
      <c r="AU279" s="291"/>
      <c r="AV279" s="291"/>
      <c r="AW279" s="291"/>
      <c r="AX279" s="291"/>
      <c r="AY279" s="291"/>
      <c r="AZ279" s="291"/>
      <c r="BA279" s="291"/>
      <c r="BB279" s="291"/>
      <c r="BC279" s="291"/>
      <c r="BD279" s="291"/>
      <c r="BE279" s="291"/>
      <c r="BF279" s="291"/>
      <c r="BG279" s="291"/>
      <c r="BH279" s="291"/>
      <c r="BI279" s="291"/>
      <c r="BJ279" s="291"/>
      <c r="BK279" s="291"/>
      <c r="BL279" s="291"/>
      <c r="BM279" s="291"/>
      <c r="BN279" s="291"/>
      <c r="BO279" s="291"/>
      <c r="BP279" s="291"/>
      <c r="BQ279" s="291"/>
      <c r="BR279" s="291"/>
      <c r="BS279" s="291"/>
      <c r="BT279" s="291"/>
      <c r="BU279" s="291"/>
      <c r="BV279" s="291"/>
      <c r="BW279" s="291"/>
      <c r="BX279" s="291"/>
      <c r="BY279" s="291"/>
      <c r="BZ279" s="291"/>
      <c r="CA279" s="291"/>
      <c r="CB279" s="291"/>
      <c r="CC279" s="291"/>
      <c r="CD279" s="291"/>
      <c r="CE279" s="291"/>
      <c r="CF279" s="291"/>
      <c r="CG279" s="291"/>
      <c r="CH279" s="291"/>
      <c r="CI279" s="291"/>
      <c r="CJ279" s="291"/>
      <c r="CK279" s="291"/>
      <c r="CL279" s="291"/>
      <c r="CM279" s="291"/>
      <c r="CN279" s="291"/>
      <c r="CO279" s="291"/>
      <c r="CP279" s="291"/>
      <c r="CQ279" s="291"/>
      <c r="CR279" s="291"/>
      <c r="CS279" s="291"/>
      <c r="CT279" s="291"/>
      <c r="CU279" s="291"/>
      <c r="CV279" s="291"/>
      <c r="CW279" s="291"/>
      <c r="CX279" s="291"/>
      <c r="CY279" s="291"/>
      <c r="CZ279" s="291"/>
      <c r="DA279" s="291"/>
      <c r="DB279" s="291"/>
      <c r="DC279" s="291"/>
      <c r="DD279" s="291"/>
      <c r="DE279" s="291"/>
      <c r="DF279" s="291"/>
      <c r="DG279" s="291"/>
      <c r="DH279" s="291"/>
      <c r="DI279" s="291"/>
      <c r="DJ279" s="291"/>
      <c r="DK279" s="291"/>
      <c r="DL279" s="291"/>
      <c r="DM279" s="291"/>
      <c r="DN279" s="291"/>
      <c r="DO279" s="291"/>
      <c r="DP279" s="291"/>
      <c r="DQ279" s="291"/>
      <c r="DR279" s="291"/>
      <c r="DS279" s="291"/>
      <c r="DT279" s="291"/>
      <c r="DU279" s="291"/>
      <c r="DV279" s="291"/>
      <c r="DW279" s="291"/>
      <c r="DX279" s="291"/>
      <c r="DY279" s="291"/>
      <c r="DZ279" s="291"/>
      <c r="EA279" s="291"/>
      <c r="EB279" s="291"/>
      <c r="EC279" s="291"/>
      <c r="ED279" s="291"/>
      <c r="EE279" s="291"/>
      <c r="EF279" s="291"/>
      <c r="EG279" s="291"/>
      <c r="EH279" s="291"/>
      <c r="EI279" s="291"/>
      <c r="EJ279" s="291"/>
      <c r="EK279" s="291"/>
      <c r="EL279" s="291"/>
      <c r="EM279" s="291"/>
      <c r="EN279" s="291"/>
      <c r="EO279" s="291"/>
      <c r="EP279" s="291"/>
      <c r="EQ279" s="291"/>
      <c r="ER279" s="291"/>
      <c r="ES279" s="291"/>
      <c r="ET279" s="291"/>
      <c r="EU279" s="291"/>
      <c r="EV279" s="291"/>
      <c r="EW279" s="291"/>
      <c r="EX279" s="291"/>
      <c r="EY279" s="291"/>
      <c r="EZ279" s="291"/>
      <c r="FA279" s="291"/>
      <c r="FB279" s="291"/>
      <c r="FC279" s="291"/>
      <c r="FD279" s="291"/>
      <c r="FE279" s="291"/>
      <c r="FF279" s="291"/>
      <c r="FG279" s="291"/>
      <c r="FH279" s="291"/>
      <c r="FI279" s="291"/>
      <c r="FJ279" s="291"/>
      <c r="FK279" s="291"/>
      <c r="FL279" s="291"/>
      <c r="FM279" s="291"/>
      <c r="FN279" s="291"/>
      <c r="FO279" s="291"/>
      <c r="FP279" s="291"/>
      <c r="FQ279" s="291"/>
      <c r="FR279" s="291"/>
      <c r="FS279" s="291"/>
      <c r="FT279" s="291"/>
      <c r="FU279" s="291"/>
      <c r="FV279" s="291"/>
      <c r="FW279" s="291"/>
      <c r="FX279" s="291"/>
      <c r="FY279" s="291"/>
      <c r="FZ279" s="291"/>
      <c r="GA279" s="291"/>
      <c r="GB279" s="291"/>
      <c r="GC279" s="291"/>
      <c r="GD279" s="291"/>
      <c r="GE279" s="291"/>
      <c r="GF279" s="291"/>
      <c r="GG279" s="291"/>
      <c r="GH279" s="291"/>
      <c r="GI279" s="291"/>
      <c r="GJ279" s="291"/>
      <c r="GK279" s="291"/>
      <c r="GL279" s="291"/>
      <c r="GM279" s="291"/>
      <c r="GN279" s="291"/>
      <c r="GO279" s="291"/>
      <c r="GP279" s="291"/>
      <c r="GQ279" s="291"/>
      <c r="GR279" s="291"/>
      <c r="GS279" s="291"/>
      <c r="GT279" s="291"/>
      <c r="GU279" s="291"/>
      <c r="GV279" s="291"/>
      <c r="GW279" s="291"/>
      <c r="GX279" s="291"/>
      <c r="GY279" s="291"/>
      <c r="GZ279" s="291"/>
      <c r="HA279" s="291"/>
      <c r="HB279" s="291"/>
      <c r="HC279" s="291"/>
      <c r="HD279" s="291"/>
      <c r="HE279" s="291"/>
      <c r="HF279" s="291"/>
      <c r="HG279" s="291"/>
      <c r="HH279" s="291"/>
      <c r="HI279" s="291"/>
      <c r="HJ279" s="291"/>
      <c r="HK279" s="291"/>
      <c r="HL279" s="291"/>
      <c r="HM279" s="291"/>
      <c r="HN279" s="291"/>
      <c r="HO279" s="291"/>
      <c r="HP279" s="291"/>
      <c r="HQ279" s="291"/>
      <c r="HR279" s="291"/>
      <c r="HS279" s="291"/>
      <c r="HT279" s="291"/>
      <c r="HU279" s="291"/>
      <c r="HV279" s="291"/>
      <c r="HW279" s="291"/>
      <c r="HX279" s="291"/>
      <c r="HY279" s="291"/>
      <c r="HZ279" s="291"/>
      <c r="IA279" s="291"/>
      <c r="IB279" s="291"/>
      <c r="IC279" s="291"/>
      <c r="ID279" s="291"/>
      <c r="IE279" s="291"/>
      <c r="IF279" s="291"/>
      <c r="IG279" s="291"/>
      <c r="IH279" s="291"/>
      <c r="II279" s="291"/>
      <c r="IJ279" s="291"/>
      <c r="IK279" s="291"/>
      <c r="IL279" s="291"/>
      <c r="IM279" s="291"/>
      <c r="IN279" s="291"/>
      <c r="IO279" s="291"/>
      <c r="IP279" s="291"/>
      <c r="IQ279" s="291"/>
      <c r="IR279" s="291"/>
      <c r="IS279" s="291"/>
      <c r="IT279" s="291"/>
      <c r="IU279" s="291"/>
      <c r="IV279" s="291"/>
      <c r="IW279" s="291"/>
    </row>
    <row r="280" customFormat="false" ht="12.75" hidden="false" customHeight="false" outlineLevel="0" collapsed="false">
      <c r="E280" s="310" t="s">
        <v>198</v>
      </c>
      <c r="F280" s="311"/>
      <c r="G280" s="312"/>
      <c r="H280" s="288"/>
      <c r="I280" s="289"/>
      <c r="J280" s="288"/>
      <c r="K280" s="288"/>
      <c r="L280" s="291"/>
    </row>
    <row r="281" customFormat="false" ht="12.75" hidden="false" customHeight="false" outlineLevel="0" collapsed="false">
      <c r="E281" s="292" t="s">
        <v>803</v>
      </c>
      <c r="F281" s="78" t="s">
        <v>804</v>
      </c>
      <c r="G281" s="78"/>
      <c r="H281" s="295" t="n">
        <f aca="false">'O&amp;M Backup_Detail'!D125/12</f>
        <v>50359.9729195631</v>
      </c>
      <c r="I281" s="294" t="n">
        <v>1</v>
      </c>
      <c r="J281" s="295" t="n">
        <f aca="false">I281*H281</f>
        <v>50359.9729195631</v>
      </c>
      <c r="K281" s="295" t="n">
        <f aca="false">H281-J281</f>
        <v>0</v>
      </c>
    </row>
    <row r="282" customFormat="false" ht="12.75" hidden="false" customHeight="false" outlineLevel="0" collapsed="false">
      <c r="E282" s="292"/>
      <c r="F282" s="78"/>
      <c r="G282" s="78"/>
      <c r="H282" s="295"/>
      <c r="I282" s="309"/>
      <c r="J282" s="295" t="n">
        <f aca="false">H282-K282</f>
        <v>0</v>
      </c>
      <c r="K282" s="295"/>
    </row>
    <row r="283" customFormat="false" ht="12.75" hidden="false" customHeight="false" outlineLevel="0" collapsed="false">
      <c r="E283" s="292" t="s">
        <v>559</v>
      </c>
      <c r="F283" s="78" t="s">
        <v>805</v>
      </c>
      <c r="G283" s="78"/>
      <c r="H283" s="295"/>
      <c r="I283" s="309"/>
      <c r="J283" s="295" t="n">
        <f aca="false">H283-K283</f>
        <v>0</v>
      </c>
      <c r="K283" s="295"/>
    </row>
    <row r="284" customFormat="false" ht="12.75" hidden="false" customHeight="false" outlineLevel="0" collapsed="false">
      <c r="E284" s="292"/>
      <c r="F284" s="78"/>
      <c r="G284" s="78"/>
      <c r="H284" s="295"/>
      <c r="I284" s="309"/>
      <c r="J284" s="295"/>
      <c r="K284" s="295"/>
    </row>
    <row r="285" customFormat="false" ht="12.75" hidden="false" customHeight="false" outlineLevel="0" collapsed="false">
      <c r="E285" s="292"/>
      <c r="F285" s="78"/>
      <c r="G285" s="297" t="s">
        <v>431</v>
      </c>
      <c r="H285" s="298" t="n">
        <f aca="false">SUBTOTAL(9,H281:H284)</f>
        <v>50359.9729195631</v>
      </c>
      <c r="I285" s="299"/>
      <c r="J285" s="298" t="n">
        <f aca="false">SUBTOTAL(9,J281:J284)</f>
        <v>50359.9729195631</v>
      </c>
      <c r="K285" s="298" t="n">
        <f aca="false">SUBTOTAL(9,K281:K284)</f>
        <v>0</v>
      </c>
      <c r="L285" s="291"/>
    </row>
    <row r="286" customFormat="false" ht="12.75" hidden="false" customHeight="false" outlineLevel="0" collapsed="false">
      <c r="E286" s="310" t="s">
        <v>752</v>
      </c>
      <c r="F286" s="311"/>
      <c r="G286" s="312"/>
      <c r="H286" s="288"/>
      <c r="I286" s="289"/>
      <c r="J286" s="288"/>
      <c r="K286" s="288"/>
      <c r="L286" s="291"/>
    </row>
    <row r="287" customFormat="false" ht="12.75" hidden="false" customHeight="false" outlineLevel="0" collapsed="false">
      <c r="E287" s="292" t="s">
        <v>806</v>
      </c>
      <c r="F287" s="78" t="s">
        <v>807</v>
      </c>
      <c r="G287" s="78" t="s">
        <v>808</v>
      </c>
      <c r="H287" s="342" t="n">
        <v>0.1</v>
      </c>
      <c r="I287" s="294"/>
      <c r="J287" s="295" t="n">
        <f aca="false">H287-K287</f>
        <v>0</v>
      </c>
      <c r="K287" s="295" t="n">
        <f aca="false">H287</f>
        <v>0.1</v>
      </c>
    </row>
    <row r="288" customFormat="false" ht="12.75" hidden="false" customHeight="false" outlineLevel="0" collapsed="false">
      <c r="E288" s="292" t="s">
        <v>809</v>
      </c>
      <c r="F288" s="78" t="s">
        <v>810</v>
      </c>
      <c r="G288" s="78" t="s">
        <v>811</v>
      </c>
      <c r="H288" s="293"/>
      <c r="I288" s="296"/>
      <c r="J288" s="295" t="n">
        <f aca="false">H288-K288</f>
        <v>0</v>
      </c>
      <c r="K288" s="295"/>
    </row>
    <row r="289" customFormat="false" ht="12.75" hidden="false" customHeight="false" outlineLevel="0" collapsed="false">
      <c r="E289" s="292" t="s">
        <v>812</v>
      </c>
      <c r="F289" s="78" t="s">
        <v>813</v>
      </c>
      <c r="G289" s="78" t="s">
        <v>814</v>
      </c>
      <c r="H289" s="293"/>
      <c r="I289" s="296"/>
      <c r="J289" s="295" t="n">
        <f aca="false">H289-K289</f>
        <v>0</v>
      </c>
      <c r="K289" s="295"/>
    </row>
    <row r="290" customFormat="false" ht="12.75" hidden="false" customHeight="false" outlineLevel="0" collapsed="false">
      <c r="E290" s="292"/>
      <c r="F290" s="78" t="s">
        <v>815</v>
      </c>
      <c r="G290" s="78" t="s">
        <v>816</v>
      </c>
      <c r="H290" s="293"/>
      <c r="I290" s="296"/>
      <c r="J290" s="295"/>
      <c r="K290" s="295"/>
    </row>
    <row r="291" customFormat="false" ht="12.75" hidden="false" customHeight="false" outlineLevel="0" collapsed="false">
      <c r="E291" s="343"/>
      <c r="F291" s="344"/>
      <c r="G291" s="297" t="s">
        <v>431</v>
      </c>
      <c r="H291" s="345" t="n">
        <f aca="false">SUBTOTAL(9,H287:H289)</f>
        <v>0.1</v>
      </c>
      <c r="I291" s="346"/>
      <c r="J291" s="298" t="n">
        <f aca="false">SUBTOTAL(9,J287)</f>
        <v>0</v>
      </c>
      <c r="K291" s="298" t="n">
        <f aca="false">SUBTOTAL(9,K287)</f>
        <v>0.1</v>
      </c>
      <c r="L291" s="291"/>
    </row>
    <row r="292" customFormat="false" ht="12.75" hidden="false" customHeight="false" outlineLevel="0" collapsed="false">
      <c r="E292" s="310" t="s">
        <v>150</v>
      </c>
      <c r="F292" s="311"/>
      <c r="G292" s="312"/>
      <c r="H292" s="288"/>
      <c r="I292" s="289"/>
      <c r="J292" s="288"/>
      <c r="K292" s="288"/>
      <c r="L292" s="291"/>
    </row>
    <row r="293" customFormat="false" ht="12.75" hidden="false" customHeight="false" outlineLevel="0" collapsed="false">
      <c r="E293" s="292" t="s">
        <v>806</v>
      </c>
      <c r="F293" s="78" t="s">
        <v>817</v>
      </c>
      <c r="G293" s="347" t="n">
        <v>0.1</v>
      </c>
      <c r="H293" s="342"/>
      <c r="I293" s="294"/>
      <c r="J293" s="295" t="n">
        <f aca="false">H293-K293</f>
        <v>0</v>
      </c>
      <c r="K293" s="295" t="n">
        <f aca="false">H293</f>
        <v>0</v>
      </c>
    </row>
    <row r="294" customFormat="false" ht="12.75" hidden="false" customHeight="false" outlineLevel="0" collapsed="false">
      <c r="E294" s="292" t="s">
        <v>818</v>
      </c>
      <c r="F294" s="78" t="s">
        <v>819</v>
      </c>
      <c r="G294" s="347" t="n">
        <v>0.15</v>
      </c>
      <c r="H294" s="342"/>
      <c r="I294" s="294"/>
      <c r="J294" s="295"/>
      <c r="K294" s="295"/>
    </row>
    <row r="295" customFormat="false" ht="12.75" hidden="false" customHeight="false" outlineLevel="0" collapsed="false">
      <c r="E295" s="292" t="s">
        <v>820</v>
      </c>
      <c r="F295" s="78" t="s">
        <v>821</v>
      </c>
      <c r="G295" s="347" t="n">
        <v>0.2</v>
      </c>
      <c r="H295" s="342"/>
      <c r="I295" s="294"/>
      <c r="J295" s="295"/>
      <c r="K295" s="295"/>
    </row>
    <row r="296" customFormat="false" ht="12.75" hidden="false" customHeight="false" outlineLevel="0" collapsed="false">
      <c r="E296" s="292"/>
      <c r="F296" s="78"/>
      <c r="G296" s="78"/>
      <c r="H296" s="293"/>
      <c r="I296" s="296"/>
      <c r="J296" s="295"/>
      <c r="K296" s="295"/>
    </row>
    <row r="297" customFormat="false" ht="12.75" hidden="false" customHeight="false" outlineLevel="0" collapsed="false">
      <c r="E297" s="292"/>
      <c r="F297" s="78"/>
      <c r="G297" s="297" t="s">
        <v>431</v>
      </c>
      <c r="H297" s="345" t="n">
        <f aca="false">SUBTOTAL(9,H293:H296)</f>
        <v>0</v>
      </c>
      <c r="I297" s="346"/>
      <c r="J297" s="298" t="n">
        <f aca="false">SUBTOTAL(9,J293)</f>
        <v>0</v>
      </c>
      <c r="K297" s="298" t="n">
        <f aca="false">SUBTOTAL(9,K293)</f>
        <v>0</v>
      </c>
      <c r="L297" s="291"/>
    </row>
    <row r="298" customFormat="false" ht="12.75" hidden="true" customHeight="false" outlineLevel="0" collapsed="false">
      <c r="E298" s="310" t="s">
        <v>822</v>
      </c>
      <c r="F298" s="311"/>
      <c r="G298" s="312"/>
      <c r="H298" s="288"/>
      <c r="I298" s="289"/>
      <c r="J298" s="288"/>
      <c r="K298" s="288"/>
      <c r="L298" s="291"/>
    </row>
    <row r="299" customFormat="false" ht="12.75" hidden="true" customHeight="false" outlineLevel="0" collapsed="false">
      <c r="E299" s="292"/>
      <c r="F299" s="78" t="s">
        <v>823</v>
      </c>
      <c r="G299" s="78"/>
      <c r="H299" s="295" t="e">
        <f aca="false">#REF!</f>
        <v>#REF!</v>
      </c>
      <c r="I299" s="294" t="n">
        <v>1</v>
      </c>
      <c r="J299" s="295" t="e">
        <f aca="false">I299*H299</f>
        <v>#REF!</v>
      </c>
      <c r="K299" s="295" t="e">
        <f aca="false">H299-J299</f>
        <v>#REF!</v>
      </c>
      <c r="L299" s="291"/>
    </row>
    <row r="300" customFormat="false" ht="12.75" hidden="true" customHeight="false" outlineLevel="0" collapsed="false">
      <c r="E300" s="292"/>
      <c r="F300" s="78"/>
      <c r="G300" s="78"/>
      <c r="H300" s="295"/>
      <c r="I300" s="309"/>
      <c r="J300" s="298"/>
      <c r="K300" s="298"/>
      <c r="L300" s="291"/>
    </row>
    <row r="301" customFormat="false" ht="12.75" hidden="true" customHeight="false" outlineLevel="0" collapsed="false">
      <c r="E301" s="292" t="s">
        <v>824</v>
      </c>
      <c r="F301" s="78"/>
      <c r="G301" s="297" t="s">
        <v>431</v>
      </c>
      <c r="H301" s="298" t="e">
        <f aca="false">SUBTOTAL(9,H299:H300)</f>
        <v>#REF!</v>
      </c>
      <c r="I301" s="299"/>
      <c r="J301" s="298" t="e">
        <f aca="false">SUBTOTAL(9,J299:J300)</f>
        <v>#REF!</v>
      </c>
      <c r="K301" s="298" t="e">
        <f aca="false">SUBTOTAL(9,K299:K300)</f>
        <v>#REF!</v>
      </c>
      <c r="L301" s="291"/>
    </row>
    <row r="302" customFormat="false" ht="12.75" hidden="true" customHeight="false" outlineLevel="0" collapsed="false">
      <c r="E302" s="310" t="s">
        <v>825</v>
      </c>
      <c r="F302" s="311"/>
      <c r="G302" s="312"/>
      <c r="H302" s="288"/>
      <c r="I302" s="289"/>
      <c r="J302" s="288"/>
      <c r="K302" s="288"/>
      <c r="L302" s="291"/>
    </row>
    <row r="303" customFormat="false" ht="12.75" hidden="true" customHeight="false" outlineLevel="0" collapsed="false">
      <c r="E303" s="292" t="s">
        <v>826</v>
      </c>
      <c r="F303" s="78" t="s">
        <v>827</v>
      </c>
      <c r="G303" s="78"/>
      <c r="H303" s="295" t="e">
        <f aca="false">#REF!</f>
        <v>#REF!</v>
      </c>
      <c r="I303" s="294" t="n">
        <v>1</v>
      </c>
      <c r="J303" s="295" t="e">
        <f aca="false">I303*H303</f>
        <v>#REF!</v>
      </c>
      <c r="K303" s="295" t="e">
        <f aca="false">H303-J303</f>
        <v>#REF!</v>
      </c>
      <c r="L303" s="291"/>
    </row>
    <row r="304" customFormat="false" ht="12.75" hidden="true" customHeight="false" outlineLevel="0" collapsed="false">
      <c r="E304" s="292"/>
      <c r="F304" s="78"/>
      <c r="G304" s="78"/>
      <c r="H304" s="295"/>
      <c r="I304" s="309"/>
      <c r="J304" s="298"/>
      <c r="K304" s="298"/>
      <c r="L304" s="291"/>
    </row>
    <row r="305" customFormat="false" ht="12.75" hidden="true" customHeight="false" outlineLevel="0" collapsed="false">
      <c r="E305" s="292" t="s">
        <v>828</v>
      </c>
      <c r="F305" s="78"/>
      <c r="G305" s="297" t="s">
        <v>431</v>
      </c>
      <c r="H305" s="298" t="e">
        <f aca="false">SUBTOTAL(9,H303:H304)</f>
        <v>#REF!</v>
      </c>
      <c r="I305" s="299"/>
      <c r="J305" s="298" t="e">
        <f aca="false">SUBTOTAL(9,J303:J304)</f>
        <v>#REF!</v>
      </c>
      <c r="K305" s="298" t="e">
        <f aca="false">SUBTOTAL(9,K303:K304)</f>
        <v>#REF!</v>
      </c>
      <c r="L305" s="291"/>
    </row>
    <row r="306" customFormat="false" ht="13.5" hidden="false" customHeight="false" outlineLevel="0" collapsed="false">
      <c r="E306" s="310" t="s">
        <v>829</v>
      </c>
      <c r="F306" s="311"/>
      <c r="G306" s="312"/>
      <c r="H306" s="288"/>
      <c r="I306" s="289"/>
      <c r="J306" s="288"/>
      <c r="K306" s="288"/>
      <c r="L306" s="291"/>
    </row>
    <row r="307" customFormat="false" ht="13.5" hidden="false" customHeight="false" outlineLevel="0" collapsed="false">
      <c r="E307" s="292" t="s">
        <v>830</v>
      </c>
      <c r="F307" s="78" t="s">
        <v>831</v>
      </c>
      <c r="G307" s="78"/>
      <c r="H307" s="295" t="n">
        <f aca="false">'Initial_Spares(7EA) '!C43+'Initial_Spares(7FA)'!C43+'Initial_Spares(W501D5)'!C38+'Initial_Spares(W501D5A)'!C38+'Initial_Spares(6B)'!C42</f>
        <v>9537924</v>
      </c>
      <c r="I307" s="294" t="n">
        <v>1</v>
      </c>
      <c r="J307" s="295" t="n">
        <f aca="false">I307*H307</f>
        <v>9537924</v>
      </c>
      <c r="K307" s="295" t="n">
        <f aca="false">H307-J307</f>
        <v>0</v>
      </c>
      <c r="M307" s="348" t="n">
        <v>899329.28</v>
      </c>
    </row>
    <row r="308" customFormat="false" ht="13.5" hidden="false" customHeight="false" outlineLevel="0" collapsed="false">
      <c r="E308" s="292" t="s">
        <v>832</v>
      </c>
      <c r="F308" s="78" t="s">
        <v>833</v>
      </c>
      <c r="G308" s="78"/>
      <c r="H308" s="295" t="n">
        <f aca="false">IF(OR('O&amp;M Backup_Detail'!O7=1,'O&amp;M Backup_Detail'!R7=1,'O&amp;M Backup_Detail'!U7=1),899329+100000,0)</f>
        <v>0</v>
      </c>
      <c r="I308" s="294" t="n">
        <v>1</v>
      </c>
      <c r="J308" s="295" t="n">
        <f aca="false">I308*H308</f>
        <v>0</v>
      </c>
      <c r="K308" s="295" t="n">
        <f aca="false">H308-J308</f>
        <v>0</v>
      </c>
      <c r="M308" s="349" t="n">
        <v>100000</v>
      </c>
    </row>
    <row r="309" customFormat="false" ht="12.75" hidden="false" customHeight="false" outlineLevel="0" collapsed="false">
      <c r="E309" s="292" t="s">
        <v>559</v>
      </c>
      <c r="F309" s="78" t="s">
        <v>834</v>
      </c>
      <c r="G309" s="78"/>
      <c r="H309" s="295" t="n">
        <f aca="false">'Initial_Spares(7EA) '!C47+'Initial_Spares(7FA)'!C47+'Initial_Spares(W501D5)'!C42+'Initial_Spares(W501D5A)'!C42+'Initial_Spares(6B)'!C46</f>
        <v>95379.24</v>
      </c>
      <c r="I309" s="294" t="n">
        <v>1</v>
      </c>
      <c r="J309" s="295" t="n">
        <f aca="false">I309*H309</f>
        <v>95379.24</v>
      </c>
      <c r="K309" s="295" t="n">
        <f aca="false">H309-J309</f>
        <v>0</v>
      </c>
    </row>
    <row r="310" customFormat="false" ht="12.75" hidden="false" customHeight="false" outlineLevel="0" collapsed="false">
      <c r="E310" s="292" t="s">
        <v>189</v>
      </c>
      <c r="F310" s="350" t="s">
        <v>835</v>
      </c>
      <c r="G310" s="78"/>
      <c r="H310" s="295" t="n">
        <f aca="false">'Initial_Spares(7EA) '!C45+'Initial_Spares(7FA)'!C45+'Initial_Spares(W501D5)'!C40+'Initial_Spares(W501D5A)'!C40+'Initial_Spares(6B)'!C44</f>
        <v>23844.81</v>
      </c>
      <c r="I310" s="294" t="n">
        <v>1</v>
      </c>
      <c r="J310" s="295" t="n">
        <f aca="false">I310*H310</f>
        <v>23844.81</v>
      </c>
      <c r="K310" s="295" t="n">
        <f aca="false">H310-J310</f>
        <v>0</v>
      </c>
    </row>
    <row r="311" customFormat="false" ht="13.5" hidden="false" customHeight="false" outlineLevel="0" collapsed="false">
      <c r="E311" s="351"/>
      <c r="F311" s="204"/>
      <c r="G311" s="352" t="s">
        <v>431</v>
      </c>
      <c r="H311" s="298" t="n">
        <f aca="false">SUBTOTAL(9,H307:H310)</f>
        <v>9657148.05</v>
      </c>
      <c r="I311" s="299"/>
      <c r="J311" s="298" t="n">
        <f aca="false">SUBTOTAL(9,J307:J310)</f>
        <v>9657148.05</v>
      </c>
      <c r="K311" s="298" t="n">
        <f aca="false">SUBTOTAL(9,K307:K310)</f>
        <v>0</v>
      </c>
      <c r="L311" s="291"/>
    </row>
    <row r="312" customFormat="false" ht="12.75" hidden="false" customHeight="false" outlineLevel="0" collapsed="false">
      <c r="E312" s="291"/>
      <c r="F312" s="291"/>
      <c r="G312" s="291"/>
      <c r="H312" s="291"/>
      <c r="I312" s="353"/>
      <c r="J312" s="291"/>
      <c r="K312" s="291"/>
    </row>
    <row r="319" customFormat="false" ht="12.75" hidden="false" customHeight="false" outlineLevel="0" collapsed="false">
      <c r="B319" s="77"/>
      <c r="E319" s="354"/>
    </row>
    <row r="320" customFormat="false" ht="12.75" hidden="false" customHeight="false" outlineLevel="0" collapsed="false">
      <c r="B320" s="77"/>
      <c r="F320" s="354"/>
      <c r="G320" s="354"/>
    </row>
    <row r="864" customFormat="false" ht="12.75" hidden="false" customHeight="false" outlineLevel="0" collapsed="false">
      <c r="A864" s="354"/>
      <c r="B864" s="354"/>
      <c r="C864" s="354"/>
      <c r="D864" s="354"/>
    </row>
    <row r="912" customFormat="false" ht="12.75" hidden="false" customHeight="false" outlineLevel="0" collapsed="false">
      <c r="E912" s="354"/>
    </row>
    <row r="913" customFormat="false" ht="12.75" hidden="false" customHeight="false" outlineLevel="0" collapsed="false">
      <c r="F913" s="354"/>
      <c r="G913" s="354"/>
      <c r="H913" s="354"/>
      <c r="I913" s="355"/>
      <c r="J913" s="354"/>
      <c r="K913" s="354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" footer="0.5"/>
  <pageSetup paperSize="1" scale="100" fitToWidth="1" fitToHeight="6" pageOrder="downThenOver" orientation="portrait" blackAndWhite="false" draft="false" cellComments="none" horizontalDpi="300" verticalDpi="300" copies="1"/>
  <headerFooter differentFirst="false" differentOddEven="false">
    <oddHeader>&amp;C&amp;"Arial,Bold Italic"&amp;16ENRON PROPRIETARY
AND CONFIDENTIAL 
INFORMATION</oddHeader>
    <oddFooter>&amp;L&amp;D&amp;CPage _____&amp;R&amp;F
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64"/>
  <sheetViews>
    <sheetView showFormulas="false" showGridLines="false" showRowColHeaders="true" showZeros="true" rightToLeft="false" tabSelected="false" showOutlineSymbols="true" defaultGridColor="true" view="normal" topLeftCell="A12" colorId="64" zoomScale="76" zoomScaleNormal="76" zoomScalePageLayoutView="100" workbookViewId="0">
      <selection pane="topLeft" activeCell="B52" activeCellId="0" sqref="B5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8" width="4.7"/>
    <col collapsed="false" customWidth="true" hidden="false" outlineLevel="0" max="2" min="2" style="68" width="49.85"/>
    <col collapsed="false" customWidth="true" hidden="false" outlineLevel="0" max="3" min="3" style="68" width="9.56"/>
    <col collapsed="false" customWidth="true" hidden="false" outlineLevel="0" max="7" min="4" style="68" width="11.42"/>
    <col collapsed="false" customWidth="true" hidden="false" outlineLevel="0" max="8" min="8" style="68" width="12.85"/>
    <col collapsed="false" customWidth="true" hidden="false" outlineLevel="0" max="9" min="9" style="68" width="10.85"/>
    <col collapsed="false" customWidth="false" hidden="false" outlineLevel="0" max="11" min="10" style="68" width="9.14"/>
    <col collapsed="false" customWidth="false" hidden="false" outlineLevel="0" max="257" min="12" style="69" width="9.14"/>
  </cols>
  <sheetData>
    <row r="1" customFormat="false" ht="15.75" hidden="false" customHeight="true" outlineLevel="0" collapsed="false">
      <c r="A1" s="15" t="str">
        <f aca="false">Scope!$A$1</f>
        <v>AES Corp, Dallas, TX (640 MW)</v>
      </c>
      <c r="B1" s="15"/>
      <c r="C1" s="15"/>
      <c r="D1" s="15"/>
      <c r="E1" s="15"/>
      <c r="F1" s="15"/>
      <c r="G1" s="15"/>
      <c r="H1" s="15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</row>
    <row r="2" customFormat="false" ht="15.75" hidden="false" customHeight="true" outlineLevel="0" collapsed="false">
      <c r="A2" s="3" t="s">
        <v>10</v>
      </c>
      <c r="B2" s="3"/>
      <c r="C2" s="3"/>
      <c r="D2" s="3"/>
      <c r="E2" s="3"/>
      <c r="F2" s="3"/>
      <c r="G2" s="3"/>
      <c r="H2" s="3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</row>
    <row r="3" customFormat="false" ht="13.5" hidden="false" customHeight="false" outlineLevel="0" collapsed="false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</row>
    <row r="4" customFormat="false" ht="13.5" hidden="false" customHeight="false" outlineLevel="0" collapsed="false">
      <c r="A4" s="71"/>
      <c r="B4" s="74"/>
      <c r="C4" s="74"/>
      <c r="D4" s="121" t="s">
        <v>139</v>
      </c>
      <c r="E4" s="121"/>
      <c r="F4" s="121"/>
      <c r="G4" s="121"/>
      <c r="H4" s="12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</row>
    <row r="5" customFormat="false" ht="12.75" hidden="false" customHeight="false" outlineLevel="0" collapsed="false">
      <c r="A5" s="71"/>
      <c r="B5" s="74"/>
      <c r="C5" s="74"/>
      <c r="D5" s="356"/>
      <c r="E5" s="357"/>
      <c r="F5" s="357"/>
      <c r="G5" s="357"/>
      <c r="H5" s="358" t="s">
        <v>152</v>
      </c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</row>
    <row r="6" customFormat="false" ht="13.5" hidden="false" customHeight="false" outlineLevel="0" collapsed="false">
      <c r="A6" s="71"/>
      <c r="B6" s="74"/>
      <c r="C6" s="359"/>
      <c r="D6" s="360" t="s">
        <v>154</v>
      </c>
      <c r="E6" s="360" t="s">
        <v>155</v>
      </c>
      <c r="F6" s="360" t="s">
        <v>156</v>
      </c>
      <c r="G6" s="361" t="s">
        <v>157</v>
      </c>
      <c r="H6" s="362" t="s">
        <v>836</v>
      </c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</row>
    <row r="7" customFormat="false" ht="12.75" hidden="false" customHeight="false" outlineLevel="0" collapsed="false">
      <c r="A7" s="77"/>
      <c r="B7" s="78"/>
      <c r="C7" s="78"/>
      <c r="D7" s="80"/>
      <c r="E7" s="363"/>
      <c r="F7" s="363"/>
      <c r="G7" s="363"/>
      <c r="H7" s="80"/>
      <c r="I7" s="2"/>
      <c r="J7" s="2"/>
      <c r="K7" s="2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</row>
    <row r="8" customFormat="false" ht="12.75" hidden="false" customHeight="false" outlineLevel="0" collapsed="false">
      <c r="A8" s="82" t="s">
        <v>837</v>
      </c>
      <c r="B8" s="78"/>
      <c r="C8" s="79"/>
      <c r="D8" s="81" t="n">
        <f aca="false">Plant_Staff!M48</f>
        <v>1451918.666</v>
      </c>
      <c r="E8" s="364" t="n">
        <f aca="false">Plant_Staff!M91</f>
        <v>1451918.666</v>
      </c>
      <c r="F8" s="364" t="n">
        <f aca="false">Plant_Staff!M134</f>
        <v>1451918.666</v>
      </c>
      <c r="G8" s="364" t="n">
        <f aca="false">Plant_Staff!M177</f>
        <v>1451918.666</v>
      </c>
      <c r="H8" s="365" t="n">
        <f aca="false">(D8+E8+F8+17*G8)/20</f>
        <v>1451918.666</v>
      </c>
      <c r="I8" s="2"/>
      <c r="J8" s="2"/>
      <c r="K8" s="2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</row>
    <row r="9" customFormat="false" ht="12.75" hidden="false" customHeight="false" outlineLevel="0" collapsed="false">
      <c r="A9" s="77"/>
      <c r="B9" s="78"/>
      <c r="C9" s="273"/>
      <c r="D9" s="123"/>
      <c r="E9" s="366"/>
      <c r="F9" s="366"/>
      <c r="G9" s="366"/>
      <c r="H9" s="81"/>
      <c r="I9" s="2"/>
      <c r="J9" s="2"/>
      <c r="K9" s="2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</row>
    <row r="10" customFormat="false" ht="12.75" hidden="false" customHeight="false" outlineLevel="0" collapsed="false">
      <c r="A10" s="77" t="s">
        <v>838</v>
      </c>
      <c r="B10" s="0"/>
      <c r="C10" s="273"/>
      <c r="D10" s="81"/>
      <c r="E10" s="364"/>
      <c r="F10" s="364"/>
      <c r="G10" s="364"/>
      <c r="H10" s="81"/>
      <c r="I10" s="2"/>
      <c r="J10" s="2"/>
      <c r="K10" s="2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</row>
    <row r="11" customFormat="false" ht="12.75" hidden="false" customHeight="false" outlineLevel="0" collapsed="false">
      <c r="A11" s="2"/>
      <c r="B11" s="78" t="str">
        <f aca="false">'O&amp;M Backup_Detail'!A13</f>
        <v>Employee Expenses</v>
      </c>
      <c r="C11" s="79"/>
      <c r="D11" s="81" t="n">
        <f aca="false">'O&amp;M Backup_Detail'!D22</f>
        <v>22650</v>
      </c>
      <c r="E11" s="364" t="n">
        <f aca="false">D11</f>
        <v>22650</v>
      </c>
      <c r="F11" s="364" t="n">
        <f aca="false">E11</f>
        <v>22650</v>
      </c>
      <c r="G11" s="364" t="n">
        <f aca="false">F11</f>
        <v>22650</v>
      </c>
      <c r="H11" s="365" t="n">
        <f aca="false">(D11+E11+F11+17*G11)/20</f>
        <v>22650</v>
      </c>
      <c r="I11" s="2"/>
      <c r="J11" s="2"/>
      <c r="K11" s="2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</row>
    <row r="12" customFormat="false" ht="12.75" hidden="false" customHeight="false" outlineLevel="0" collapsed="false">
      <c r="A12" s="2"/>
      <c r="B12" s="78" t="str">
        <f aca="false">'O&amp;M Backup_Detail'!A27</f>
        <v>Environmental Expense (including permit fees)</v>
      </c>
      <c r="C12" s="79"/>
      <c r="D12" s="81" t="n">
        <f aca="false">'O&amp;M Backup_Detail'!D36</f>
        <v>38090.8333333333</v>
      </c>
      <c r="E12" s="364" t="n">
        <f aca="false">D12</f>
        <v>38090.8333333333</v>
      </c>
      <c r="F12" s="364" t="n">
        <f aca="false">E12</f>
        <v>38090.8333333333</v>
      </c>
      <c r="G12" s="364" t="n">
        <f aca="false">F12</f>
        <v>38090.8333333333</v>
      </c>
      <c r="H12" s="365" t="n">
        <f aca="false">(D12+E12+F12+17*G12)/20</f>
        <v>38090.8333333333</v>
      </c>
      <c r="I12" s="2"/>
      <c r="J12" s="2"/>
      <c r="K12" s="2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</row>
    <row r="13" customFormat="false" ht="12.75" hidden="false" customHeight="false" outlineLevel="0" collapsed="false">
      <c r="A13" s="2"/>
      <c r="B13" s="78" t="str">
        <f aca="false">'O&amp;M Backup_Detail'!A37</f>
        <v>Safety Expense</v>
      </c>
      <c r="C13" s="79"/>
      <c r="D13" s="81" t="n">
        <f aca="false">'O&amp;M Backup_Detail'!D44</f>
        <v>21917.6075268817</v>
      </c>
      <c r="E13" s="364" t="n">
        <f aca="false">D13</f>
        <v>21917.6075268817</v>
      </c>
      <c r="F13" s="364" t="n">
        <f aca="false">E13</f>
        <v>21917.6075268817</v>
      </c>
      <c r="G13" s="364" t="n">
        <f aca="false">F13</f>
        <v>21917.6075268817</v>
      </c>
      <c r="H13" s="365" t="n">
        <f aca="false">(D13+E13+F13+17*G13)/20</f>
        <v>21917.6075268817</v>
      </c>
      <c r="I13" s="2"/>
      <c r="J13" s="2"/>
      <c r="K13" s="2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</row>
    <row r="14" customFormat="false" ht="12.75" hidden="false" customHeight="false" outlineLevel="0" collapsed="false">
      <c r="A14" s="2"/>
      <c r="B14" s="78" t="str">
        <f aca="false">'O&amp;M Backup_Detail'!A45</f>
        <v>Buildings &amp; Grounds</v>
      </c>
      <c r="C14" s="79"/>
      <c r="D14" s="81" t="n">
        <f aca="false">'O&amp;M Backup_Detail'!D55</f>
        <v>8000</v>
      </c>
      <c r="E14" s="364" t="n">
        <f aca="false">D14</f>
        <v>8000</v>
      </c>
      <c r="F14" s="364" t="n">
        <f aca="false">E14</f>
        <v>8000</v>
      </c>
      <c r="G14" s="364" t="n">
        <f aca="false">F14</f>
        <v>8000</v>
      </c>
      <c r="H14" s="365" t="n">
        <f aca="false">(D14+E14+F14+17*G14)/20</f>
        <v>8000</v>
      </c>
      <c r="I14" s="2"/>
      <c r="J14" s="2"/>
      <c r="K14" s="2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</row>
    <row r="15" customFormat="false" ht="12.75" hidden="false" customHeight="false" outlineLevel="0" collapsed="false">
      <c r="A15" s="2"/>
      <c r="B15" s="78" t="str">
        <f aca="false">'O&amp;M Backup_Detail'!A56</f>
        <v>Other Supplies &amp; Expenses</v>
      </c>
      <c r="C15" s="79"/>
      <c r="D15" s="81" t="n">
        <f aca="false">'O&amp;M Backup_Detail'!D84</f>
        <v>84324.5454545455</v>
      </c>
      <c r="E15" s="364" t="n">
        <f aca="false">D15</f>
        <v>84324.5454545455</v>
      </c>
      <c r="F15" s="364" t="n">
        <f aca="false">E15</f>
        <v>84324.5454545455</v>
      </c>
      <c r="G15" s="364" t="n">
        <f aca="false">F15</f>
        <v>84324.5454545455</v>
      </c>
      <c r="H15" s="365" t="n">
        <f aca="false">(D15+E15+F15+17*G15)/20</f>
        <v>84324.5454545455</v>
      </c>
      <c r="I15" s="2"/>
      <c r="J15" s="2"/>
      <c r="K15" s="2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</row>
    <row r="16" customFormat="false" ht="12.75" hidden="false" customHeight="false" outlineLevel="0" collapsed="false">
      <c r="A16" s="2"/>
      <c r="B16" s="78" t="str">
        <f aca="false">'O&amp;M Backup_Detail'!A85</f>
        <v>Communications</v>
      </c>
      <c r="C16" s="79"/>
      <c r="D16" s="81" t="n">
        <f aca="false">'O&amp;M Backup_Detail'!D89</f>
        <v>15600</v>
      </c>
      <c r="E16" s="364" t="n">
        <f aca="false">D16</f>
        <v>15600</v>
      </c>
      <c r="F16" s="364" t="n">
        <f aca="false">E16</f>
        <v>15600</v>
      </c>
      <c r="G16" s="364" t="n">
        <f aca="false">F16</f>
        <v>15600</v>
      </c>
      <c r="H16" s="365" t="n">
        <f aca="false">(D16+E16+F16+17*G16)/20</f>
        <v>15600</v>
      </c>
      <c r="I16" s="2"/>
      <c r="J16" s="2"/>
      <c r="K16" s="2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</row>
    <row r="17" customFormat="false" ht="12.75" hidden="false" customHeight="true" outlineLevel="0" collapsed="false">
      <c r="A17" s="2"/>
      <c r="B17" s="44" t="str">
        <f aca="false">'O&amp;M Backup_Detail'!A90</f>
        <v>Operating Insurance</v>
      </c>
      <c r="C17" s="79"/>
      <c r="D17" s="81" t="n">
        <f aca="false">'O&amp;M Backup_Detail'!D93</f>
        <v>0</v>
      </c>
      <c r="E17" s="364" t="n">
        <f aca="false">D17</f>
        <v>0</v>
      </c>
      <c r="F17" s="364" t="n">
        <f aca="false">E17</f>
        <v>0</v>
      </c>
      <c r="G17" s="364" t="n">
        <f aca="false">F17</f>
        <v>0</v>
      </c>
      <c r="H17" s="365" t="n">
        <f aca="false">(D17+E17+F17+17*G17)/20</f>
        <v>0</v>
      </c>
      <c r="I17" s="2"/>
      <c r="J17" s="2"/>
      <c r="K17" s="2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</row>
    <row r="18" customFormat="false" ht="12.75" hidden="false" customHeight="true" outlineLevel="0" collapsed="false">
      <c r="A18" s="2"/>
      <c r="B18" s="78" t="str">
        <f aca="false">'O&amp;M Backup_Detail'!A94</f>
        <v>Control Room/Laboratory Expenses</v>
      </c>
      <c r="C18" s="79"/>
      <c r="D18" s="81" t="n">
        <f aca="false">'O&amp;M Backup_Detail'!D103</f>
        <v>158269.298644504</v>
      </c>
      <c r="E18" s="364" t="n">
        <f aca="false">D18</f>
        <v>158269.298644504</v>
      </c>
      <c r="F18" s="364" t="n">
        <f aca="false">E18</f>
        <v>158269.298644504</v>
      </c>
      <c r="G18" s="364" t="n">
        <f aca="false">F18</f>
        <v>158269.298644504</v>
      </c>
      <c r="H18" s="365" t="n">
        <f aca="false">(D18+E18+F18+17*G18)/20</f>
        <v>158269.298644504</v>
      </c>
      <c r="I18" s="2"/>
      <c r="J18" s="2"/>
      <c r="K18" s="2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</row>
    <row r="19" customFormat="false" ht="12.75" hidden="false" customHeight="false" outlineLevel="0" collapsed="false">
      <c r="A19" s="2"/>
      <c r="B19" s="78" t="str">
        <f aca="false">'O&amp;M Backup_Detail'!A104</f>
        <v>Operations Support (Year 1 Only)</v>
      </c>
      <c r="C19" s="79"/>
      <c r="D19" s="81" t="n">
        <f aca="false">'O&amp;M Backup_Detail'!D110</f>
        <v>0</v>
      </c>
      <c r="E19" s="364" t="n">
        <v>0</v>
      </c>
      <c r="F19" s="364" t="n">
        <v>0</v>
      </c>
      <c r="G19" s="364" t="n">
        <v>0</v>
      </c>
      <c r="H19" s="365" t="n">
        <f aca="false">(D19+E19+F19+17*G19)/20</f>
        <v>0</v>
      </c>
      <c r="I19" s="2"/>
      <c r="J19" s="2"/>
      <c r="K19" s="2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</row>
    <row r="20" customFormat="false" ht="12.75" hidden="false" customHeight="true" outlineLevel="0" collapsed="false">
      <c r="A20" s="2"/>
      <c r="B20" s="78"/>
      <c r="C20" s="79"/>
      <c r="D20" s="123"/>
      <c r="E20" s="366"/>
      <c r="F20" s="366"/>
      <c r="G20" s="366"/>
      <c r="H20" s="81"/>
      <c r="I20" s="2"/>
      <c r="J20" s="2"/>
      <c r="K20" s="2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</row>
    <row r="21" customFormat="false" ht="12.75" hidden="false" customHeight="true" outlineLevel="0" collapsed="false">
      <c r="A21" s="2"/>
      <c r="B21" s="82" t="s">
        <v>839</v>
      </c>
      <c r="C21" s="111"/>
      <c r="D21" s="81" t="n">
        <f aca="false">SUBTOTAL(9,D11:D19)</f>
        <v>348852.284959265</v>
      </c>
      <c r="E21" s="81" t="n">
        <f aca="false">SUBTOTAL(9,E11:E19)</f>
        <v>348852.284959265</v>
      </c>
      <c r="F21" s="81" t="n">
        <f aca="false">SUBTOTAL(9,F11:F19)</f>
        <v>348852.284959265</v>
      </c>
      <c r="G21" s="81" t="n">
        <f aca="false">SUBTOTAL(9,G11:G19)</f>
        <v>348852.284959265</v>
      </c>
      <c r="H21" s="365" t="n">
        <f aca="false">(D21+E21+F21+17*G21)/20</f>
        <v>348852.284959265</v>
      </c>
      <c r="I21" s="2"/>
      <c r="J21" s="2"/>
      <c r="K21" s="2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</row>
    <row r="22" customFormat="false" ht="12.75" hidden="false" customHeight="true" outlineLevel="0" collapsed="false">
      <c r="A22" s="2"/>
      <c r="B22" s="78"/>
      <c r="C22" s="79"/>
      <c r="D22" s="123"/>
      <c r="E22" s="366"/>
      <c r="F22" s="366"/>
      <c r="G22" s="366"/>
      <c r="H22" s="81"/>
      <c r="I22" s="2"/>
      <c r="J22" s="2"/>
      <c r="K22" s="2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</row>
    <row r="23" customFormat="false" ht="12.75" hidden="false" customHeight="true" outlineLevel="0" collapsed="false">
      <c r="A23" s="82" t="s">
        <v>840</v>
      </c>
      <c r="B23" s="78"/>
      <c r="C23" s="79"/>
      <c r="D23" s="81" t="n">
        <f aca="false">'O&amp;M Backup_Detail'!D125</f>
        <v>604319.675034757</v>
      </c>
      <c r="E23" s="364" t="n">
        <f aca="false">D23</f>
        <v>604319.675034757</v>
      </c>
      <c r="F23" s="364" t="n">
        <f aca="false">E23</f>
        <v>604319.675034757</v>
      </c>
      <c r="G23" s="364" t="n">
        <f aca="false">F23</f>
        <v>604319.675034757</v>
      </c>
      <c r="H23" s="365" t="n">
        <f aca="false">(D23+E23+F23+17*G23)/20</f>
        <v>604319.675034757</v>
      </c>
      <c r="I23" s="2"/>
      <c r="J23" s="2"/>
      <c r="K23" s="2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</row>
    <row r="24" customFormat="false" ht="12.75" hidden="false" customHeight="true" outlineLevel="0" collapsed="false">
      <c r="A24" s="82"/>
      <c r="B24" s="82"/>
      <c r="C24" s="79"/>
      <c r="D24" s="81"/>
      <c r="E24" s="364"/>
      <c r="F24" s="364"/>
      <c r="G24" s="364"/>
      <c r="H24" s="365"/>
      <c r="I24" s="2"/>
      <c r="J24" s="2"/>
      <c r="K24" s="2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</row>
    <row r="25" customFormat="false" ht="12.75" hidden="false" customHeight="true" outlineLevel="0" collapsed="false">
      <c r="A25" s="77"/>
      <c r="B25" s="78"/>
      <c r="C25" s="79"/>
      <c r="D25" s="123"/>
      <c r="E25" s="366"/>
      <c r="F25" s="366"/>
      <c r="G25" s="366"/>
      <c r="H25" s="81"/>
      <c r="I25" s="2"/>
      <c r="J25" s="2"/>
      <c r="K25" s="2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</row>
    <row r="26" customFormat="false" ht="12.75" hidden="false" customHeight="true" outlineLevel="0" collapsed="false">
      <c r="A26" s="82" t="s">
        <v>841</v>
      </c>
      <c r="B26" s="0"/>
      <c r="C26" s="273"/>
      <c r="D26" s="81"/>
      <c r="E26" s="364"/>
      <c r="F26" s="364"/>
      <c r="G26" s="364"/>
      <c r="H26" s="81"/>
      <c r="I26" s="2"/>
      <c r="J26" s="2"/>
      <c r="K26" s="2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</row>
    <row r="27" customFormat="false" ht="12.75" hidden="false" customHeight="false" outlineLevel="0" collapsed="false">
      <c r="A27" s="2"/>
      <c r="B27" s="78" t="str">
        <f aca="false">'O&amp;M Backup_Detail'!A126</f>
        <v>Painting</v>
      </c>
      <c r="C27" s="79"/>
      <c r="D27" s="81" t="n">
        <f aca="false">0.1*G27</f>
        <v>6219.92553818321</v>
      </c>
      <c r="E27" s="364" t="n">
        <f aca="false">'O&amp;M Backup_Detail'!D133*1/3</f>
        <v>20733.0851272774</v>
      </c>
      <c r="F27" s="364" t="n">
        <f aca="false">E27</f>
        <v>20733.0851272774</v>
      </c>
      <c r="G27" s="364" t="n">
        <f aca="false">'O&amp;M Backup_Detail'!D133</f>
        <v>62199.2553818321</v>
      </c>
      <c r="H27" s="365" t="n">
        <f aca="false">(D27+E27+F27+17*G27)/20</f>
        <v>55253.6718641942</v>
      </c>
      <c r="I27" s="2"/>
      <c r="J27" s="2"/>
      <c r="K27" s="2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</row>
    <row r="28" customFormat="false" ht="12.75" hidden="false" customHeight="false" outlineLevel="0" collapsed="false">
      <c r="A28" s="2"/>
      <c r="B28" s="78" t="str">
        <f aca="false">'O&amp;M Backup_Detail'!A134</f>
        <v>Electrical &amp; Controls</v>
      </c>
      <c r="C28" s="79"/>
      <c r="D28" s="81" t="n">
        <f aca="false">'O&amp;M Backup_Detail'!D143/3</f>
        <v>4444.44444444444</v>
      </c>
      <c r="E28" s="81" t="n">
        <f aca="false">D28</f>
        <v>4444.44444444444</v>
      </c>
      <c r="F28" s="81" t="n">
        <f aca="false">E28</f>
        <v>4444.44444444444</v>
      </c>
      <c r="G28" s="364" t="n">
        <f aca="false">'O&amp;M Backup_Detail'!D143</f>
        <v>13333.3333333333</v>
      </c>
      <c r="H28" s="365" t="n">
        <f aca="false">(D28+E28+F28+17*G28)/20</f>
        <v>12000</v>
      </c>
      <c r="I28" s="2"/>
      <c r="J28" s="2"/>
      <c r="K28" s="2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</row>
    <row r="29" customFormat="false" ht="12.75" hidden="false" customHeight="false" outlineLevel="0" collapsed="false">
      <c r="A29" s="2"/>
      <c r="B29" s="78" t="str">
        <f aca="false">'O&amp;M Backup_Detail'!A144</f>
        <v>Water Treatment System</v>
      </c>
      <c r="C29" s="79"/>
      <c r="D29" s="81" t="n">
        <f aca="false">'O&amp;M Backup_Detail'!D152/3</f>
        <v>41466.1702545547</v>
      </c>
      <c r="E29" s="364" t="n">
        <f aca="false">D29</f>
        <v>41466.1702545547</v>
      </c>
      <c r="F29" s="364" t="n">
        <f aca="false">E29</f>
        <v>41466.1702545547</v>
      </c>
      <c r="G29" s="364" t="n">
        <f aca="false">'O&amp;M Backup_Detail'!D152</f>
        <v>124398.510763664</v>
      </c>
      <c r="H29" s="365" t="n">
        <f aca="false">(D29+E29+F29+17*G29)/20</f>
        <v>111958.659687298</v>
      </c>
      <c r="I29" s="2"/>
      <c r="J29" s="2"/>
      <c r="K29" s="2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</row>
    <row r="30" customFormat="false" ht="12.75" hidden="false" customHeight="false" outlineLevel="0" collapsed="false">
      <c r="A30" s="2"/>
      <c r="B30" s="78" t="str">
        <f aca="false">'O&amp;M Backup_Detail'!A153</f>
        <v>Cooling System</v>
      </c>
      <c r="C30" s="79"/>
      <c r="D30" s="81" t="n">
        <f aca="false">'O&amp;M Backup_Detail'!D162/3</f>
        <v>53017.4605397521</v>
      </c>
      <c r="E30" s="364" t="n">
        <f aca="false">D30</f>
        <v>53017.4605397521</v>
      </c>
      <c r="F30" s="364" t="n">
        <f aca="false">E30</f>
        <v>53017.4605397521</v>
      </c>
      <c r="G30" s="364" t="n">
        <f aca="false">'O&amp;M Backup_Detail'!D162</f>
        <v>159052.381619256</v>
      </c>
      <c r="H30" s="365" t="n">
        <f aca="false">(D30+E30+F30+17*G30)/20</f>
        <v>143147.143457331</v>
      </c>
      <c r="I30" s="2"/>
      <c r="J30" s="2"/>
      <c r="K30" s="2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</row>
    <row r="31" customFormat="false" ht="12.75" hidden="false" customHeight="false" outlineLevel="0" collapsed="false">
      <c r="A31" s="2"/>
      <c r="B31" s="78" t="str">
        <f aca="false">'O&amp;M Backup_Detail'!A163</f>
        <v>Substation/Interconnects</v>
      </c>
      <c r="C31" s="79"/>
      <c r="D31" s="81" t="n">
        <f aca="false">'O&amp;M Backup_Detail'!D173/3</f>
        <v>18701.3703164609</v>
      </c>
      <c r="E31" s="364" t="n">
        <f aca="false">D31</f>
        <v>18701.3703164609</v>
      </c>
      <c r="F31" s="364" t="n">
        <f aca="false">E31</f>
        <v>18701.3703164609</v>
      </c>
      <c r="G31" s="364" t="n">
        <f aca="false">'O&amp;M Backup_Detail'!D173</f>
        <v>56104.1109493828</v>
      </c>
      <c r="H31" s="365" t="n">
        <f aca="false">(D31+E31+F31+17*G31)/20</f>
        <v>50493.6998544445</v>
      </c>
      <c r="I31" s="2"/>
      <c r="J31" s="2"/>
      <c r="K31" s="2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</row>
    <row r="32" customFormat="false" ht="12.75" hidden="false" customHeight="false" outlineLevel="0" collapsed="false">
      <c r="A32" s="2"/>
      <c r="B32" s="78" t="str">
        <f aca="false">'O&amp;M Backup_Detail'!A174</f>
        <v>Gas Turbines (excluding scheduled maint.)</v>
      </c>
      <c r="C32" s="79"/>
      <c r="D32" s="81" t="n">
        <f aca="false">'O&amp;M Backup_Detail'!D183/3</f>
        <v>165328.071627436</v>
      </c>
      <c r="E32" s="364" t="n">
        <f aca="false">D32</f>
        <v>165328.071627436</v>
      </c>
      <c r="F32" s="364" t="n">
        <f aca="false">E32</f>
        <v>165328.071627436</v>
      </c>
      <c r="G32" s="364" t="n">
        <f aca="false">'O&amp;M Backup_Detail'!D183</f>
        <v>495984.214882309</v>
      </c>
      <c r="H32" s="365" t="n">
        <f aca="false">(D32+E32+F32+17*G32)/20</f>
        <v>446385.793394078</v>
      </c>
      <c r="I32" s="2"/>
      <c r="J32" s="2"/>
      <c r="K32" s="2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</row>
    <row r="33" customFormat="false" ht="12.75" hidden="false" customHeight="false" outlineLevel="0" collapsed="false">
      <c r="A33" s="2"/>
      <c r="B33" s="78" t="str">
        <f aca="false">'O&amp;M Backup_Detail'!A184</f>
        <v>Boilers</v>
      </c>
      <c r="C33" s="79"/>
      <c r="D33" s="81" t="n">
        <f aca="false">'O&amp;M Backup_Detail'!D193/3</f>
        <v>100569.603137989</v>
      </c>
      <c r="E33" s="364" t="n">
        <f aca="false">D33</f>
        <v>100569.603137989</v>
      </c>
      <c r="F33" s="364" t="n">
        <f aca="false">E33</f>
        <v>100569.603137989</v>
      </c>
      <c r="G33" s="364" t="n">
        <f aca="false">'O&amp;M Backup_Detail'!D193</f>
        <v>301708.809413968</v>
      </c>
      <c r="H33" s="365" t="n">
        <f aca="false">(D33+E33+F33+17*G33)/20</f>
        <v>271537.928472571</v>
      </c>
      <c r="I33" s="2"/>
      <c r="J33" s="2"/>
      <c r="K33" s="2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</row>
    <row r="34" customFormat="false" ht="12.75" hidden="false" customHeight="false" outlineLevel="0" collapsed="false">
      <c r="A34" s="2"/>
      <c r="B34" s="78" t="str">
        <f aca="false">'O&amp;M Backup_Detail'!A194</f>
        <v>Steam Turbine (including Scheduled Maint.)</v>
      </c>
      <c r="C34" s="79"/>
      <c r="D34" s="81" t="n">
        <f aca="false">'O&amp;M Backup_Detail'!D204</f>
        <v>726697.66227431</v>
      </c>
      <c r="E34" s="364" t="n">
        <f aca="false">D34</f>
        <v>726697.66227431</v>
      </c>
      <c r="F34" s="364" t="n">
        <f aca="false">E34</f>
        <v>726697.66227431</v>
      </c>
      <c r="G34" s="364" t="n">
        <f aca="false">'O&amp;M Backup_Detail'!D204</f>
        <v>726697.66227431</v>
      </c>
      <c r="H34" s="365" t="n">
        <f aca="false">(D34+E34+F34+17*G34)/20</f>
        <v>726697.66227431</v>
      </c>
      <c r="I34" s="2"/>
      <c r="J34" s="2"/>
      <c r="K34" s="2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</row>
    <row r="35" customFormat="false" ht="12.75" hidden="false" customHeight="false" outlineLevel="0" collapsed="false">
      <c r="A35" s="2"/>
      <c r="B35" s="78" t="str">
        <f aca="false">'O&amp;M Backup_Detail'!A205</f>
        <v>Water Supply Pipeline and Booster Station</v>
      </c>
      <c r="C35" s="79"/>
      <c r="D35" s="81" t="n">
        <f aca="false">'O&amp;M Backup_Detail'!D214/3</f>
        <v>0</v>
      </c>
      <c r="E35" s="364" t="n">
        <f aca="false">D35</f>
        <v>0</v>
      </c>
      <c r="F35" s="364" t="n">
        <f aca="false">E35</f>
        <v>0</v>
      </c>
      <c r="G35" s="81" t="n">
        <f aca="false">'O&amp;M Backup_Detail'!D214</f>
        <v>0</v>
      </c>
      <c r="H35" s="365" t="n">
        <f aca="false">(D35+E35+F35+17*G35)/20</f>
        <v>0</v>
      </c>
      <c r="I35" s="2"/>
      <c r="J35" s="2"/>
      <c r="K35" s="2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</row>
    <row r="36" customFormat="false" ht="12.75" hidden="false" customHeight="false" outlineLevel="0" collapsed="false">
      <c r="A36" s="2"/>
      <c r="B36" s="78" t="str">
        <f aca="false">'O&amp;M Backup_Detail'!A215</f>
        <v>Fuel Facility</v>
      </c>
      <c r="C36" s="79"/>
      <c r="D36" s="81" t="n">
        <f aca="false">'O&amp;M Backup_Detail'!D224/3</f>
        <v>0</v>
      </c>
      <c r="E36" s="364" t="n">
        <f aca="false">D36</f>
        <v>0</v>
      </c>
      <c r="F36" s="364" t="n">
        <f aca="false">E36</f>
        <v>0</v>
      </c>
      <c r="G36" s="364" t="n">
        <f aca="false">'O&amp;M Backup_Detail'!D224</f>
        <v>0</v>
      </c>
      <c r="H36" s="365" t="n">
        <f aca="false">(D36+E36+F36+17*G36)/20</f>
        <v>0</v>
      </c>
      <c r="I36" s="2"/>
      <c r="J36" s="2"/>
      <c r="K36" s="2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</row>
    <row r="37" customFormat="false" ht="12.75" hidden="false" customHeight="false" outlineLevel="0" collapsed="false">
      <c r="A37" s="2"/>
      <c r="B37" s="78" t="str">
        <f aca="false">'O&amp;M Backup_Detail'!A225</f>
        <v>Miscellaneous Maintenance Expense</v>
      </c>
      <c r="C37" s="79"/>
      <c r="D37" s="81" t="n">
        <f aca="false">'O&amp;M Backup_Detail'!D243/3</f>
        <v>123213.763042105</v>
      </c>
      <c r="E37" s="364" t="n">
        <f aca="false">D37</f>
        <v>123213.763042105</v>
      </c>
      <c r="F37" s="364" t="n">
        <f aca="false">E37</f>
        <v>123213.763042105</v>
      </c>
      <c r="G37" s="364" t="n">
        <f aca="false">'O&amp;M Backup_Detail'!D243</f>
        <v>369641.289126316</v>
      </c>
      <c r="H37" s="365" t="n">
        <f aca="false">(D37+E37+F37+17*G37)/20</f>
        <v>332677.160213685</v>
      </c>
      <c r="I37" s="2"/>
      <c r="J37" s="2"/>
      <c r="K37" s="2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</row>
    <row r="38" customFormat="false" ht="12.75" hidden="false" customHeight="false" outlineLevel="0" collapsed="false">
      <c r="A38" s="2"/>
      <c r="B38" s="78"/>
      <c r="C38" s="79"/>
      <c r="D38" s="123"/>
      <c r="E38" s="366"/>
      <c r="F38" s="366"/>
      <c r="G38" s="366"/>
      <c r="H38" s="81"/>
      <c r="I38" s="2"/>
      <c r="J38" s="2"/>
      <c r="K38" s="2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</row>
    <row r="39" customFormat="false" ht="12.75" hidden="false" customHeight="false" outlineLevel="0" collapsed="false">
      <c r="A39" s="2"/>
      <c r="B39" s="82" t="s">
        <v>842</v>
      </c>
      <c r="C39" s="111"/>
      <c r="D39" s="81" t="n">
        <f aca="false">SUBTOTAL(9,D27:D37)</f>
        <v>1239658.47117524</v>
      </c>
      <c r="E39" s="81" t="n">
        <f aca="false">SUBTOTAL(9,E27:E37)</f>
        <v>1254171.63076433</v>
      </c>
      <c r="F39" s="364" t="n">
        <f aca="false">SUBTOTAL(9,F27:F38)</f>
        <v>1254171.63076433</v>
      </c>
      <c r="G39" s="364" t="n">
        <f aca="false">SUBTOTAL(9,G27:G38)</f>
        <v>2309119.56774437</v>
      </c>
      <c r="H39" s="365" t="n">
        <f aca="false">(D39+E39+F39+17*G39)/20</f>
        <v>2150151.71921791</v>
      </c>
      <c r="I39" s="2"/>
      <c r="J39" s="2"/>
      <c r="K39" s="2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</row>
    <row r="40" customFormat="false" ht="12.75" hidden="false" customHeight="false" outlineLevel="0" collapsed="false">
      <c r="A40" s="2"/>
      <c r="B40" s="82"/>
      <c r="C40" s="111"/>
      <c r="D40" s="81"/>
      <c r="E40" s="364"/>
      <c r="F40" s="364"/>
      <c r="G40" s="364"/>
      <c r="H40" s="81"/>
      <c r="I40" s="2"/>
      <c r="J40" s="2"/>
      <c r="K40" s="2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</row>
    <row r="41" customFormat="false" ht="12.75" hidden="false" customHeight="false" outlineLevel="0" collapsed="false">
      <c r="A41" s="109" t="s">
        <v>166</v>
      </c>
      <c r="B41" s="82"/>
      <c r="C41" s="111"/>
      <c r="D41" s="81" t="n">
        <f aca="false">'O&amp;M Backup_Detail'!D273</f>
        <v>26055.5222919563</v>
      </c>
      <c r="E41" s="364" t="n">
        <f aca="false">D41</f>
        <v>26055.5222919563</v>
      </c>
      <c r="F41" s="364" t="n">
        <f aca="false">E41</f>
        <v>26055.5222919563</v>
      </c>
      <c r="G41" s="364" t="n">
        <f aca="false">F41</f>
        <v>26055.5222919563</v>
      </c>
      <c r="H41" s="365" t="n">
        <f aca="false">(D41+E41+F41+17*G41)/20</f>
        <v>26055.5222919563</v>
      </c>
      <c r="I41" s="2"/>
      <c r="J41" s="2"/>
      <c r="K41" s="2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</row>
    <row r="42" customFormat="false" ht="12.75" hidden="false" customHeight="false" outlineLevel="0" collapsed="false">
      <c r="A42" s="2"/>
      <c r="B42" s="82"/>
      <c r="C42" s="111"/>
      <c r="D42" s="81"/>
      <c r="E42" s="364"/>
      <c r="F42" s="364"/>
      <c r="G42" s="364"/>
      <c r="H42" s="81"/>
      <c r="I42" s="2"/>
      <c r="J42" s="2"/>
      <c r="K42" s="2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</row>
    <row r="43" customFormat="false" ht="13.5" hidden="false" customHeight="false" outlineLevel="0" collapsed="false">
      <c r="A43" s="77" t="s">
        <v>843</v>
      </c>
      <c r="B43" s="82"/>
      <c r="C43" s="111"/>
      <c r="D43" s="83" t="n">
        <f aca="false">D41+D39+D23+D21+D8</f>
        <v>3670804.61946122</v>
      </c>
      <c r="E43" s="83" t="n">
        <f aca="false">E41+E39+E23+E21+E8</f>
        <v>3685317.77905031</v>
      </c>
      <c r="F43" s="83" t="n">
        <f aca="false">F41+F39+F23+F21+F8</f>
        <v>3685317.77905031</v>
      </c>
      <c r="G43" s="83" t="n">
        <f aca="false">G41+G39+G23+G21+G8</f>
        <v>4740265.71603035</v>
      </c>
      <c r="H43" s="83" t="n">
        <f aca="false">H41+H39+H23+H21+H8</f>
        <v>4581297.86750389</v>
      </c>
      <c r="I43" s="2"/>
      <c r="J43" s="2"/>
      <c r="K43" s="2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</row>
    <row r="44" customFormat="false" ht="12.75" hidden="false" customHeight="false" outlineLevel="0" collapsed="false">
      <c r="A44" s="77"/>
      <c r="B44" s="82"/>
      <c r="C44" s="111"/>
      <c r="D44" s="74"/>
      <c r="E44" s="74"/>
      <c r="F44" s="74"/>
      <c r="G44" s="74"/>
      <c r="H44" s="74"/>
      <c r="I44" s="2"/>
      <c r="J44" s="2"/>
      <c r="K44" s="2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</row>
    <row r="45" customFormat="false" ht="13.5" hidden="false" customHeight="false" outlineLevel="0" collapsed="false">
      <c r="A45" s="77"/>
      <c r="B45" s="2"/>
      <c r="C45" s="207"/>
      <c r="D45" s="2"/>
      <c r="E45" s="2"/>
      <c r="F45" s="2"/>
      <c r="G45" s="2"/>
      <c r="H45" s="71"/>
      <c r="I45" s="2"/>
      <c r="J45" s="2"/>
      <c r="K45" s="2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</row>
    <row r="46" customFormat="false" ht="13.5" hidden="false" customHeight="false" outlineLevel="0" collapsed="false">
      <c r="A46" s="77" t="s">
        <v>844</v>
      </c>
      <c r="B46" s="2"/>
      <c r="C46" s="207" t="s">
        <v>845</v>
      </c>
      <c r="D46" s="90" t="n">
        <f aca="false">'O&amp;M Backup_Detail'!D265</f>
        <v>141072289.1304</v>
      </c>
      <c r="E46" s="367"/>
      <c r="F46" s="367"/>
      <c r="G46" s="367" t="s">
        <v>846</v>
      </c>
      <c r="H46" s="368" t="n">
        <f aca="false">D46/20</f>
        <v>7053614.45652</v>
      </c>
      <c r="I46" s="2"/>
      <c r="J46" s="2"/>
      <c r="K46" s="2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</row>
    <row r="47" customFormat="false" ht="13.5" hidden="false" customHeight="false" outlineLevel="0" collapsed="false">
      <c r="A47" s="77"/>
      <c r="B47" s="2"/>
      <c r="C47" s="207"/>
      <c r="D47" s="87"/>
      <c r="G47" s="369" t="s">
        <v>847</v>
      </c>
      <c r="H47" s="370" t="n">
        <f aca="false">IF(Scope!F40=0,0,H46/(Scope!F40))</f>
        <v>1.32435383180876</v>
      </c>
      <c r="I47" s="2"/>
      <c r="J47" s="2"/>
      <c r="K47" s="2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</row>
    <row r="48" customFormat="false" ht="13.5" hidden="false" customHeight="false" outlineLevel="0" collapsed="false">
      <c r="A48" s="77"/>
      <c r="B48" s="2"/>
      <c r="C48" s="207"/>
      <c r="D48" s="87"/>
      <c r="E48" s="367"/>
      <c r="F48" s="367"/>
      <c r="G48" s="367"/>
      <c r="H48" s="371"/>
      <c r="I48" s="2"/>
      <c r="J48" s="2"/>
      <c r="K48" s="2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</row>
    <row r="49" customFormat="false" ht="13.5" hidden="false" customHeight="false" outlineLevel="0" collapsed="false">
      <c r="A49" s="77" t="s">
        <v>848</v>
      </c>
      <c r="B49" s="2"/>
      <c r="C49" s="207"/>
      <c r="D49" s="87"/>
      <c r="E49" s="367"/>
      <c r="F49" s="367"/>
      <c r="G49" s="367" t="s">
        <v>846</v>
      </c>
      <c r="H49" s="90" t="n">
        <f aca="false">H46+H43</f>
        <v>11634912.3240239</v>
      </c>
      <c r="I49" s="2"/>
      <c r="J49" s="2"/>
      <c r="K49" s="2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</row>
    <row r="50" customFormat="false" ht="13.5" hidden="false" customHeight="false" outlineLevel="0" collapsed="false">
      <c r="A50" s="77"/>
      <c r="B50" s="2"/>
      <c r="C50" s="207"/>
      <c r="D50" s="87"/>
      <c r="G50" s="369" t="s">
        <v>849</v>
      </c>
      <c r="H50" s="370" t="n">
        <f aca="false">IF(Scope!$F$40=0,0,H49/(Scope!$F$40))</f>
        <v>2.18451700387976</v>
      </c>
      <c r="I50" s="2"/>
      <c r="J50" s="2"/>
      <c r="K50" s="2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</row>
    <row r="51" customFormat="false" ht="12.75" hidden="false" customHeight="false" outlineLevel="0" collapsed="false">
      <c r="A51" s="77"/>
      <c r="B51" s="2"/>
      <c r="C51" s="207"/>
      <c r="D51" s="87"/>
      <c r="E51" s="367"/>
      <c r="F51" s="367"/>
      <c r="G51" s="367"/>
      <c r="H51" s="372"/>
      <c r="I51" s="2"/>
      <c r="J51" s="2"/>
      <c r="K51" s="2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</row>
    <row r="52" customFormat="false" ht="13.5" hidden="false" customHeight="false" outlineLevel="0" collapsed="false">
      <c r="A52" s="77"/>
      <c r="B52" s="2"/>
      <c r="C52" s="79"/>
      <c r="D52" s="74"/>
      <c r="E52" s="74"/>
      <c r="F52" s="74"/>
      <c r="G52" s="74"/>
      <c r="H52" s="71"/>
      <c r="I52" s="2"/>
      <c r="J52" s="2"/>
      <c r="K52" s="2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</row>
    <row r="53" customFormat="false" ht="13.5" hidden="true" customHeight="false" outlineLevel="0" collapsed="false">
      <c r="A53" s="77" t="s">
        <v>850</v>
      </c>
      <c r="B53" s="78"/>
      <c r="C53" s="78"/>
      <c r="D53" s="0"/>
      <c r="E53" s="0"/>
      <c r="F53" s="0"/>
      <c r="G53" s="367" t="s">
        <v>846</v>
      </c>
      <c r="H53" s="89" t="n">
        <f aca="false">H46+H43</f>
        <v>11634912.3240239</v>
      </c>
      <c r="I53" s="2"/>
      <c r="J53" s="2"/>
      <c r="K53" s="2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</row>
    <row r="54" customFormat="false" ht="13.5" hidden="true" customHeight="false" outlineLevel="0" collapsed="false">
      <c r="A54" s="77"/>
      <c r="B54" s="78"/>
      <c r="C54" s="78"/>
      <c r="D54" s="0"/>
      <c r="E54" s="373" t="s">
        <v>849</v>
      </c>
      <c r="F54" s="373"/>
      <c r="G54" s="367"/>
      <c r="H54" s="370" t="n">
        <f aca="false">IF(Scope!$F$40=0,0,H53/(Scope!$F$40))</f>
        <v>2.18451700387976</v>
      </c>
      <c r="I54" s="2"/>
      <c r="J54" s="2"/>
      <c r="K54" s="2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</row>
    <row r="55" customFormat="false" ht="12.75" hidden="true" customHeight="false" outlineLevel="0" collapsed="false">
      <c r="A55" s="77"/>
      <c r="B55" s="78"/>
      <c r="C55" s="78"/>
      <c r="D55" s="0"/>
      <c r="E55" s="0"/>
      <c r="F55" s="0"/>
      <c r="G55" s="0"/>
      <c r="H55" s="2"/>
      <c r="I55" s="2"/>
      <c r="J55" s="2"/>
      <c r="K55" s="2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</row>
    <row r="56" customFormat="false" ht="13.5" hidden="true" customHeight="false" outlineLevel="0" collapsed="false">
      <c r="A56" s="0"/>
      <c r="B56" s="0"/>
      <c r="C56" s="0"/>
      <c r="D56" s="0"/>
      <c r="E56" s="0"/>
      <c r="F56" s="0"/>
      <c r="G56" s="0"/>
      <c r="H56" s="87"/>
      <c r="I56" s="2"/>
      <c r="J56" s="2"/>
      <c r="K56" s="2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</row>
    <row r="57" customFormat="false" ht="13.5" hidden="false" customHeight="false" outlineLevel="0" collapsed="false">
      <c r="A57" s="77" t="s">
        <v>851</v>
      </c>
      <c r="B57" s="2"/>
      <c r="C57" s="2"/>
      <c r="D57" s="90" t="n">
        <f aca="false">ROUND(0.1*(H46+H43),-4)</f>
        <v>1160000</v>
      </c>
      <c r="E57" s="374" t="n">
        <f aca="false">D57</f>
        <v>1160000</v>
      </c>
      <c r="F57" s="374" t="n">
        <f aca="false">E57</f>
        <v>1160000</v>
      </c>
      <c r="G57" s="374" t="n">
        <f aca="false">F57</f>
        <v>1160000</v>
      </c>
      <c r="H57" s="368" t="n">
        <f aca="false">(D57+E57+F57+17*G57)/20</f>
        <v>1160000</v>
      </c>
      <c r="I57" s="2"/>
      <c r="J57" s="2"/>
      <c r="K57" s="2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</row>
    <row r="58" customFormat="false" ht="13.5" hidden="true" customHeight="false" outlineLevel="0" collapsed="false">
      <c r="A58" s="109" t="s">
        <v>150</v>
      </c>
      <c r="B58" s="2"/>
      <c r="C58" s="2"/>
      <c r="D58" s="115"/>
      <c r="E58" s="86"/>
      <c r="F58" s="86"/>
      <c r="G58" s="86"/>
      <c r="H58" s="375" t="n">
        <f aca="false">(D58+E58+F58+17*G58)/20</f>
        <v>0</v>
      </c>
      <c r="I58" s="2"/>
      <c r="J58" s="2"/>
      <c r="K58" s="2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</row>
    <row r="59" customFormat="false" ht="12.75" hidden="false" customHeight="false" outlineLevel="0" collapsed="false">
      <c r="A59" s="376"/>
      <c r="B59" s="2"/>
      <c r="C59" s="2"/>
      <c r="D59" s="2"/>
      <c r="E59" s="2"/>
      <c r="F59" s="2"/>
      <c r="G59" s="2"/>
      <c r="H59" s="2"/>
      <c r="I59" s="2"/>
      <c r="J59" s="2"/>
      <c r="K59" s="2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</row>
    <row r="60" customFormat="false" ht="12.75" hidden="false" customHeight="false" outlineLevel="0" collapsed="false">
      <c r="A60" s="377"/>
      <c r="B60" s="2"/>
      <c r="C60" s="2"/>
      <c r="D60" s="2"/>
      <c r="E60" s="2"/>
      <c r="F60" s="2"/>
      <c r="G60" s="2"/>
      <c r="H60" s="2"/>
      <c r="I60" s="2"/>
      <c r="J60" s="2"/>
      <c r="K60" s="2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</row>
    <row r="61" customFormat="false" ht="12.75" hidden="false" customHeight="false" outlineLevel="0" collapsed="false">
      <c r="A61" s="377"/>
      <c r="B61" s="2"/>
      <c r="C61" s="2"/>
      <c r="D61" s="2"/>
      <c r="E61" s="2"/>
      <c r="F61" s="2"/>
      <c r="G61" s="2"/>
      <c r="H61" s="2"/>
      <c r="I61" s="2"/>
      <c r="J61" s="2"/>
      <c r="K61" s="2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</row>
    <row r="62" customFormat="false" ht="12.75" hidden="false" customHeight="false" outlineLevel="0" collapsed="false">
      <c r="A62" s="377"/>
      <c r="B62" s="2"/>
      <c r="C62" s="2"/>
      <c r="D62" s="2"/>
      <c r="E62" s="2"/>
      <c r="F62" s="2"/>
      <c r="G62" s="2"/>
      <c r="H62" s="2"/>
      <c r="I62" s="2"/>
      <c r="J62" s="2"/>
      <c r="K62" s="2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</row>
    <row r="63" customFormat="false" ht="12.75" hidden="false" customHeight="false" outlineLevel="0" collapsed="false">
      <c r="A63" s="45"/>
      <c r="B63" s="2"/>
      <c r="C63" s="2"/>
      <c r="D63" s="2"/>
      <c r="E63" s="2"/>
      <c r="F63" s="2"/>
      <c r="G63" s="2"/>
      <c r="H63" s="2"/>
      <c r="I63" s="2"/>
      <c r="J63" s="2"/>
      <c r="K63" s="2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</row>
    <row r="64" customFormat="false" ht="12.75" hidden="false" customHeight="false" outlineLevel="0" collapsed="false">
      <c r="A64" s="45"/>
      <c r="B64" s="2"/>
      <c r="C64" s="2"/>
      <c r="D64" s="2"/>
      <c r="E64" s="2"/>
      <c r="F64" s="2"/>
      <c r="G64" s="2"/>
      <c r="H64" s="2"/>
      <c r="I64" s="2"/>
      <c r="J64" s="2"/>
      <c r="K64" s="2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</row>
    <row r="354" customFormat="false" ht="12.75" hidden="false" customHeight="false" outlineLevel="0" collapsed="false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</row>
    <row r="355" customFormat="false" ht="12.75" hidden="false" customHeight="false" outlineLevel="0" collapsed="false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</row>
    <row r="356" customFormat="false" ht="12.75" hidden="false" customHeight="false" outlineLevel="0" collapsed="false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</row>
    <row r="357" customFormat="false" ht="12.75" hidden="false" customHeight="false" outlineLevel="0" collapsed="false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</row>
    <row r="358" customFormat="false" ht="12.75" hidden="false" customHeight="false" outlineLevel="0" collapsed="false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</row>
    <row r="359" customFormat="false" ht="12.75" hidden="false" customHeight="false" outlineLevel="0" collapsed="false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</row>
    <row r="360" customFormat="false" ht="12.75" hidden="false" customHeight="false" outlineLevel="0" collapsed="false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</row>
    <row r="361" customFormat="false" ht="12.75" hidden="false" customHeight="false" outlineLevel="0" collapsed="false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</row>
    <row r="362" customFormat="false" ht="12.75" hidden="false" customHeight="false" outlineLevel="0" collapsed="false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</row>
    <row r="363" customFormat="false" ht="12.75" hidden="false" customHeight="false" outlineLevel="0" collapsed="false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</row>
    <row r="364" customFormat="false" ht="12.75" hidden="false" customHeight="false" outlineLevel="0" collapsed="false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</row>
  </sheetData>
  <mergeCells count="3">
    <mergeCell ref="A1:H1"/>
    <mergeCell ref="A2:H2"/>
    <mergeCell ref="D4:H4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177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H32" activeCellId="0" sqref="H3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.7"/>
    <col collapsed="false" customWidth="true" hidden="false" outlineLevel="0" max="2" min="2" style="0" width="31.85"/>
    <col collapsed="false" customWidth="true" hidden="false" outlineLevel="0" max="3" min="3" style="0" width="10.85"/>
    <col collapsed="false" customWidth="true" hidden="false" outlineLevel="0" max="4" min="4" style="0" width="9.28"/>
    <col collapsed="false" customWidth="true" hidden="false" outlineLevel="0" max="5" min="5" style="0" width="13.14"/>
    <col collapsed="false" customWidth="true" hidden="false" outlineLevel="0" max="6" min="6" style="0" width="13.85"/>
    <col collapsed="false" customWidth="true" hidden="false" outlineLevel="0" max="7" min="7" style="0" width="11.99"/>
    <col collapsed="false" customWidth="true" hidden="false" outlineLevel="0" max="8" min="8" style="378" width="12.99"/>
    <col collapsed="false" customWidth="true" hidden="false" outlineLevel="0" max="9" min="9" style="0" width="12.56"/>
    <col collapsed="false" customWidth="true" hidden="false" outlineLevel="0" max="10" min="10" style="0" width="11.99"/>
    <col collapsed="false" customWidth="true" hidden="false" outlineLevel="0" max="11" min="11" style="0" width="13.28"/>
    <col collapsed="false" customWidth="true" hidden="false" outlineLevel="0" max="12" min="12" style="378" width="12.7"/>
    <col collapsed="false" customWidth="true" hidden="false" outlineLevel="0" max="13" min="13" style="378" width="13.56"/>
    <col collapsed="false" customWidth="true" hidden="false" outlineLevel="0" max="17" min="17" style="273" width="10.56"/>
    <col collapsed="false" customWidth="true" hidden="false" outlineLevel="0" max="18" min="18" style="0" width="22.42"/>
  </cols>
  <sheetData>
    <row r="1" customFormat="false" ht="18" hidden="false" customHeight="false" outlineLevel="0" collapsed="false">
      <c r="D1" s="379" t="str">
        <f aca="false">Summary!$A$1</f>
        <v>AES Corp, Dallas, TX (640 MW)</v>
      </c>
    </row>
    <row r="2" customFormat="false" ht="21.75" hidden="false" customHeight="true" outlineLevel="0" collapsed="false">
      <c r="G2" s="11" t="s">
        <v>852</v>
      </c>
    </row>
    <row r="4" customFormat="false" ht="12.75" hidden="false" customHeight="false" outlineLevel="0" collapsed="false">
      <c r="A4" s="380" t="s">
        <v>853</v>
      </c>
      <c r="B4" s="381"/>
      <c r="C4" s="382" t="n">
        <v>0</v>
      </c>
    </row>
    <row r="5" customFormat="false" ht="18" hidden="false" customHeight="true" outlineLevel="0" collapsed="false">
      <c r="A5" s="380" t="s">
        <v>854</v>
      </c>
      <c r="B5" s="380"/>
      <c r="C5" s="383" t="str">
        <f aca="false">Plant_Staff!R7</f>
        <v>US - Central</v>
      </c>
    </row>
    <row r="6" customFormat="false" ht="16.5" hidden="false" customHeight="false" outlineLevel="0" collapsed="false">
      <c r="A6" s="384"/>
      <c r="Q6" s="60" t="s">
        <v>855</v>
      </c>
    </row>
    <row r="7" customFormat="false" ht="66" hidden="false" customHeight="true" outlineLevel="0" collapsed="false">
      <c r="A7" s="385"/>
      <c r="B7" s="386" t="s">
        <v>154</v>
      </c>
      <c r="C7" s="387" t="s">
        <v>225</v>
      </c>
      <c r="D7" s="387" t="s">
        <v>226</v>
      </c>
      <c r="E7" s="387" t="s">
        <v>856</v>
      </c>
      <c r="F7" s="387" t="s">
        <v>857</v>
      </c>
      <c r="G7" s="387" t="s">
        <v>858</v>
      </c>
      <c r="H7" s="388" t="s">
        <v>859</v>
      </c>
      <c r="I7" s="387" t="s">
        <v>860</v>
      </c>
      <c r="J7" s="387" t="s">
        <v>861</v>
      </c>
      <c r="K7" s="387" t="s">
        <v>862</v>
      </c>
      <c r="L7" s="389" t="s">
        <v>863</v>
      </c>
      <c r="M7" s="390" t="s">
        <v>864</v>
      </c>
      <c r="N7" s="391"/>
      <c r="O7" s="391"/>
      <c r="P7" s="17"/>
      <c r="Q7" s="392" t="n">
        <v>3</v>
      </c>
      <c r="R7" s="393" t="str">
        <f aca="false">INDEX(R8:R27,Q7,1)</f>
        <v>US - Central</v>
      </c>
    </row>
    <row r="8" customFormat="false" ht="10.5" hidden="false" customHeight="true" outlineLevel="0" collapsed="false">
      <c r="A8" s="394"/>
      <c r="B8" s="157"/>
      <c r="C8" s="395"/>
      <c r="D8" s="395"/>
      <c r="E8" s="395"/>
      <c r="F8" s="395"/>
      <c r="G8" s="395"/>
      <c r="H8" s="396"/>
      <c r="I8" s="395"/>
      <c r="J8" s="395"/>
      <c r="K8" s="395"/>
      <c r="L8" s="397"/>
      <c r="M8" s="398"/>
      <c r="Q8" s="399" t="n">
        <v>1</v>
      </c>
      <c r="R8" s="400" t="str">
        <f aca="false">'Labor_ Lookup'!E$4</f>
        <v>US - North-East</v>
      </c>
    </row>
    <row r="9" customFormat="false" ht="12.75" hidden="false" customHeight="false" outlineLevel="0" collapsed="false">
      <c r="A9" s="401" t="s">
        <v>235</v>
      </c>
      <c r="B9" s="157"/>
      <c r="C9" s="395"/>
      <c r="D9" s="395"/>
      <c r="E9" s="395"/>
      <c r="F9" s="395"/>
      <c r="G9" s="395"/>
      <c r="H9" s="396"/>
      <c r="I9" s="395"/>
      <c r="J9" s="395"/>
      <c r="K9" s="395"/>
      <c r="L9" s="397"/>
      <c r="M9" s="398"/>
      <c r="Q9" s="399" t="n">
        <f aca="false">Q8+1</f>
        <v>2</v>
      </c>
      <c r="R9" s="400" t="str">
        <f aca="false">'Labor_ Lookup'!F$4</f>
        <v>US - South-East</v>
      </c>
    </row>
    <row r="10" customFormat="false" ht="12.75" hidden="false" customHeight="false" outlineLevel="0" collapsed="false">
      <c r="A10" s="394"/>
      <c r="B10" s="194" t="str">
        <f aca="false">'Plant Configuration'!C13</f>
        <v>Plant Manager</v>
      </c>
      <c r="C10" s="402" t="n">
        <v>0</v>
      </c>
      <c r="D10" s="403" t="n">
        <f aca="false">IF('O&amp;M Backup_Detail'!$O$7=6,0,HLOOKUP('O&amp;M Backup_Detail'!$D$5,Plant_Configuration,'Plant Configuration'!A13,FALSE()))+IF('O&amp;M Backup_Detail'!$R$7=6,0,HLOOKUP('O&amp;M Backup_Detail'!$E$5,Plant_Configuration,'Plant Configuration'!A13,FALSE()))+IF('O&amp;M Backup_Detail'!$U$7=6,0,HLOOKUP('O&amp;M Backup_Detail'!$F$5,Plant_Configuration,'Plant Configuration'!A13,FALSE()))</f>
        <v>1</v>
      </c>
      <c r="E10" s="404" t="n">
        <f aca="false">IF(C10&gt;0,12,0)</f>
        <v>0</v>
      </c>
      <c r="F10" s="404" t="n">
        <f aca="false">IF(D10&gt;0,12,0)</f>
        <v>12</v>
      </c>
      <c r="G10" s="405" t="n">
        <f aca="false">C10*E10/12+D10*F10/12</f>
        <v>1</v>
      </c>
      <c r="H10" s="406" t="n">
        <f aca="false">IF(D10&gt;0,HLOOKUP($C$5,Labor_Salary,'Labor_ Lookup'!A8,FALSE()),0)</f>
        <v>87000</v>
      </c>
      <c r="I10" s="407" t="n">
        <v>0</v>
      </c>
      <c r="J10" s="407" t="n">
        <v>0.702</v>
      </c>
      <c r="K10" s="407" t="n">
        <v>0.531</v>
      </c>
      <c r="L10" s="397" t="n">
        <f aca="false">(C10*($H10+($H10*$I10)+($H10*$J10)+($H10*$I10*$K10))*E10/12)</f>
        <v>0</v>
      </c>
      <c r="M10" s="398" t="n">
        <f aca="false">(D10*($H10+($H10*$I10)+($H10*$J10)+($H10*$I10*$K10))*F10/12)</f>
        <v>148074</v>
      </c>
      <c r="Q10" s="399" t="n">
        <f aca="false">Q9+1</f>
        <v>3</v>
      </c>
      <c r="R10" s="400" t="str">
        <f aca="false">'Labor_ Lookup'!G$4</f>
        <v>US - Central</v>
      </c>
    </row>
    <row r="11" customFormat="false" ht="12.75" hidden="false" customHeight="false" outlineLevel="0" collapsed="false">
      <c r="A11" s="394"/>
      <c r="B11" s="194" t="str">
        <f aca="false">'Plant Configuration'!C14</f>
        <v>Assistant Plant Manager</v>
      </c>
      <c r="C11" s="402" t="n">
        <v>0</v>
      </c>
      <c r="D11" s="403" t="n">
        <f aca="false">IF('O&amp;M Backup_Detail'!$O$7=6,0,HLOOKUP('O&amp;M Backup_Detail'!$D$5,Plant_Configuration,'Plant Configuration'!A14,FALSE()))+IF('O&amp;M Backup_Detail'!$R$7=6,0,HLOOKUP('O&amp;M Backup_Detail'!$E$5,Plant_Configuration,'Plant Configuration'!A14,FALSE()))+IF('O&amp;M Backup_Detail'!$U$7=6,0,HLOOKUP('O&amp;M Backup_Detail'!$F$5,Plant_Configuration,'Plant Configuration'!A14,FALSE()))</f>
        <v>0</v>
      </c>
      <c r="E11" s="404" t="n">
        <f aca="false">IF(C11&gt;0,12,0)</f>
        <v>0</v>
      </c>
      <c r="F11" s="404" t="n">
        <f aca="false">IF(D11&gt;0,12,0)</f>
        <v>0</v>
      </c>
      <c r="G11" s="405" t="n">
        <f aca="false">C11*E11/12+D11*F11/12</f>
        <v>0</v>
      </c>
      <c r="H11" s="406" t="n">
        <f aca="false">IF(D11&gt;0,HLOOKUP($C$5,Labor_Salary,'Labor_ Lookup'!A9,FALSE()),0)</f>
        <v>0</v>
      </c>
      <c r="I11" s="407" t="n">
        <v>0</v>
      </c>
      <c r="J11" s="407" t="n">
        <v>0.702</v>
      </c>
      <c r="K11" s="407" t="n">
        <v>0.531</v>
      </c>
      <c r="L11" s="397" t="n">
        <f aca="false">(C11*($H11+($H11*$I11)+($H11*$J11)+($H11*$I11*$K11))*E11/12)</f>
        <v>0</v>
      </c>
      <c r="M11" s="398" t="n">
        <f aca="false">(D11*($H11+($H11*$I11)+($H11*$J11)+($H11*$I11*$K11))*F11/12)</f>
        <v>0</v>
      </c>
      <c r="Q11" s="399" t="n">
        <f aca="false">Q10+1</f>
        <v>4</v>
      </c>
      <c r="R11" s="400" t="str">
        <f aca="false">'Labor_ Lookup'!H$4</f>
        <v>US - South</v>
      </c>
    </row>
    <row r="12" customFormat="false" ht="12.75" hidden="false" customHeight="false" outlineLevel="0" collapsed="false">
      <c r="A12" s="394"/>
      <c r="B12" s="194" t="str">
        <f aca="false">'Plant Configuration'!C15</f>
        <v>Plant Engineer</v>
      </c>
      <c r="C12" s="402" t="n">
        <v>0</v>
      </c>
      <c r="D12" s="403" t="n">
        <f aca="false">IF('O&amp;M Backup_Detail'!$O$7=6,0,HLOOKUP('O&amp;M Backup_Detail'!$D$5,Plant_Configuration,'Plant Configuration'!A15,FALSE()))+IF('O&amp;M Backup_Detail'!$R$7=6,0,HLOOKUP('O&amp;M Backup_Detail'!$E$5,Plant_Configuration,'Plant Configuration'!A15,FALSE()))+IF('O&amp;M Backup_Detail'!$U$7=6,0,HLOOKUP('O&amp;M Backup_Detail'!$F$5,Plant_Configuration,'Plant Configuration'!A15,FALSE()))</f>
        <v>0</v>
      </c>
      <c r="E12" s="404" t="n">
        <f aca="false">IF(C12&gt;0,12,0)</f>
        <v>0</v>
      </c>
      <c r="F12" s="404" t="n">
        <f aca="false">IF(D12&gt;0,12,0)</f>
        <v>0</v>
      </c>
      <c r="G12" s="405" t="n">
        <f aca="false">C12*E12/12+D12*F12/12</f>
        <v>0</v>
      </c>
      <c r="H12" s="406" t="n">
        <f aca="false">IF(D12&gt;0,HLOOKUP($C$5,Labor_Salary,'Labor_ Lookup'!A10,FALSE()),0)</f>
        <v>0</v>
      </c>
      <c r="I12" s="407" t="n">
        <v>0</v>
      </c>
      <c r="J12" s="407" t="n">
        <v>0.702</v>
      </c>
      <c r="K12" s="407" t="n">
        <v>0.531</v>
      </c>
      <c r="L12" s="397" t="n">
        <f aca="false">(C12*($H12+($H12*$I12)+($H12*$J12)+($H12*$I12*$K12))*E12/12)</f>
        <v>0</v>
      </c>
      <c r="M12" s="398" t="n">
        <f aca="false">(D12*($H12+($H12*$I12)+($H12*$J12)+($H12*$I12*$K12))*F12/12)</f>
        <v>0</v>
      </c>
      <c r="Q12" s="399" t="n">
        <f aca="false">Q11+1</f>
        <v>5</v>
      </c>
      <c r="R12" s="400" t="str">
        <f aca="false">'Labor_ Lookup'!I$4</f>
        <v>US - North-West</v>
      </c>
    </row>
    <row r="13" customFormat="false" ht="12.75" hidden="false" customHeight="false" outlineLevel="0" collapsed="false">
      <c r="A13" s="394"/>
      <c r="B13" s="194" t="str">
        <f aca="false">'Plant Configuration'!C16</f>
        <v>Administration Manager</v>
      </c>
      <c r="C13" s="402" t="n">
        <v>0</v>
      </c>
      <c r="D13" s="403" t="n">
        <f aca="false">IF('O&amp;M Backup_Detail'!$O$7=6,0,HLOOKUP('O&amp;M Backup_Detail'!$D$5,Plant_Configuration,'Plant Configuration'!A16,FALSE()))+IF('O&amp;M Backup_Detail'!$R$7=6,0,HLOOKUP('O&amp;M Backup_Detail'!$E$5,Plant_Configuration,'Plant Configuration'!A16,FALSE()))+IF('O&amp;M Backup_Detail'!$U$7=6,0,HLOOKUP('O&amp;M Backup_Detail'!$F$5,Plant_Configuration,'Plant Configuration'!A16,FALSE()))</f>
        <v>0</v>
      </c>
      <c r="E13" s="404" t="n">
        <f aca="false">IF(C13&gt;0,12,0)</f>
        <v>0</v>
      </c>
      <c r="F13" s="404" t="n">
        <f aca="false">IF(D13&gt;0,12,0)</f>
        <v>0</v>
      </c>
      <c r="G13" s="405" t="n">
        <f aca="false">C13*E13/12+D13*F13/12</f>
        <v>0</v>
      </c>
      <c r="H13" s="406" t="n">
        <f aca="false">IF(D13&gt;0,HLOOKUP($C$5,Labor_Salary,'Labor_ Lookup'!A11,FALSE()),0)</f>
        <v>0</v>
      </c>
      <c r="I13" s="407" t="n">
        <v>0</v>
      </c>
      <c r="J13" s="407" t="n">
        <v>0.702</v>
      </c>
      <c r="K13" s="407" t="n">
        <v>0.531</v>
      </c>
      <c r="L13" s="397" t="n">
        <f aca="false">(C13*($H13+($H13*$I13)+($H13*$J13)+($H13*$I13*$K13))*E13/12)</f>
        <v>0</v>
      </c>
      <c r="M13" s="398" t="n">
        <f aca="false">(D13*($H13+($H13*$I13)+($H13*$J13)+($H13*$I13*$K13))*F13/12)</f>
        <v>0</v>
      </c>
      <c r="Q13" s="399" t="n">
        <f aca="false">Q12+1</f>
        <v>6</v>
      </c>
      <c r="R13" s="400" t="str">
        <f aca="false">'Labor_ Lookup'!J$4</f>
        <v>US - California</v>
      </c>
    </row>
    <row r="14" customFormat="false" ht="12.75" hidden="false" customHeight="false" outlineLevel="0" collapsed="false">
      <c r="A14" s="394"/>
      <c r="B14" s="194" t="str">
        <f aca="false">'Plant Configuration'!C17</f>
        <v>Controller</v>
      </c>
      <c r="C14" s="402" t="n">
        <v>0</v>
      </c>
      <c r="D14" s="403" t="n">
        <f aca="false">IF('O&amp;M Backup_Detail'!$O$7=6,0,HLOOKUP('O&amp;M Backup_Detail'!$D$5,Plant_Configuration,'Plant Configuration'!A17,FALSE()))+IF('O&amp;M Backup_Detail'!$R$7=6,0,HLOOKUP('O&amp;M Backup_Detail'!$E$5,Plant_Configuration,'Plant Configuration'!A17,FALSE()))+IF('O&amp;M Backup_Detail'!$U$7=6,0,HLOOKUP('O&amp;M Backup_Detail'!$F$5,Plant_Configuration,'Plant Configuration'!A17,FALSE()))</f>
        <v>0</v>
      </c>
      <c r="E14" s="404" t="n">
        <f aca="false">IF(C14&gt;0,12,0)</f>
        <v>0</v>
      </c>
      <c r="F14" s="404" t="n">
        <f aca="false">IF(D14&gt;0,12,0)</f>
        <v>0</v>
      </c>
      <c r="G14" s="405" t="n">
        <f aca="false">C14*E14/12+D14*F14/12</f>
        <v>0</v>
      </c>
      <c r="H14" s="406" t="n">
        <f aca="false">IF(D14&gt;0,HLOOKUP($C$5,Labor_Salary,'Labor_ Lookup'!A12,FALSE()),0)</f>
        <v>0</v>
      </c>
      <c r="I14" s="407" t="n">
        <v>0</v>
      </c>
      <c r="J14" s="407" t="n">
        <v>0.702</v>
      </c>
      <c r="K14" s="407" t="n">
        <v>0.531</v>
      </c>
      <c r="L14" s="397" t="n">
        <f aca="false">(C14*($H14+($H14*$I14)+($H14*$J14)+($H14*$I14*$K14))*E14/12)</f>
        <v>0</v>
      </c>
      <c r="M14" s="398" t="n">
        <f aca="false">(D14*($H14+($H14*$I14)+($H14*$J14)+($H14*$I14*$K14))*F14/12)</f>
        <v>0</v>
      </c>
      <c r="Q14" s="399" t="n">
        <f aca="false">Q13+1</f>
        <v>7</v>
      </c>
      <c r="R14" s="400" t="str">
        <f aca="false">'Labor_ Lookup'!K$4</f>
        <v>India</v>
      </c>
    </row>
    <row r="15" customFormat="false" ht="12.75" hidden="false" customHeight="false" outlineLevel="0" collapsed="false">
      <c r="A15" s="394"/>
      <c r="B15" s="194" t="str">
        <f aca="false">'Plant Configuration'!C18</f>
        <v>Accountant</v>
      </c>
      <c r="C15" s="402" t="n">
        <v>0</v>
      </c>
      <c r="D15" s="403" t="n">
        <f aca="false">IF('O&amp;M Backup_Detail'!$O$7=6,0,HLOOKUP('O&amp;M Backup_Detail'!$D$5,Plant_Configuration,'Plant Configuration'!A18,FALSE()))+IF('O&amp;M Backup_Detail'!$R$7=6,0,HLOOKUP('O&amp;M Backup_Detail'!$E$5,Plant_Configuration,'Plant Configuration'!A18,FALSE()))+IF('O&amp;M Backup_Detail'!$U$7=6,0,HLOOKUP('O&amp;M Backup_Detail'!$F$5,Plant_Configuration,'Plant Configuration'!A18,FALSE()))</f>
        <v>0</v>
      </c>
      <c r="E15" s="404" t="n">
        <f aca="false">IF(C15&gt;0,12,0)</f>
        <v>0</v>
      </c>
      <c r="F15" s="404" t="n">
        <f aca="false">IF(D15&gt;0,12,0)</f>
        <v>0</v>
      </c>
      <c r="G15" s="405" t="n">
        <f aca="false">C15*E15/12+D15*F15/12</f>
        <v>0</v>
      </c>
      <c r="H15" s="406" t="n">
        <f aca="false">IF(D15&gt;0,HLOOKUP($C$5,Labor_Salary,'Labor_ Lookup'!A13,FALSE()),0)</f>
        <v>0</v>
      </c>
      <c r="I15" s="407" t="n">
        <v>0.1</v>
      </c>
      <c r="J15" s="407" t="n">
        <v>0.702</v>
      </c>
      <c r="K15" s="407" t="n">
        <v>0.531</v>
      </c>
      <c r="L15" s="397" t="n">
        <f aca="false">(C15*($H15+($H15*$I15)+($H15*$J15)+($H15*$I15*$K15))*E15/12)</f>
        <v>0</v>
      </c>
      <c r="M15" s="398" t="n">
        <f aca="false">(D15*($H15+($H15*$I15)+($H15*$J15)+($H15*$I15*$K15))*F15/12)</f>
        <v>0</v>
      </c>
      <c r="Q15" s="399" t="n">
        <f aca="false">Q14+1</f>
        <v>8</v>
      </c>
      <c r="R15" s="400" t="n">
        <f aca="false">'Labor_ Lookup'!L$4</f>
        <v>0</v>
      </c>
    </row>
    <row r="16" customFormat="false" ht="12.75" hidden="false" customHeight="false" outlineLevel="0" collapsed="false">
      <c r="A16" s="394"/>
      <c r="B16" s="194" t="str">
        <f aca="false">'Plant Configuration'!C19</f>
        <v>Administrative Assistant</v>
      </c>
      <c r="C16" s="402" t="n">
        <v>0</v>
      </c>
      <c r="D16" s="403" t="n">
        <f aca="false">IF('O&amp;M Backup_Detail'!$O$7=6,0,HLOOKUP('O&amp;M Backup_Detail'!$D$5,Plant_Configuration,'Plant Configuration'!A19,FALSE()))+IF('O&amp;M Backup_Detail'!$R$7=6,0,HLOOKUP('O&amp;M Backup_Detail'!$E$5,Plant_Configuration,'Plant Configuration'!A19,FALSE()))+IF('O&amp;M Backup_Detail'!$U$7=6,0,HLOOKUP('O&amp;M Backup_Detail'!$F$5,Plant_Configuration,'Plant Configuration'!A19,FALSE()))</f>
        <v>1</v>
      </c>
      <c r="E16" s="404" t="n">
        <f aca="false">IF(C16&gt;0,12,0)</f>
        <v>0</v>
      </c>
      <c r="F16" s="404" t="n">
        <f aca="false">IF(D16&gt;0,12,0)</f>
        <v>12</v>
      </c>
      <c r="G16" s="405" t="n">
        <f aca="false">C16*E16/12+D16*F16/12</f>
        <v>1</v>
      </c>
      <c r="H16" s="406" t="n">
        <f aca="false">IF(D16&gt;0,HLOOKUP($C$5,Labor_Salary,'Labor_ Lookup'!A14,FALSE()),0)</f>
        <v>27000</v>
      </c>
      <c r="I16" s="407" t="n">
        <v>0.15</v>
      </c>
      <c r="J16" s="407" t="n">
        <v>0.702</v>
      </c>
      <c r="K16" s="407" t="n">
        <v>0.531</v>
      </c>
      <c r="L16" s="397" t="n">
        <f aca="false">(C16*($H16+($H16*$I16)+($H16*$J16)+($H16*$I16*$K16))*E16/12)</f>
        <v>0</v>
      </c>
      <c r="M16" s="398" t="n">
        <f aca="false">(D16*($H16+($H16*$I16)+($H16*$J16)+($H16*$I16*$K16))*F16/12)</f>
        <v>52154.55</v>
      </c>
      <c r="Q16" s="399" t="n">
        <f aca="false">Q15+1</f>
        <v>9</v>
      </c>
      <c r="R16" s="400" t="n">
        <f aca="false">'Labor_ Lookup'!M$4</f>
        <v>0</v>
      </c>
    </row>
    <row r="17" customFormat="false" ht="12.75" hidden="false" customHeight="false" outlineLevel="0" collapsed="false">
      <c r="A17" s="394"/>
      <c r="B17" s="194" t="str">
        <f aca="false">'Plant Configuration'!C20</f>
        <v>Warehouse Supervisor</v>
      </c>
      <c r="C17" s="402" t="n">
        <v>0</v>
      </c>
      <c r="D17" s="403" t="n">
        <f aca="false">IF('O&amp;M Backup_Detail'!$O$7=6,0,HLOOKUP('O&amp;M Backup_Detail'!$D$5,Plant_Configuration,'Plant Configuration'!A20,FALSE()))+IF('O&amp;M Backup_Detail'!$R$7=6,0,HLOOKUP('O&amp;M Backup_Detail'!$E$5,Plant_Configuration,'Plant Configuration'!A20,FALSE()))+IF('O&amp;M Backup_Detail'!$U$7=6,0,HLOOKUP('O&amp;M Backup_Detail'!$F$5,Plant_Configuration,'Plant Configuration'!A20,FALSE()))</f>
        <v>0</v>
      </c>
      <c r="E17" s="404" t="n">
        <f aca="false">IF(C17&gt;0,12,0)</f>
        <v>0</v>
      </c>
      <c r="F17" s="404" t="n">
        <f aca="false">IF(D17&gt;0,12,0)</f>
        <v>0</v>
      </c>
      <c r="G17" s="405" t="n">
        <f aca="false">C17*E17/12+D17*F17/12</f>
        <v>0</v>
      </c>
      <c r="H17" s="406" t="n">
        <f aca="false">IF(D17&gt;0,HLOOKUP($C$5,Labor_Salary,'Labor_ Lookup'!A15,FALSE()),0)</f>
        <v>0</v>
      </c>
      <c r="I17" s="407" t="n">
        <v>0</v>
      </c>
      <c r="J17" s="407" t="n">
        <v>0.702</v>
      </c>
      <c r="K17" s="407" t="n">
        <v>0.531</v>
      </c>
      <c r="L17" s="397" t="n">
        <f aca="false">(C17*($H17+($H17*$I17)+($H17*$J17)+($H17*$I17*$K17))*E17/12)</f>
        <v>0</v>
      </c>
      <c r="M17" s="398" t="n">
        <f aca="false">(D17*($H17+($H17*$I17)+($H17*$J17)+($H17*$I17*$K17))*F17/12)</f>
        <v>0</v>
      </c>
      <c r="Q17" s="399" t="n">
        <f aca="false">Q16+1</f>
        <v>10</v>
      </c>
      <c r="R17" s="400" t="n">
        <f aca="false">'Labor_ Lookup'!N$4</f>
        <v>0</v>
      </c>
    </row>
    <row r="18" customFormat="false" ht="12.75" hidden="false" customHeight="false" outlineLevel="0" collapsed="false">
      <c r="A18" s="394"/>
      <c r="B18" s="194" t="str">
        <f aca="false">'Plant Configuration'!C21</f>
        <v>Other</v>
      </c>
      <c r="C18" s="402" t="n">
        <v>0</v>
      </c>
      <c r="D18" s="403" t="n">
        <f aca="false">IF('O&amp;M Backup_Detail'!$O$7=6,0,HLOOKUP('O&amp;M Backup_Detail'!$D$5,Plant_Configuration,'Plant Configuration'!A21,FALSE()))+IF('O&amp;M Backup_Detail'!$R$7=6,0,HLOOKUP('O&amp;M Backup_Detail'!$E$5,Plant_Configuration,'Plant Configuration'!A21,FALSE()))+IF('O&amp;M Backup_Detail'!$U$7=6,0,HLOOKUP('O&amp;M Backup_Detail'!$F$5,Plant_Configuration,'Plant Configuration'!A21,FALSE()))</f>
        <v>0</v>
      </c>
      <c r="E18" s="404" t="n">
        <f aca="false">IF(C18&gt;0,12,0)</f>
        <v>0</v>
      </c>
      <c r="F18" s="404" t="n">
        <f aca="false">IF(D18&gt;0,12,0)</f>
        <v>0</v>
      </c>
      <c r="G18" s="405" t="n">
        <f aca="false">C18*E18/12+D18*F18/12</f>
        <v>0</v>
      </c>
      <c r="H18" s="406" t="n">
        <f aca="false">IF(D18&gt;0,HLOOKUP($C$5,Labor_Salary,'Labor_ Lookup'!A16,FALSE()),0)</f>
        <v>0</v>
      </c>
      <c r="I18" s="407" t="n">
        <v>0</v>
      </c>
      <c r="J18" s="407" t="n">
        <v>0.702</v>
      </c>
      <c r="K18" s="407" t="n">
        <v>0.531</v>
      </c>
      <c r="L18" s="397" t="n">
        <f aca="false">(C18*($H18+($H18*$I18)+($H18*$J18)+($H18*$I18*$K18))*E18/12)</f>
        <v>0</v>
      </c>
      <c r="M18" s="398" t="n">
        <f aca="false">(D18*($H18+($H18*$I18)+($H18*$J18)+($H18*$I18*$K18))*F18/12)</f>
        <v>0</v>
      </c>
      <c r="Q18" s="399" t="n">
        <f aca="false">Q17+1</f>
        <v>11</v>
      </c>
      <c r="R18" s="400" t="n">
        <f aca="false">'Labor_ Lookup'!O$4</f>
        <v>0</v>
      </c>
    </row>
    <row r="19" customFormat="false" ht="12.75" hidden="false" customHeight="false" outlineLevel="0" collapsed="false">
      <c r="A19" s="394"/>
      <c r="B19" s="194" t="str">
        <f aca="false">'Plant Configuration'!C22</f>
        <v>Other</v>
      </c>
      <c r="C19" s="402" t="n">
        <v>0</v>
      </c>
      <c r="D19" s="403" t="n">
        <f aca="false">IF('O&amp;M Backup_Detail'!$O$7=6,0,HLOOKUP('O&amp;M Backup_Detail'!$D$5,Plant_Configuration,'Plant Configuration'!A22,FALSE()))+IF('O&amp;M Backup_Detail'!$R$7=6,0,HLOOKUP('O&amp;M Backup_Detail'!$E$5,Plant_Configuration,'Plant Configuration'!A22,FALSE()))+IF('O&amp;M Backup_Detail'!$U$7=6,0,HLOOKUP('O&amp;M Backup_Detail'!$F$5,Plant_Configuration,'Plant Configuration'!A22,FALSE()))</f>
        <v>0</v>
      </c>
      <c r="E19" s="404" t="n">
        <f aca="false">IF(C19&gt;0,12,0)</f>
        <v>0</v>
      </c>
      <c r="F19" s="404" t="n">
        <f aca="false">IF(D19&gt;0,12,0)</f>
        <v>0</v>
      </c>
      <c r="G19" s="405" t="n">
        <f aca="false">C19*E19/12+D19*F19/12</f>
        <v>0</v>
      </c>
      <c r="H19" s="406" t="n">
        <f aca="false">IF(D19&gt;0,HLOOKUP($C$5,Labor_Salary,'Labor_ Lookup'!A17,FALSE()),0)</f>
        <v>0</v>
      </c>
      <c r="I19" s="407" t="n">
        <v>0</v>
      </c>
      <c r="J19" s="407" t="n">
        <v>0.702</v>
      </c>
      <c r="K19" s="407" t="n">
        <v>0.531</v>
      </c>
      <c r="L19" s="397" t="n">
        <f aca="false">(C19*($H19+($H19*$I19)+($H19*$J19)+($H19*$I19*$K19))*E19/12)</f>
        <v>0</v>
      </c>
      <c r="M19" s="398" t="n">
        <f aca="false">(D19*($H19+($H19*$I19)+($H19*$J19)+($H19*$I19*$K19))*F19/12)</f>
        <v>0</v>
      </c>
      <c r="Q19" s="399" t="n">
        <f aca="false">Q18+1</f>
        <v>12</v>
      </c>
      <c r="R19" s="400" t="n">
        <f aca="false">'Labor_ Lookup'!P$4</f>
        <v>0</v>
      </c>
    </row>
    <row r="20" customFormat="false" ht="12.75" hidden="false" customHeight="false" outlineLevel="0" collapsed="false">
      <c r="A20" s="394"/>
      <c r="B20" s="194" t="str">
        <f aca="false">'Plant Configuration'!C23</f>
        <v>Other</v>
      </c>
      <c r="C20" s="402" t="n">
        <v>0</v>
      </c>
      <c r="D20" s="403" t="n">
        <f aca="false">IF('O&amp;M Backup_Detail'!$O$7=6,0,HLOOKUP('O&amp;M Backup_Detail'!$D$5,Plant_Configuration,'Plant Configuration'!A23,FALSE()))+IF('O&amp;M Backup_Detail'!$R$7=6,0,HLOOKUP('O&amp;M Backup_Detail'!$E$5,Plant_Configuration,'Plant Configuration'!A23,FALSE()))+IF('O&amp;M Backup_Detail'!$U$7=6,0,HLOOKUP('O&amp;M Backup_Detail'!$F$5,Plant_Configuration,'Plant Configuration'!A23,FALSE()))</f>
        <v>0</v>
      </c>
      <c r="E20" s="404" t="n">
        <f aca="false">IF(C20&gt;0,12,0)</f>
        <v>0</v>
      </c>
      <c r="F20" s="404" t="n">
        <f aca="false">IF(D20&gt;0,12,0)</f>
        <v>0</v>
      </c>
      <c r="G20" s="405" t="n">
        <f aca="false">C20*E20/12+D20*F20/12</f>
        <v>0</v>
      </c>
      <c r="H20" s="406" t="n">
        <f aca="false">IF(D20&gt;0,HLOOKUP($C$5,Labor_Salary,'Labor_ Lookup'!A18,FALSE()),0)</f>
        <v>0</v>
      </c>
      <c r="I20" s="407" t="n">
        <v>0</v>
      </c>
      <c r="J20" s="407" t="n">
        <v>0.702</v>
      </c>
      <c r="K20" s="407" t="n">
        <v>0.531</v>
      </c>
      <c r="L20" s="397" t="n">
        <f aca="false">(C20*($H20+($H20*$I20)+($H20*$J20)+($H20*$I20*$K20))*E20/12)</f>
        <v>0</v>
      </c>
      <c r="M20" s="398" t="n">
        <f aca="false">(D20*($H20+($H20*$I20)+($H20*$J20)+($H20*$I20*$K20))*F20/12)</f>
        <v>0</v>
      </c>
      <c r="Q20" s="399" t="n">
        <f aca="false">Q19+1</f>
        <v>13</v>
      </c>
      <c r="R20" s="400" t="n">
        <f aca="false">'Labor_ Lookup'!Q$4</f>
        <v>0</v>
      </c>
    </row>
    <row r="21" customFormat="false" ht="12.75" hidden="false" customHeight="false" outlineLevel="0" collapsed="false">
      <c r="A21" s="394"/>
      <c r="B21" s="408"/>
      <c r="C21" s="402"/>
      <c r="D21" s="404"/>
      <c r="E21" s="404"/>
      <c r="F21" s="404"/>
      <c r="G21" s="405"/>
      <c r="H21" s="406"/>
      <c r="I21" s="409"/>
      <c r="J21" s="409"/>
      <c r="K21" s="409"/>
      <c r="L21" s="397"/>
      <c r="M21" s="398"/>
      <c r="Q21" s="399" t="n">
        <f aca="false">Q20+1</f>
        <v>14</v>
      </c>
      <c r="R21" s="400" t="n">
        <f aca="false">'Labor_ Lookup'!R$4</f>
        <v>0</v>
      </c>
    </row>
    <row r="22" customFormat="false" ht="12.75" hidden="false" customHeight="false" outlineLevel="0" collapsed="false">
      <c r="A22" s="401" t="s">
        <v>211</v>
      </c>
      <c r="B22" s="408"/>
      <c r="C22" s="402"/>
      <c r="D22" s="404"/>
      <c r="E22" s="404"/>
      <c r="F22" s="404"/>
      <c r="G22" s="405"/>
      <c r="H22" s="406"/>
      <c r="I22" s="409"/>
      <c r="J22" s="409"/>
      <c r="K22" s="409"/>
      <c r="L22" s="397"/>
      <c r="M22" s="398"/>
      <c r="Q22" s="399" t="n">
        <f aca="false">Q21+1</f>
        <v>15</v>
      </c>
      <c r="R22" s="410"/>
    </row>
    <row r="23" customFormat="false" ht="12.75" hidden="false" customHeight="false" outlineLevel="0" collapsed="false">
      <c r="A23" s="394"/>
      <c r="B23" s="194" t="str">
        <f aca="false">'Plant Configuration'!C26</f>
        <v>Operations Manager</v>
      </c>
      <c r="C23" s="402" t="n">
        <v>0</v>
      </c>
      <c r="D23" s="403" t="n">
        <f aca="false">IF('O&amp;M Backup_Detail'!$O$7=6,0,HLOOKUP('O&amp;M Backup_Detail'!$D$5,Plant_Configuration,'Plant Configuration'!A26,FALSE()))+IF('O&amp;M Backup_Detail'!$R$7=6,0,HLOOKUP('O&amp;M Backup_Detail'!$E$5,Plant_Configuration,'Plant Configuration'!A26,FALSE()))+IF('O&amp;M Backup_Detail'!$U$7=6,0,HLOOKUP('O&amp;M Backup_Detail'!$F$5,Plant_Configuration,'Plant Configuration'!A26,FALSE()))</f>
        <v>1</v>
      </c>
      <c r="E23" s="404" t="n">
        <f aca="false">IF(C23&gt;0,12,0)</f>
        <v>0</v>
      </c>
      <c r="F23" s="404" t="n">
        <f aca="false">IF(D23&gt;0,12,0)</f>
        <v>12</v>
      </c>
      <c r="G23" s="405" t="n">
        <f aca="false">C23*E23/12+D23*F23/12</f>
        <v>1</v>
      </c>
      <c r="H23" s="406" t="n">
        <f aca="false">IF(D23&gt;0,HLOOKUP($C$5,Labor_Salary,'Labor_ Lookup'!A21,FALSE()),0)</f>
        <v>70000</v>
      </c>
      <c r="I23" s="407" t="n">
        <v>0</v>
      </c>
      <c r="J23" s="407" t="n">
        <v>0.702</v>
      </c>
      <c r="K23" s="407" t="n">
        <v>0.531</v>
      </c>
      <c r="L23" s="397" t="n">
        <f aca="false">(C23*($H23+($H23*$I23)+($H23*$J23)+($H23*$I23*$K23))*E23/12)</f>
        <v>0</v>
      </c>
      <c r="M23" s="398" t="n">
        <f aca="false">(D23*($H23+($H23*$I23)+($H23*$J23)+($H23*$I23*$K23))*F23/12)</f>
        <v>119140</v>
      </c>
      <c r="Q23" s="399" t="n">
        <f aca="false">Q22+1</f>
        <v>16</v>
      </c>
      <c r="R23" s="410"/>
    </row>
    <row r="24" customFormat="false" ht="12.75" hidden="false" customHeight="false" outlineLevel="0" collapsed="false">
      <c r="A24" s="394"/>
      <c r="B24" s="194" t="str">
        <f aca="false">'Plant Configuration'!C27</f>
        <v>Operations Shift Supervisors</v>
      </c>
      <c r="C24" s="402" t="n">
        <v>0</v>
      </c>
      <c r="D24" s="403" t="n">
        <f aca="false">IF('O&amp;M Backup_Detail'!$O$7=6,0,HLOOKUP('O&amp;M Backup_Detail'!$D$5,Plant_Configuration,'Plant Configuration'!A27,FALSE()))+IF('O&amp;M Backup_Detail'!$R$7=6,0,HLOOKUP('O&amp;M Backup_Detail'!$E$5,Plant_Configuration,'Plant Configuration'!A27,FALSE()))+IF('O&amp;M Backup_Detail'!$U$7=6,0,HLOOKUP('O&amp;M Backup_Detail'!$F$5,Plant_Configuration,'Plant Configuration'!A27,FALSE()))</f>
        <v>0</v>
      </c>
      <c r="E24" s="404" t="n">
        <f aca="false">IF(C24&gt;0,12,0)</f>
        <v>0</v>
      </c>
      <c r="F24" s="404" t="n">
        <f aca="false">IF(D24&gt;0,12,0)</f>
        <v>0</v>
      </c>
      <c r="G24" s="405" t="n">
        <f aca="false">C24*E24/12+D24*F24/12</f>
        <v>0</v>
      </c>
      <c r="H24" s="406" t="n">
        <f aca="false">IF(D24&gt;0,HLOOKUP($C$5,Labor_Salary,'Labor_ Lookup'!A22,FALSE()),0)</f>
        <v>0</v>
      </c>
      <c r="I24" s="407" t="n">
        <v>0.15</v>
      </c>
      <c r="J24" s="407" t="n">
        <v>0.702</v>
      </c>
      <c r="K24" s="407" t="n">
        <v>0.531</v>
      </c>
      <c r="L24" s="397" t="n">
        <f aca="false">(C24*($H24+($H24*$I24)+($H24*$J24)+($H24*$I24*$K24))*E24/12)</f>
        <v>0</v>
      </c>
      <c r="M24" s="398" t="n">
        <f aca="false">(D24*($H24+($H24*$I24)+($H24*$J24)+($H24*$I24*$K24))*F24/12)</f>
        <v>0</v>
      </c>
      <c r="Q24" s="399" t="n">
        <f aca="false">Q23+1</f>
        <v>17</v>
      </c>
      <c r="R24" s="410"/>
    </row>
    <row r="25" customFormat="false" ht="12.75" hidden="false" customHeight="false" outlineLevel="0" collapsed="false">
      <c r="A25" s="394"/>
      <c r="B25" s="194" t="str">
        <f aca="false">'Plant Configuration'!C28</f>
        <v>Control Room Operators</v>
      </c>
      <c r="C25" s="402" t="n">
        <v>0</v>
      </c>
      <c r="D25" s="403" t="n">
        <f aca="false">IF('O&amp;M Backup_Detail'!$O$7=6,0,HLOOKUP('O&amp;M Backup_Detail'!$D$5,Plant_Configuration,'Plant Configuration'!A28,FALSE()))+IF('O&amp;M Backup_Detail'!$R$7=6,0,HLOOKUP('O&amp;M Backup_Detail'!$E$5,Plant_Configuration,'Plant Configuration'!A28,FALSE()))+IF('O&amp;M Backup_Detail'!$U$7=6,0,HLOOKUP('O&amp;M Backup_Detail'!$F$5,Plant_Configuration,'Plant Configuration'!A28,FALSE()))</f>
        <v>0</v>
      </c>
      <c r="E25" s="404" t="n">
        <f aca="false">IF(C25&gt;0,12,0)</f>
        <v>0</v>
      </c>
      <c r="F25" s="404" t="n">
        <f aca="false">IF(D25&gt;0,12,0)</f>
        <v>0</v>
      </c>
      <c r="G25" s="405" t="n">
        <f aca="false">C25*E25/12+D25*F25/12</f>
        <v>0</v>
      </c>
      <c r="H25" s="406" t="n">
        <f aca="false">IF(D25&gt;0,HLOOKUP($C$5,Labor_Salary,'Labor_ Lookup'!A23,FALSE()),0)</f>
        <v>0</v>
      </c>
      <c r="I25" s="407" t="n">
        <v>0.15</v>
      </c>
      <c r="J25" s="407" t="n">
        <v>0.702</v>
      </c>
      <c r="K25" s="407" t="n">
        <v>0.531</v>
      </c>
      <c r="L25" s="397" t="n">
        <f aca="false">(C25*($H25+($H25*$I25)+($H25*$J25)+($H25*$I25*$K25))*E25/12)</f>
        <v>0</v>
      </c>
      <c r="M25" s="398" t="n">
        <f aca="false">(D25*($H25+($H25*$I25)+($H25*$J25)+($H25*$I25*$K25))*F25/12)</f>
        <v>0</v>
      </c>
      <c r="Q25" s="399" t="n">
        <f aca="false">Q24+1</f>
        <v>18</v>
      </c>
      <c r="R25" s="410"/>
    </row>
    <row r="26" customFormat="false" ht="12.75" hidden="false" customHeight="false" outlineLevel="0" collapsed="false">
      <c r="A26" s="394"/>
      <c r="B26" s="194" t="str">
        <f aca="false">'Plant Configuration'!C29</f>
        <v>Turbine Operators</v>
      </c>
      <c r="C26" s="402" t="n">
        <v>0</v>
      </c>
      <c r="D26" s="403" t="n">
        <f aca="false">IF('O&amp;M Backup_Detail'!$O$7=6,0,HLOOKUP('O&amp;M Backup_Detail'!$D$5,Plant_Configuration,'Plant Configuration'!A29,FALSE()))+IF('O&amp;M Backup_Detail'!$R$7=6,0,HLOOKUP('O&amp;M Backup_Detail'!$E$5,Plant_Configuration,'Plant Configuration'!A29,FALSE()))+IF('O&amp;M Backup_Detail'!$U$7=6,0,HLOOKUP('O&amp;M Backup_Detail'!$F$5,Plant_Configuration,'Plant Configuration'!A29,FALSE()))</f>
        <v>0</v>
      </c>
      <c r="E26" s="404" t="n">
        <f aca="false">IF(C26&gt;0,12,0)</f>
        <v>0</v>
      </c>
      <c r="F26" s="404" t="n">
        <f aca="false">IF(D26&gt;0,12,0)</f>
        <v>0</v>
      </c>
      <c r="G26" s="405" t="n">
        <f aca="false">C26*E26/12+D26*F26/12</f>
        <v>0</v>
      </c>
      <c r="H26" s="406" t="n">
        <f aca="false">IF(D26&gt;0,HLOOKUP($C$5,Labor_Salary,'Labor_ Lookup'!A24,FALSE()),0)</f>
        <v>0</v>
      </c>
      <c r="I26" s="407" t="n">
        <v>0.15</v>
      </c>
      <c r="J26" s="407" t="n">
        <v>0.702</v>
      </c>
      <c r="K26" s="407" t="n">
        <v>0.531</v>
      </c>
      <c r="L26" s="397" t="n">
        <f aca="false">(C26*($H26+($H26*$I26)+($H26*$J26)+($H26*$I26*$K26))*E26/12)</f>
        <v>0</v>
      </c>
      <c r="M26" s="398" t="n">
        <f aca="false">(D26*($H26+($H26*$I26)+($H26*$J26)+($H26*$I26*$K26))*F26/12)</f>
        <v>0</v>
      </c>
      <c r="Q26" s="399" t="n">
        <f aca="false">Q25+1</f>
        <v>19</v>
      </c>
      <c r="R26" s="410"/>
    </row>
    <row r="27" customFormat="false" ht="13.5" hidden="false" customHeight="false" outlineLevel="0" collapsed="false">
      <c r="A27" s="394"/>
      <c r="B27" s="194" t="str">
        <f aca="false">'Plant Configuration'!C30</f>
        <v>Water System Opertors</v>
      </c>
      <c r="C27" s="402" t="n">
        <v>0</v>
      </c>
      <c r="D27" s="403" t="n">
        <f aca="false">IF('O&amp;M Backup_Detail'!$O$7=6,0,HLOOKUP('O&amp;M Backup_Detail'!$D$5,Plant_Configuration,'Plant Configuration'!A30,FALSE()))+IF('O&amp;M Backup_Detail'!$R$7=6,0,HLOOKUP('O&amp;M Backup_Detail'!$E$5,Plant_Configuration,'Plant Configuration'!A30,FALSE()))+IF('O&amp;M Backup_Detail'!$U$7=6,0,HLOOKUP('O&amp;M Backup_Detail'!$F$5,Plant_Configuration,'Plant Configuration'!A30,FALSE()))</f>
        <v>0</v>
      </c>
      <c r="E27" s="404" t="n">
        <f aca="false">IF(C27&gt;0,12,0)</f>
        <v>0</v>
      </c>
      <c r="F27" s="404" t="n">
        <f aca="false">IF(D27&gt;0,12,0)</f>
        <v>0</v>
      </c>
      <c r="G27" s="405" t="n">
        <f aca="false">C27*E27/12+D27*F27/12</f>
        <v>0</v>
      </c>
      <c r="H27" s="406" t="n">
        <f aca="false">IF(D27&gt;0,HLOOKUP($C$5,Labor_Salary,'Labor_ Lookup'!A25,FALSE()),0)</f>
        <v>0</v>
      </c>
      <c r="I27" s="407" t="n">
        <v>0.15</v>
      </c>
      <c r="J27" s="407" t="n">
        <v>0.702</v>
      </c>
      <c r="K27" s="407" t="n">
        <v>0.531</v>
      </c>
      <c r="L27" s="397" t="n">
        <f aca="false">(C27*($H27+($H27*$I27)+($H27*$J27)+($H27*$I27*$K27))*E27/12)</f>
        <v>0</v>
      </c>
      <c r="M27" s="398" t="n">
        <f aca="false">(D27*($H27+($H27*$I27)+($H27*$J27)+($H27*$I27*$K27))*F27/12)</f>
        <v>0</v>
      </c>
      <c r="Q27" s="411" t="n">
        <f aca="false">Q26+1</f>
        <v>20</v>
      </c>
      <c r="R27" s="412"/>
    </row>
    <row r="28" customFormat="false" ht="12.75" hidden="false" customHeight="false" outlineLevel="0" collapsed="false">
      <c r="A28" s="394"/>
      <c r="B28" s="194" t="str">
        <f aca="false">'Plant Configuration'!C31</f>
        <v>Fuel Storage/Handling Operators</v>
      </c>
      <c r="C28" s="402" t="n">
        <v>0</v>
      </c>
      <c r="D28" s="403" t="n">
        <f aca="false">IF('O&amp;M Backup_Detail'!$O$7=6,0,HLOOKUP('O&amp;M Backup_Detail'!$D$5,Plant_Configuration,'Plant Configuration'!A31,FALSE()))+IF('O&amp;M Backup_Detail'!$R$7=6,0,HLOOKUP('O&amp;M Backup_Detail'!$E$5,Plant_Configuration,'Plant Configuration'!A31,FALSE()))+IF('O&amp;M Backup_Detail'!$U$7=6,0,HLOOKUP('O&amp;M Backup_Detail'!$F$5,Plant_Configuration,'Plant Configuration'!A31,FALSE()))</f>
        <v>0</v>
      </c>
      <c r="E28" s="404" t="n">
        <f aca="false">IF(C28&gt;0,12,0)</f>
        <v>0</v>
      </c>
      <c r="F28" s="404" t="n">
        <f aca="false">IF(D28&gt;0,12,0)</f>
        <v>0</v>
      </c>
      <c r="G28" s="405" t="n">
        <f aca="false">C28*E28/12+D28*F28/12</f>
        <v>0</v>
      </c>
      <c r="H28" s="406" t="n">
        <f aca="false">IF(D28&gt;0,HLOOKUP($C$5,Labor_Salary,'Labor_ Lookup'!A26,FALSE()),0)</f>
        <v>0</v>
      </c>
      <c r="I28" s="407" t="n">
        <v>0.15</v>
      </c>
      <c r="J28" s="407" t="n">
        <v>0.702</v>
      </c>
      <c r="K28" s="407" t="n">
        <v>0.531</v>
      </c>
      <c r="L28" s="397" t="n">
        <f aca="false">(C28*($H28+($H28*$I28)+($H28*$J28)+($H28*$I28*$K28))*E28/12)</f>
        <v>0</v>
      </c>
      <c r="M28" s="398" t="n">
        <f aca="false">(D28*($H28+($H28*$I28)+($H28*$J28)+($H28*$I28*$K28))*F28/12)</f>
        <v>0</v>
      </c>
    </row>
    <row r="29" customFormat="false" ht="12.75" hidden="false" customHeight="false" outlineLevel="0" collapsed="false">
      <c r="A29" s="394"/>
      <c r="B29" s="194" t="str">
        <f aca="false">'Plant Configuration'!C32</f>
        <v>Utility Operators</v>
      </c>
      <c r="C29" s="402" t="n">
        <v>0</v>
      </c>
      <c r="D29" s="403" t="n">
        <f aca="false">IF('O&amp;M Backup_Detail'!$O$7=6,0,HLOOKUP('O&amp;M Backup_Detail'!$D$5,Plant_Configuration,'Plant Configuration'!A32,FALSE()))+IF('O&amp;M Backup_Detail'!$R$7=6,0,HLOOKUP('O&amp;M Backup_Detail'!$E$5,Plant_Configuration,'Plant Configuration'!A32,FALSE()))+IF('O&amp;M Backup_Detail'!$U$7=6,0,HLOOKUP('O&amp;M Backup_Detail'!$F$5,Plant_Configuration,'Plant Configuration'!A32,FALSE()))</f>
        <v>0</v>
      </c>
      <c r="E29" s="404" t="n">
        <f aca="false">IF(C29&gt;0,12,0)</f>
        <v>0</v>
      </c>
      <c r="F29" s="404" t="n">
        <f aca="false">IF(D29&gt;0,12,0)</f>
        <v>0</v>
      </c>
      <c r="G29" s="405" t="n">
        <f aca="false">C29*E29/12+D29*F29/12</f>
        <v>0</v>
      </c>
      <c r="H29" s="406" t="n">
        <f aca="false">IF(D29&gt;0,HLOOKUP($C$5,Labor_Salary,'Labor_ Lookup'!A27,FALSE()),0)</f>
        <v>0</v>
      </c>
      <c r="I29" s="407" t="n">
        <v>0.15</v>
      </c>
      <c r="J29" s="407" t="n">
        <v>0.702</v>
      </c>
      <c r="K29" s="407" t="n">
        <v>0.531</v>
      </c>
      <c r="L29" s="397" t="n">
        <f aca="false">(C29*($H29+($H29*$I29)+($H29*$J29)+($H29*$I29*$K29))*E29/12)</f>
        <v>0</v>
      </c>
      <c r="M29" s="398" t="n">
        <f aca="false">(D29*($H29+($H29*$I29)+($H29*$J29)+($H29*$I29*$K29))*F29/12)</f>
        <v>0</v>
      </c>
    </row>
    <row r="30" customFormat="false" ht="12.75" hidden="false" customHeight="false" outlineLevel="0" collapsed="false">
      <c r="A30" s="394"/>
      <c r="B30" s="194" t="str">
        <f aca="false">'Plant Configuration'!C33</f>
        <v>Chemist</v>
      </c>
      <c r="C30" s="402" t="n">
        <v>0</v>
      </c>
      <c r="D30" s="403" t="n">
        <f aca="false">IF('O&amp;M Backup_Detail'!$O$7=6,0,HLOOKUP('O&amp;M Backup_Detail'!$D$5,Plant_Configuration,'Plant Configuration'!A33,FALSE()))+IF('O&amp;M Backup_Detail'!$R$7=6,0,HLOOKUP('O&amp;M Backup_Detail'!$E$5,Plant_Configuration,'Plant Configuration'!A33,FALSE()))+IF('O&amp;M Backup_Detail'!$U$7=6,0,HLOOKUP('O&amp;M Backup_Detail'!$F$5,Plant_Configuration,'Plant Configuration'!A33,FALSE()))</f>
        <v>0</v>
      </c>
      <c r="E30" s="404" t="n">
        <f aca="false">IF(C30&gt;0,12,0)</f>
        <v>0</v>
      </c>
      <c r="F30" s="404" t="n">
        <f aca="false">IF(D30&gt;0,12,0)</f>
        <v>0</v>
      </c>
      <c r="G30" s="405" t="n">
        <f aca="false">C30*E30/12+D30*F30/12</f>
        <v>0</v>
      </c>
      <c r="H30" s="406" t="n">
        <f aca="false">IF(D30&gt;0,HLOOKUP($C$5,Labor_Salary,'Labor_ Lookup'!A28,FALSE()),0)</f>
        <v>0</v>
      </c>
      <c r="I30" s="407" t="n">
        <v>0.15</v>
      </c>
      <c r="J30" s="407" t="n">
        <v>0.702</v>
      </c>
      <c r="K30" s="407" t="n">
        <v>0.531</v>
      </c>
      <c r="L30" s="397" t="n">
        <f aca="false">(C30*($H30+($H30*$I30)+($H30*$J30)+($H30*$I30*$K30))*E30/12)</f>
        <v>0</v>
      </c>
      <c r="M30" s="398" t="n">
        <f aca="false">(D30*($H30+($H30*$I30)+($H30*$J30)+($H30*$I30*$K30))*F30/12)</f>
        <v>0</v>
      </c>
    </row>
    <row r="31" customFormat="false" ht="12.75" hidden="false" customHeight="false" outlineLevel="0" collapsed="false">
      <c r="A31" s="394"/>
      <c r="B31" s="194" t="str">
        <f aca="false">'Plant Configuration'!C34</f>
        <v>Tech III</v>
      </c>
      <c r="C31" s="402" t="n">
        <v>0</v>
      </c>
      <c r="D31" s="403" t="n">
        <f aca="false">IF('O&amp;M Backup_Detail'!$O$7=6,0,HLOOKUP('O&amp;M Backup_Detail'!$D$5,Plant_Configuration,'Plant Configuration'!A34,FALSE()))+IF('O&amp;M Backup_Detail'!$R$7=6,0,HLOOKUP('O&amp;M Backup_Detail'!$E$5,Plant_Configuration,'Plant Configuration'!A34,FALSE()))+IF('O&amp;M Backup_Detail'!$U$7=6,0,HLOOKUP('O&amp;M Backup_Detail'!$F$5,Plant_Configuration,'Plant Configuration'!A34,FALSE()))</f>
        <v>4</v>
      </c>
      <c r="E31" s="404" t="n">
        <f aca="false">IF(C31&gt;0,12,0)</f>
        <v>0</v>
      </c>
      <c r="F31" s="404" t="n">
        <f aca="false">IF(D31&gt;0,12,0)</f>
        <v>12</v>
      </c>
      <c r="G31" s="405" t="n">
        <f aca="false">C31*E31/12+D31*F31/12</f>
        <v>4</v>
      </c>
      <c r="H31" s="406" t="n">
        <f aca="false">IF(D31&gt;0,HLOOKUP($C$5,Labor_Salary,'Labor_ Lookup'!A29,FALSE()),0)</f>
        <v>52000</v>
      </c>
      <c r="I31" s="407" t="n">
        <v>0.15</v>
      </c>
      <c r="J31" s="407" t="n">
        <v>0.702</v>
      </c>
      <c r="K31" s="407" t="n">
        <v>0.531</v>
      </c>
      <c r="L31" s="397" t="n">
        <f aca="false">(C31*($H31+($H31*$I31)+($H31*$J31)+($H31*$I31*$K31))*E31/12)</f>
        <v>0</v>
      </c>
      <c r="M31" s="398" t="n">
        <f aca="false">(D31*($H31+($H31*$I31)+($H31*$J31)+($H31*$I31*$K31))*F31/12)</f>
        <v>401783.2</v>
      </c>
    </row>
    <row r="32" customFormat="false" ht="12.75" hidden="false" customHeight="false" outlineLevel="0" collapsed="false">
      <c r="A32" s="394"/>
      <c r="B32" s="194" t="str">
        <f aca="false">'Plant Configuration'!C35</f>
        <v>Tech II</v>
      </c>
      <c r="C32" s="402" t="n">
        <v>0</v>
      </c>
      <c r="D32" s="403" t="n">
        <f aca="false">IF('O&amp;M Backup_Detail'!$O$7=6,0,HLOOKUP('O&amp;M Backup_Detail'!$D$5,Plant_Configuration,'Plant Configuration'!A35,FALSE()))+IF('O&amp;M Backup_Detail'!$R$7=6,0,HLOOKUP('O&amp;M Backup_Detail'!$E$5,Plant_Configuration,'Plant Configuration'!A35,FALSE()))+IF('O&amp;M Backup_Detail'!$U$7=6,0,HLOOKUP('O&amp;M Backup_Detail'!$F$5,Plant_Configuration,'Plant Configuration'!A35,FALSE()))</f>
        <v>4</v>
      </c>
      <c r="E32" s="404" t="n">
        <f aca="false">IF(C32&gt;0,12,0)</f>
        <v>0</v>
      </c>
      <c r="F32" s="404" t="n">
        <f aca="false">IF(D32&gt;0,12,0)</f>
        <v>12</v>
      </c>
      <c r="G32" s="405" t="n">
        <f aca="false">C32*E32/12+D32*F32/12</f>
        <v>4</v>
      </c>
      <c r="H32" s="406" t="n">
        <f aca="false">IF(D32&gt;0,HLOOKUP($C$5,Labor_Salary,'Labor_ Lookup'!A30,FALSE()),0)</f>
        <v>45760</v>
      </c>
      <c r="I32" s="407" t="n">
        <v>0.15</v>
      </c>
      <c r="J32" s="407" t="n">
        <v>0.702</v>
      </c>
      <c r="K32" s="407" t="n">
        <v>0.531</v>
      </c>
      <c r="L32" s="397" t="n">
        <f aca="false">(C32*($H32+($H32*$I32)+($H32*$J32)+($H32*$I32*$K32))*E32/12)</f>
        <v>0</v>
      </c>
      <c r="M32" s="398" t="n">
        <f aca="false">(D32*($H32+($H32*$I32)+($H32*$J32)+($H32*$I32*$K32))*F32/12)</f>
        <v>353569.216</v>
      </c>
    </row>
    <row r="33" customFormat="false" ht="12.75" hidden="false" customHeight="false" outlineLevel="0" collapsed="false">
      <c r="A33" s="394"/>
      <c r="B33" s="194" t="str">
        <f aca="false">'Plant Configuration'!C36</f>
        <v>Other</v>
      </c>
      <c r="C33" s="402" t="n">
        <v>0</v>
      </c>
      <c r="D33" s="403" t="n">
        <f aca="false">IF('O&amp;M Backup_Detail'!$O$7=6,0,HLOOKUP('O&amp;M Backup_Detail'!$D$5,Plant_Configuration,'Plant Configuration'!A36,FALSE()))+IF('O&amp;M Backup_Detail'!$R$7=6,0,HLOOKUP('O&amp;M Backup_Detail'!$E$5,Plant_Configuration,'Plant Configuration'!A36,FALSE()))+IF('O&amp;M Backup_Detail'!$U$7=6,0,HLOOKUP('O&amp;M Backup_Detail'!$F$5,Plant_Configuration,'Plant Configuration'!A36,FALSE()))</f>
        <v>0</v>
      </c>
      <c r="E33" s="404" t="n">
        <f aca="false">IF(C33&gt;0,12,0)</f>
        <v>0</v>
      </c>
      <c r="F33" s="404" t="n">
        <f aca="false">IF(D33&gt;0,12,0)</f>
        <v>0</v>
      </c>
      <c r="G33" s="405" t="n">
        <f aca="false">C33*E33/12+D33*F33/12</f>
        <v>0</v>
      </c>
      <c r="H33" s="406" t="n">
        <f aca="false">IF(D33&gt;0,HLOOKUP($C$5,Labor_Salary,'Labor_ Lookup'!A31,FALSE()),0)</f>
        <v>0</v>
      </c>
      <c r="I33" s="407" t="n">
        <v>0.15</v>
      </c>
      <c r="J33" s="407" t="n">
        <v>0.702</v>
      </c>
      <c r="K33" s="407" t="n">
        <v>0.531</v>
      </c>
      <c r="L33" s="397" t="n">
        <f aca="false">(C33*($H33+($H33*$I33)+($H33*$J33)+($H33*$I33*$K33))*E33/12)</f>
        <v>0</v>
      </c>
      <c r="M33" s="398" t="n">
        <f aca="false">(D33*($H33+($H33*$I33)+($H33*$J33)+($H33*$I33*$K33))*F33/12)</f>
        <v>0</v>
      </c>
    </row>
    <row r="34" customFormat="false" ht="12.75" hidden="false" customHeight="false" outlineLevel="0" collapsed="false">
      <c r="A34" s="394"/>
      <c r="B34" s="408"/>
      <c r="C34" s="402"/>
      <c r="D34" s="404"/>
      <c r="E34" s="404"/>
      <c r="F34" s="404"/>
      <c r="G34" s="405"/>
      <c r="H34" s="406"/>
      <c r="I34" s="409"/>
      <c r="J34" s="409"/>
      <c r="K34" s="409"/>
      <c r="L34" s="397"/>
      <c r="M34" s="398"/>
    </row>
    <row r="35" customFormat="false" ht="12.75" hidden="false" customHeight="false" outlineLevel="0" collapsed="false">
      <c r="A35" s="401" t="s">
        <v>212</v>
      </c>
      <c r="B35" s="408"/>
      <c r="C35" s="402"/>
      <c r="D35" s="404"/>
      <c r="E35" s="404"/>
      <c r="F35" s="404"/>
      <c r="G35" s="405"/>
      <c r="H35" s="406"/>
      <c r="I35" s="409"/>
      <c r="J35" s="409"/>
      <c r="K35" s="409"/>
      <c r="L35" s="397"/>
      <c r="M35" s="398"/>
    </row>
    <row r="36" customFormat="false" ht="12.75" hidden="false" customHeight="false" outlineLevel="0" collapsed="false">
      <c r="A36" s="394"/>
      <c r="B36" s="194" t="str">
        <f aca="false">'Plant Configuration'!C39</f>
        <v>Maintenance Manager</v>
      </c>
      <c r="C36" s="402" t="n">
        <v>0</v>
      </c>
      <c r="D36" s="403" t="n">
        <f aca="false">IF('O&amp;M Backup_Detail'!$O$7=6,0,HLOOKUP('O&amp;M Backup_Detail'!$D$5,Plant_Configuration,'Plant Configuration'!A39,FALSE()))+IF('O&amp;M Backup_Detail'!$R$7=6,0,HLOOKUP('O&amp;M Backup_Detail'!$E$5,Plant_Configuration,'Plant Configuration'!A39,FALSE()))+IF('O&amp;M Backup_Detail'!$U$7=6,0,HLOOKUP('O&amp;M Backup_Detail'!$F$5,Plant_Configuration,'Plant Configuration'!A39,FALSE()))</f>
        <v>1</v>
      </c>
      <c r="E36" s="404" t="n">
        <f aca="false">IF(C36&gt;0,12,0)</f>
        <v>0</v>
      </c>
      <c r="F36" s="404" t="n">
        <f aca="false">IF(D36&gt;0,12,0)</f>
        <v>12</v>
      </c>
      <c r="G36" s="405" t="n">
        <f aca="false">C36*E36/12+D36*F36/12</f>
        <v>1</v>
      </c>
      <c r="H36" s="406" t="n">
        <f aca="false">IF(D36&gt;0,HLOOKUP($C$5,Labor_Salary,'Labor_ Lookup'!A34,FALSE()),0)</f>
        <v>65000</v>
      </c>
      <c r="I36" s="407" t="n">
        <v>0</v>
      </c>
      <c r="J36" s="407" t="n">
        <v>0.702</v>
      </c>
      <c r="K36" s="407" t="n">
        <v>0.531</v>
      </c>
      <c r="L36" s="397" t="n">
        <f aca="false">(C36*($H36+($H36*$I36)+($H36*$J36)+($H36*$I36*$K36))*E36/12)</f>
        <v>0</v>
      </c>
      <c r="M36" s="398" t="n">
        <f aca="false">(D36*($H36+($H36*$I36)+($H36*$J36)+($H36*$I36*$K36))*F36/12)</f>
        <v>110630</v>
      </c>
    </row>
    <row r="37" customFormat="false" ht="12.75" hidden="false" customHeight="false" outlineLevel="0" collapsed="false">
      <c r="A37" s="394"/>
      <c r="B37" s="194" t="str">
        <f aca="false">'Plant Configuration'!C40</f>
        <v>Mechanical Engineer</v>
      </c>
      <c r="C37" s="402" t="n">
        <v>0</v>
      </c>
      <c r="D37" s="403" t="n">
        <f aca="false">IF('O&amp;M Backup_Detail'!$O$7=6,0,HLOOKUP('O&amp;M Backup_Detail'!$D$5,Plant_Configuration,'Plant Configuration'!A40,FALSE()))+IF('O&amp;M Backup_Detail'!$R$7=6,0,HLOOKUP('O&amp;M Backup_Detail'!$E$5,Plant_Configuration,'Plant Configuration'!A40,FALSE()))+IF('O&amp;M Backup_Detail'!$U$7=6,0,HLOOKUP('O&amp;M Backup_Detail'!$F$5,Plant_Configuration,'Plant Configuration'!A40,FALSE()))</f>
        <v>0</v>
      </c>
      <c r="E37" s="404" t="n">
        <f aca="false">IF(C37&gt;0,12,0)</f>
        <v>0</v>
      </c>
      <c r="F37" s="404" t="n">
        <f aca="false">IF(D37&gt;0,12,0)</f>
        <v>0</v>
      </c>
      <c r="G37" s="405" t="n">
        <f aca="false">C37*E37/12+D37*F37/12</f>
        <v>0</v>
      </c>
      <c r="H37" s="406" t="n">
        <f aca="false">IF(D37&gt;0,HLOOKUP($C$5,Labor_Salary,'Labor_ Lookup'!A35,FALSE()),0)</f>
        <v>0</v>
      </c>
      <c r="I37" s="407" t="n">
        <v>0</v>
      </c>
      <c r="J37" s="407" t="n">
        <v>0.702</v>
      </c>
      <c r="K37" s="407" t="n">
        <v>0.531</v>
      </c>
      <c r="L37" s="397" t="n">
        <f aca="false">(C37*($H37+($H37*$I37)+($H37*$J37)+($H37*$I37*$K37))*E37/12)</f>
        <v>0</v>
      </c>
      <c r="M37" s="398" t="n">
        <f aca="false">(D37*($H37+($H37*$I37)+($H37*$J37)+($H37*$I37*$K37))*F37/12)</f>
        <v>0</v>
      </c>
    </row>
    <row r="38" customFormat="false" ht="12.75" hidden="false" customHeight="false" outlineLevel="0" collapsed="false">
      <c r="A38" s="394"/>
      <c r="B38" s="194" t="str">
        <f aca="false">'Plant Configuration'!C41</f>
        <v>Maintenance Planner</v>
      </c>
      <c r="C38" s="402" t="n">
        <v>0</v>
      </c>
      <c r="D38" s="403" t="n">
        <f aca="false">IF('O&amp;M Backup_Detail'!$O$7=6,0,HLOOKUP('O&amp;M Backup_Detail'!$D$5,Plant_Configuration,'Plant Configuration'!A41,FALSE()))+IF('O&amp;M Backup_Detail'!$R$7=6,0,HLOOKUP('O&amp;M Backup_Detail'!$E$5,Plant_Configuration,'Plant Configuration'!A41,FALSE()))+IF('O&amp;M Backup_Detail'!$U$7=6,0,HLOOKUP('O&amp;M Backup_Detail'!$F$5,Plant_Configuration,'Plant Configuration'!A41,FALSE()))</f>
        <v>0</v>
      </c>
      <c r="E38" s="404" t="n">
        <f aca="false">IF(C38&gt;0,12,0)</f>
        <v>0</v>
      </c>
      <c r="F38" s="404" t="n">
        <f aca="false">IF(D38&gt;0,12,0)</f>
        <v>0</v>
      </c>
      <c r="G38" s="405" t="n">
        <f aca="false">C38*E38/12+D38*F38/12</f>
        <v>0</v>
      </c>
      <c r="H38" s="406" t="n">
        <f aca="false">IF(D38&gt;0,HLOOKUP($C$5,Labor_Salary,'Labor_ Lookup'!A36,FALSE()),0)</f>
        <v>0</v>
      </c>
      <c r="I38" s="407" t="n">
        <v>0.15</v>
      </c>
      <c r="J38" s="407" t="n">
        <v>0.702</v>
      </c>
      <c r="K38" s="407" t="n">
        <v>0.531</v>
      </c>
      <c r="L38" s="397" t="n">
        <f aca="false">(C38*($H38+($H38*$I38)+($H38*$J38)+($H38*$I38*$K38))*E38/12)</f>
        <v>0</v>
      </c>
      <c r="M38" s="398" t="n">
        <f aca="false">(D38*($H38+($H38*$I38)+($H38*$J38)+($H38*$I38*$K38))*F38/12)</f>
        <v>0</v>
      </c>
    </row>
    <row r="39" customFormat="false" ht="12.75" hidden="false" customHeight="false" outlineLevel="0" collapsed="false">
      <c r="A39" s="394"/>
      <c r="B39" s="194" t="str">
        <f aca="false">'Plant Configuration'!C42</f>
        <v>Mechanic</v>
      </c>
      <c r="C39" s="402" t="n">
        <v>0</v>
      </c>
      <c r="D39" s="403" t="n">
        <f aca="false">IF('O&amp;M Backup_Detail'!$O$7=6,0,HLOOKUP('O&amp;M Backup_Detail'!$D$5,Plant_Configuration,'Plant Configuration'!A42,FALSE()))+IF('O&amp;M Backup_Detail'!$R$7=6,0,HLOOKUP('O&amp;M Backup_Detail'!$E$5,Plant_Configuration,'Plant Configuration'!A42,FALSE()))+IF('O&amp;M Backup_Detail'!$U$7=6,0,HLOOKUP('O&amp;M Backup_Detail'!$F$5,Plant_Configuration,'Plant Configuration'!A42,FALSE()))</f>
        <v>1</v>
      </c>
      <c r="E39" s="404" t="n">
        <f aca="false">IF(C39&gt;0,12,0)</f>
        <v>0</v>
      </c>
      <c r="F39" s="404" t="n">
        <f aca="false">IF(D39&gt;0,12,0)</f>
        <v>12</v>
      </c>
      <c r="G39" s="405" t="n">
        <f aca="false">C39*E39/12+D39*F39/12</f>
        <v>1</v>
      </c>
      <c r="H39" s="406" t="n">
        <f aca="false">IF(D39&gt;0,HLOOKUP($C$5,Labor_Salary,'Labor_ Lookup'!A37,FALSE()),0)</f>
        <v>38000</v>
      </c>
      <c r="I39" s="407" t="n">
        <v>0.15</v>
      </c>
      <c r="J39" s="407" t="n">
        <v>0.702</v>
      </c>
      <c r="K39" s="407" t="n">
        <v>0.531</v>
      </c>
      <c r="L39" s="397" t="n">
        <f aca="false">(C39*($H39+($H39*$I39)+($H39*$J39)+($H39*$I39*$K39))*E39/12)</f>
        <v>0</v>
      </c>
      <c r="M39" s="398" t="n">
        <f aca="false">(D39*($H39+($H39*$I39)+($H39*$J39)+($H39*$I39*$K39))*F39/12)</f>
        <v>73402.7</v>
      </c>
    </row>
    <row r="40" customFormat="false" ht="12.75" hidden="false" customHeight="false" outlineLevel="0" collapsed="false">
      <c r="A40" s="394"/>
      <c r="B40" s="194" t="str">
        <f aca="false">'Plant Configuration'!C43</f>
        <v>I&amp;C Engineer</v>
      </c>
      <c r="C40" s="402" t="n">
        <v>0</v>
      </c>
      <c r="D40" s="403" t="n">
        <f aca="false">IF('O&amp;M Backup_Detail'!$O$7=6,0,HLOOKUP('O&amp;M Backup_Detail'!$D$5,Plant_Configuration,'Plant Configuration'!A43,FALSE()))+IF('O&amp;M Backup_Detail'!$R$7=6,0,HLOOKUP('O&amp;M Backup_Detail'!$E$5,Plant_Configuration,'Plant Configuration'!A43,FALSE()))+IF('O&amp;M Backup_Detail'!$U$7=6,0,HLOOKUP('O&amp;M Backup_Detail'!$F$5,Plant_Configuration,'Plant Configuration'!A43,FALSE()))</f>
        <v>0</v>
      </c>
      <c r="E40" s="404" t="n">
        <f aca="false">IF(C40&gt;0,12,0)</f>
        <v>0</v>
      </c>
      <c r="F40" s="404" t="n">
        <f aca="false">IF(D40&gt;0,12,0)</f>
        <v>0</v>
      </c>
      <c r="G40" s="405" t="n">
        <f aca="false">C40*E40/12+D40*F40/12</f>
        <v>0</v>
      </c>
      <c r="H40" s="406" t="n">
        <f aca="false">IF(D40&gt;0,HLOOKUP($C$5,Labor_Salary,'Labor_ Lookup'!A38,FALSE()),0)</f>
        <v>0</v>
      </c>
      <c r="I40" s="407" t="n">
        <v>0.15</v>
      </c>
      <c r="J40" s="407" t="n">
        <v>0.702</v>
      </c>
      <c r="K40" s="407" t="n">
        <v>0.531</v>
      </c>
      <c r="L40" s="397" t="n">
        <f aca="false">(C40*($H40+($H40*$I40)+($H40*$J40)+($H40*$I40*$K40))*E40/12)</f>
        <v>0</v>
      </c>
      <c r="M40" s="398" t="n">
        <f aca="false">(D40*($H40+($H40*$I40)+($H40*$J40)+($H40*$I40*$K40))*F40/12)</f>
        <v>0</v>
      </c>
    </row>
    <row r="41" customFormat="false" ht="12.75" hidden="false" customHeight="false" outlineLevel="0" collapsed="false">
      <c r="A41" s="394"/>
      <c r="B41" s="194" t="str">
        <f aca="false">'Plant Configuration'!C44</f>
        <v>I&amp;C Technician</v>
      </c>
      <c r="C41" s="402" t="n">
        <v>0</v>
      </c>
      <c r="D41" s="403" t="n">
        <f aca="false">IF('O&amp;M Backup_Detail'!$O$7=6,0,HLOOKUP('O&amp;M Backup_Detail'!$D$5,Plant_Configuration,'Plant Configuration'!A44,FALSE()))+IF('O&amp;M Backup_Detail'!$R$7=6,0,HLOOKUP('O&amp;M Backup_Detail'!$E$5,Plant_Configuration,'Plant Configuration'!A44,FALSE()))+IF('O&amp;M Backup_Detail'!$U$7=6,0,HLOOKUP('O&amp;M Backup_Detail'!$F$5,Plant_Configuration,'Plant Configuration'!A44,FALSE()))</f>
        <v>1</v>
      </c>
      <c r="E41" s="404" t="n">
        <f aca="false">IF(C41&gt;0,12,0)</f>
        <v>0</v>
      </c>
      <c r="F41" s="404" t="n">
        <f aca="false">IF(D41&gt;0,12,0)</f>
        <v>12</v>
      </c>
      <c r="G41" s="405" t="n">
        <f aca="false">C41*E41/12+D41*F41/12</f>
        <v>1</v>
      </c>
      <c r="H41" s="406" t="n">
        <f aca="false">IF(D41&gt;0,HLOOKUP($C$5,Labor_Salary,'Labor_ Lookup'!A39,FALSE()),0)</f>
        <v>55000</v>
      </c>
      <c r="I41" s="407" t="n">
        <v>0.15</v>
      </c>
      <c r="J41" s="407" t="n">
        <v>0.702</v>
      </c>
      <c r="K41" s="407" t="n">
        <v>0.531</v>
      </c>
      <c r="L41" s="397" t="n">
        <f aca="false">(C41*($H41+($H41*$I41)+($H41*$J41)+($H41*$I41*$K41))*E41/12)</f>
        <v>0</v>
      </c>
      <c r="M41" s="398" t="n">
        <f aca="false">(D41*($H41+($H41*$I41)+($H41*$J41)+($H41*$I41*$K41))*F41/12)</f>
        <v>106240.75</v>
      </c>
    </row>
    <row r="42" customFormat="false" ht="12.75" hidden="false" customHeight="false" outlineLevel="0" collapsed="false">
      <c r="A42" s="394"/>
      <c r="B42" s="194" t="str">
        <f aca="false">'Plant Configuration'!C45</f>
        <v>Electrical Technician</v>
      </c>
      <c r="C42" s="402" t="n">
        <v>0</v>
      </c>
      <c r="D42" s="403" t="n">
        <f aca="false">IF('O&amp;M Backup_Detail'!$O$7=6,0,HLOOKUP('O&amp;M Backup_Detail'!$D$5,Plant_Configuration,'Plant Configuration'!A45,FALSE()))+IF('O&amp;M Backup_Detail'!$R$7=6,0,HLOOKUP('O&amp;M Backup_Detail'!$E$5,Plant_Configuration,'Plant Configuration'!A45,FALSE()))+IF('O&amp;M Backup_Detail'!$U$7=6,0,HLOOKUP('O&amp;M Backup_Detail'!$F$5,Plant_Configuration,'Plant Configuration'!A45,FALSE()))</f>
        <v>1</v>
      </c>
      <c r="E42" s="404" t="n">
        <f aca="false">IF(C42&gt;0,12,0)</f>
        <v>0</v>
      </c>
      <c r="F42" s="404" t="n">
        <f aca="false">IF(D42&gt;0,12,0)</f>
        <v>12</v>
      </c>
      <c r="G42" s="405" t="n">
        <f aca="false">C42*E42/12+D42*F42/12</f>
        <v>1</v>
      </c>
      <c r="H42" s="406" t="n">
        <f aca="false">IF(D42&gt;0,HLOOKUP($C$5,Labor_Salary,'Labor_ Lookup'!A40,FALSE()),0)</f>
        <v>45000</v>
      </c>
      <c r="I42" s="407" t="n">
        <v>0.15</v>
      </c>
      <c r="J42" s="407" t="n">
        <v>0.702</v>
      </c>
      <c r="K42" s="407" t="n">
        <v>0.531</v>
      </c>
      <c r="L42" s="397" t="n">
        <f aca="false">(C42*($H42+($H42*$I42)+($H42*$J42)+($H42*$I42*$K42))*E42/12)</f>
        <v>0</v>
      </c>
      <c r="M42" s="398" t="n">
        <f aca="false">(D42*($H42+($H42*$I42)+($H42*$J42)+($H42*$I42*$K42))*F42/12)</f>
        <v>86924.25</v>
      </c>
    </row>
    <row r="43" customFormat="false" ht="12.75" hidden="false" customHeight="false" outlineLevel="0" collapsed="false">
      <c r="A43" s="394"/>
      <c r="B43" s="194" t="str">
        <f aca="false">'Plant Configuration'!C46</f>
        <v>Other</v>
      </c>
      <c r="C43" s="402" t="n">
        <v>0</v>
      </c>
      <c r="D43" s="403" t="n">
        <f aca="false">IF('O&amp;M Backup_Detail'!$O$7=6,0,HLOOKUP('O&amp;M Backup_Detail'!$D$5,Plant_Configuration,'Plant Configuration'!A46,FALSE()))+IF('O&amp;M Backup_Detail'!$R$7=6,0,HLOOKUP('O&amp;M Backup_Detail'!$E$5,Plant_Configuration,'Plant Configuration'!A46,FALSE()))+IF('O&amp;M Backup_Detail'!$U$7=6,0,HLOOKUP('O&amp;M Backup_Detail'!$F$5,Plant_Configuration,'Plant Configuration'!A46,FALSE()))</f>
        <v>0</v>
      </c>
      <c r="E43" s="404" t="n">
        <f aca="false">IF(C43&gt;0,12,0)</f>
        <v>0</v>
      </c>
      <c r="F43" s="404" t="n">
        <f aca="false">IF(D43&gt;0,12,0)</f>
        <v>0</v>
      </c>
      <c r="G43" s="405" t="n">
        <f aca="false">C43*E43/12+D43*F43/12</f>
        <v>0</v>
      </c>
      <c r="H43" s="406" t="n">
        <f aca="false">IF(D43&gt;0,HLOOKUP($C$5,Labor_Salary,'Labor_ Lookup'!A41,FALSE()),0)</f>
        <v>0</v>
      </c>
      <c r="I43" s="407" t="n">
        <v>0.15</v>
      </c>
      <c r="J43" s="407" t="n">
        <v>0.702</v>
      </c>
      <c r="K43" s="407" t="n">
        <v>0.531</v>
      </c>
      <c r="L43" s="397" t="n">
        <f aca="false">(C43*($H43+($H43*$I43)+($H43*$J43)+($H43*$I43*$K43))*E43/12)</f>
        <v>0</v>
      </c>
      <c r="M43" s="398" t="n">
        <f aca="false">(D43*($H43+($H43*$I43)+($H43*$J43)+($H43*$I43*$K43))*F43/12)</f>
        <v>0</v>
      </c>
    </row>
    <row r="44" customFormat="false" ht="12.75" hidden="false" customHeight="false" outlineLevel="0" collapsed="false">
      <c r="A44" s="394"/>
      <c r="B44" s="194" t="str">
        <f aca="false">'Plant Configuration'!C47</f>
        <v>Other</v>
      </c>
      <c r="C44" s="402" t="n">
        <v>0</v>
      </c>
      <c r="D44" s="403" t="n">
        <f aca="false">IF('O&amp;M Backup_Detail'!$O$7=6,0,HLOOKUP('O&amp;M Backup_Detail'!$D$5,Plant_Configuration,'Plant Configuration'!A47,FALSE()))+IF('O&amp;M Backup_Detail'!$R$7=6,0,HLOOKUP('O&amp;M Backup_Detail'!$E$5,Plant_Configuration,'Plant Configuration'!A47,FALSE()))+IF('O&amp;M Backup_Detail'!$U$7=6,0,HLOOKUP('O&amp;M Backup_Detail'!$F$5,Plant_Configuration,'Plant Configuration'!A47,FALSE()))</f>
        <v>0</v>
      </c>
      <c r="E44" s="404" t="n">
        <f aca="false">IF(C44&gt;0,12,0)</f>
        <v>0</v>
      </c>
      <c r="F44" s="404" t="n">
        <f aca="false">IF(D44&gt;0,12,0)</f>
        <v>0</v>
      </c>
      <c r="G44" s="405" t="n">
        <f aca="false">C44*E44/12+D44*F44/12</f>
        <v>0</v>
      </c>
      <c r="H44" s="406" t="n">
        <f aca="false">IF(D44&gt;0,HLOOKUP($C$5,Labor_Salary,'Labor_ Lookup'!A42,FALSE()),0)</f>
        <v>0</v>
      </c>
      <c r="I44" s="407" t="n">
        <v>0.15</v>
      </c>
      <c r="J44" s="407" t="n">
        <v>0.702</v>
      </c>
      <c r="K44" s="407" t="n">
        <v>0.531</v>
      </c>
      <c r="L44" s="397" t="n">
        <f aca="false">(C44*($H44+($H44*$I44)+($H44*$J44)+($H44*$I44*$K44))*E44/12)</f>
        <v>0</v>
      </c>
      <c r="M44" s="398" t="n">
        <f aca="false">(D44*($H44+($H44*$I44)+($H44*$J44)+($H44*$I44*$K44))*F44/12)</f>
        <v>0</v>
      </c>
    </row>
    <row r="45" customFormat="false" ht="12.75" hidden="false" customHeight="false" outlineLevel="0" collapsed="false">
      <c r="A45" s="394"/>
      <c r="B45" s="194" t="str">
        <f aca="false">'Plant Configuration'!C48</f>
        <v>Other</v>
      </c>
      <c r="C45" s="402" t="n">
        <v>0</v>
      </c>
      <c r="D45" s="403" t="n">
        <f aca="false">IF('O&amp;M Backup_Detail'!$O$7=6,0,HLOOKUP('O&amp;M Backup_Detail'!$D$5,Plant_Configuration,'Plant Configuration'!A48,FALSE()))+IF('O&amp;M Backup_Detail'!$R$7=6,0,HLOOKUP('O&amp;M Backup_Detail'!$E$5,Plant_Configuration,'Plant Configuration'!A48,FALSE()))+IF('O&amp;M Backup_Detail'!$U$7=6,0,HLOOKUP('O&amp;M Backup_Detail'!$F$5,Plant_Configuration,'Plant Configuration'!A48,FALSE()))</f>
        <v>0</v>
      </c>
      <c r="E45" s="404" t="n">
        <f aca="false">IF(C45&gt;0,12,0)</f>
        <v>0</v>
      </c>
      <c r="F45" s="404" t="n">
        <f aca="false">IF(D45&gt;0,12,0)</f>
        <v>0</v>
      </c>
      <c r="G45" s="405" t="n">
        <f aca="false">C45*E45/12+D45*F45/12</f>
        <v>0</v>
      </c>
      <c r="H45" s="406" t="n">
        <f aca="false">IF(D45&gt;0,HLOOKUP($C$5,Labor_Salary,'Labor_ Lookup'!A43,FALSE()),0)</f>
        <v>0</v>
      </c>
      <c r="I45" s="407" t="n">
        <v>0.15</v>
      </c>
      <c r="J45" s="407" t="n">
        <v>0.702</v>
      </c>
      <c r="K45" s="407" t="n">
        <v>0.531</v>
      </c>
      <c r="L45" s="397" t="n">
        <f aca="false">(C45*($H45+($H45*$I45)+($H45*$J45)+($H45*$I45*$K45))*E45/12)</f>
        <v>0</v>
      </c>
      <c r="M45" s="398" t="n">
        <f aca="false">(D45*($H45+($H45*$I45)+($H45*$J45)+($H45*$I45*$K45))*F45/12)</f>
        <v>0</v>
      </c>
    </row>
    <row r="46" customFormat="false" ht="12.75" hidden="false" customHeight="false" outlineLevel="0" collapsed="false">
      <c r="A46" s="413"/>
      <c r="B46" s="194" t="str">
        <f aca="false">'Plant Configuration'!C49</f>
        <v>Other</v>
      </c>
      <c r="C46" s="414" t="n">
        <v>0</v>
      </c>
      <c r="D46" s="403" t="n">
        <f aca="false">IF('O&amp;M Backup_Detail'!$O$7=6,0,HLOOKUP('O&amp;M Backup_Detail'!$D$5,Plant_Configuration,'Plant Configuration'!A49,FALSE()))+IF('O&amp;M Backup_Detail'!$R$7=6,0,HLOOKUP('O&amp;M Backup_Detail'!$E$5,Plant_Configuration,'Plant Configuration'!A49,FALSE()))+IF('O&amp;M Backup_Detail'!$U$7=6,0,HLOOKUP('O&amp;M Backup_Detail'!$F$5,Plant_Configuration,'Plant Configuration'!A49,FALSE()))</f>
        <v>0</v>
      </c>
      <c r="E46" s="404" t="n">
        <f aca="false">IF(C46&gt;0,12,0)</f>
        <v>0</v>
      </c>
      <c r="F46" s="404" t="n">
        <f aca="false">IF(D46&gt;0,12,0)</f>
        <v>0</v>
      </c>
      <c r="G46" s="415" t="n">
        <f aca="false">C46*E46/12+D46*F46/12</f>
        <v>0</v>
      </c>
      <c r="H46" s="406" t="n">
        <f aca="false">IF(D46&gt;0,HLOOKUP($C$5,Labor_Salary,'Labor_ Lookup'!A44,FALSE()),0)</f>
        <v>0</v>
      </c>
      <c r="I46" s="416" t="n">
        <v>0.15</v>
      </c>
      <c r="J46" s="407" t="n">
        <v>0.702</v>
      </c>
      <c r="K46" s="407" t="n">
        <v>0.531</v>
      </c>
      <c r="L46" s="417" t="n">
        <f aca="false">(C46*($H46+($H46*$I46)+($H46*$J46)+($H46*$I46*$K46))*E46/12)</f>
        <v>0</v>
      </c>
      <c r="M46" s="418" t="n">
        <f aca="false">(D46*($H46+($H46*$I46)+($H46*$J46)+($H46*$I46*$K46))*F46/12)</f>
        <v>0</v>
      </c>
    </row>
    <row r="47" customFormat="false" ht="21" hidden="false" customHeight="true" outlineLevel="0" collapsed="false">
      <c r="A47" s="419" t="s">
        <v>865</v>
      </c>
      <c r="B47" s="420"/>
      <c r="C47" s="421" t="n">
        <f aca="false">SUM(C10:C46)</f>
        <v>0</v>
      </c>
      <c r="D47" s="421" t="n">
        <f aca="false">SUM(D10:D46)</f>
        <v>15</v>
      </c>
      <c r="E47" s="421"/>
      <c r="F47" s="422"/>
      <c r="G47" s="423" t="n">
        <f aca="false">SUM(G10:G46)</f>
        <v>15</v>
      </c>
      <c r="H47" s="424"/>
      <c r="I47" s="424"/>
      <c r="J47" s="424"/>
      <c r="K47" s="424"/>
      <c r="L47" s="425" t="n">
        <f aca="false">SUM(L10:L46)</f>
        <v>0</v>
      </c>
      <c r="M47" s="426" t="n">
        <f aca="false">SUM(M10:M46)</f>
        <v>1451918.666</v>
      </c>
      <c r="N47" s="427"/>
      <c r="O47" s="427"/>
      <c r="P47" s="427"/>
      <c r="Q47" s="428"/>
      <c r="R47" s="427"/>
    </row>
    <row r="48" customFormat="false" ht="27.75" hidden="false" customHeight="true" outlineLevel="0" collapsed="false">
      <c r="A48" s="429"/>
      <c r="B48" s="429"/>
      <c r="C48" s="430"/>
      <c r="D48" s="430"/>
      <c r="E48" s="430"/>
      <c r="F48" s="430"/>
      <c r="G48" s="430"/>
      <c r="H48" s="431"/>
      <c r="I48" s="432" t="s">
        <v>866</v>
      </c>
      <c r="J48" s="433"/>
      <c r="K48" s="433"/>
      <c r="L48" s="433"/>
      <c r="M48" s="434" t="n">
        <f aca="false">L47+M47</f>
        <v>1451918.666</v>
      </c>
      <c r="N48" s="427"/>
      <c r="O48" s="427"/>
      <c r="P48" s="427"/>
      <c r="Q48" s="428"/>
      <c r="R48" s="427"/>
    </row>
    <row r="49" customFormat="false" ht="66" hidden="false" customHeight="true" outlineLevel="0" collapsed="false">
      <c r="A49" s="17"/>
    </row>
    <row r="50" customFormat="false" ht="61.5" hidden="false" customHeight="true" outlineLevel="0" collapsed="false">
      <c r="A50" s="385"/>
      <c r="B50" s="386" t="s">
        <v>155</v>
      </c>
      <c r="C50" s="387" t="str">
        <f aca="false">C7</f>
        <v>No. of Expats</v>
      </c>
      <c r="D50" s="387" t="str">
        <f aca="false">D7</f>
        <v>No. of Locals</v>
      </c>
      <c r="E50" s="387" t="str">
        <f aca="false">E7</f>
        <v>Months on Site per Year (Expat)</v>
      </c>
      <c r="F50" s="387" t="str">
        <f aca="false">F7</f>
        <v>Months on Site per Year (Local)</v>
      </c>
      <c r="G50" s="387" t="str">
        <f aca="false">G7</f>
        <v>Total Employees per Year</v>
      </c>
      <c r="H50" s="387" t="str">
        <f aca="false">H7</f>
        <v>Annual Base Salary per Employee</v>
      </c>
      <c r="I50" s="387" t="str">
        <f aca="false">I7</f>
        <v>Annual Overtime %</v>
      </c>
      <c r="J50" s="387" t="str">
        <f aca="false">J7</f>
        <v>Benefits % on Base</v>
      </c>
      <c r="K50" s="387" t="str">
        <f aca="false">K7</f>
        <v>Benefits % on Overtime</v>
      </c>
      <c r="L50" s="387" t="str">
        <f aca="false">L7</f>
        <v>Total Expat Salary</v>
      </c>
      <c r="M50" s="387" t="str">
        <f aca="false">M7</f>
        <v>Total Local Salary </v>
      </c>
    </row>
    <row r="51" customFormat="false" ht="12.75" hidden="false" customHeight="false" outlineLevel="0" collapsed="false">
      <c r="A51" s="394"/>
      <c r="B51" s="157"/>
      <c r="C51" s="395"/>
      <c r="D51" s="395"/>
      <c r="E51" s="395"/>
      <c r="F51" s="395"/>
      <c r="G51" s="395"/>
      <c r="H51" s="396"/>
      <c r="I51" s="395"/>
      <c r="J51" s="395"/>
      <c r="K51" s="395"/>
      <c r="L51" s="397"/>
      <c r="M51" s="398"/>
    </row>
    <row r="52" customFormat="false" ht="12.75" hidden="false" customHeight="false" outlineLevel="0" collapsed="false">
      <c r="A52" s="401" t="s">
        <v>235</v>
      </c>
      <c r="B52" s="157"/>
      <c r="C52" s="395"/>
      <c r="D52" s="395"/>
      <c r="E52" s="395"/>
      <c r="F52" s="395"/>
      <c r="G52" s="395"/>
      <c r="H52" s="396"/>
      <c r="I52" s="395"/>
      <c r="J52" s="395"/>
      <c r="K52" s="395"/>
      <c r="L52" s="397"/>
      <c r="M52" s="398"/>
    </row>
    <row r="53" customFormat="false" ht="12.75" hidden="false" customHeight="false" outlineLevel="0" collapsed="false">
      <c r="A53" s="435"/>
      <c r="B53" s="194" t="str">
        <f aca="false">B10</f>
        <v>Plant Manager</v>
      </c>
      <c r="C53" s="436" t="n">
        <f aca="false">C10</f>
        <v>0</v>
      </c>
      <c r="D53" s="436" t="n">
        <f aca="false">D10</f>
        <v>1</v>
      </c>
      <c r="E53" s="436" t="n">
        <f aca="false">E10</f>
        <v>0</v>
      </c>
      <c r="F53" s="436" t="n">
        <f aca="false">F10</f>
        <v>12</v>
      </c>
      <c r="G53" s="436" t="n">
        <f aca="false">C53*E53/12+D53*F53/12</f>
        <v>1</v>
      </c>
      <c r="H53" s="437" t="n">
        <f aca="false">H10*(1+$C$4)</f>
        <v>87000</v>
      </c>
      <c r="I53" s="438" t="n">
        <f aca="false">I10</f>
        <v>0</v>
      </c>
      <c r="J53" s="438" t="n">
        <f aca="false">J10</f>
        <v>0.702</v>
      </c>
      <c r="K53" s="438" t="n">
        <f aca="false">K10</f>
        <v>0.531</v>
      </c>
      <c r="L53" s="397" t="n">
        <f aca="false">(C53*($H53+($H53*$I53)+($H53*$J53)+($H53*$I53*$K53))*E53/12)</f>
        <v>0</v>
      </c>
      <c r="M53" s="398" t="n">
        <f aca="false">(D53*($H53+($H53*$I53)+($H53*$J53)+($H53*$I53*$K53))*F53/12)</f>
        <v>148074</v>
      </c>
    </row>
    <row r="54" customFormat="false" ht="12.75" hidden="false" customHeight="false" outlineLevel="0" collapsed="false">
      <c r="A54" s="435"/>
      <c r="B54" s="194" t="str">
        <f aca="false">B11</f>
        <v>Assistant Plant Manager</v>
      </c>
      <c r="C54" s="436" t="n">
        <f aca="false">C11</f>
        <v>0</v>
      </c>
      <c r="D54" s="436" t="n">
        <f aca="false">D11</f>
        <v>0</v>
      </c>
      <c r="E54" s="436" t="n">
        <f aca="false">E11</f>
        <v>0</v>
      </c>
      <c r="F54" s="436" t="n">
        <f aca="false">F11</f>
        <v>0</v>
      </c>
      <c r="G54" s="436" t="n">
        <f aca="false">C54*E54/12+D54*F54/12</f>
        <v>0</v>
      </c>
      <c r="H54" s="437" t="n">
        <f aca="false">H11*(1+$C$4)</f>
        <v>0</v>
      </c>
      <c r="I54" s="438" t="n">
        <f aca="false">I11</f>
        <v>0</v>
      </c>
      <c r="J54" s="438" t="n">
        <f aca="false">J11</f>
        <v>0.702</v>
      </c>
      <c r="K54" s="438" t="n">
        <f aca="false">K11</f>
        <v>0.531</v>
      </c>
      <c r="L54" s="397" t="n">
        <f aca="false">(C54*($H54+($H54*$I54)+($H54*$J54)+($H54*$I54*$K54))*E54/12)</f>
        <v>0</v>
      </c>
      <c r="M54" s="398" t="n">
        <f aca="false">(D54*($H54+($H54*$I54)+($H54*$J54)+($H54*$I54*$K54))*F54/12)</f>
        <v>0</v>
      </c>
    </row>
    <row r="55" customFormat="false" ht="12.75" hidden="false" customHeight="false" outlineLevel="0" collapsed="false">
      <c r="A55" s="435"/>
      <c r="B55" s="194" t="str">
        <f aca="false">B12</f>
        <v>Plant Engineer</v>
      </c>
      <c r="C55" s="436" t="n">
        <f aca="false">C12</f>
        <v>0</v>
      </c>
      <c r="D55" s="436" t="n">
        <f aca="false">D12</f>
        <v>0</v>
      </c>
      <c r="E55" s="436" t="n">
        <f aca="false">E12</f>
        <v>0</v>
      </c>
      <c r="F55" s="436" t="n">
        <f aca="false">F12</f>
        <v>0</v>
      </c>
      <c r="G55" s="436" t="n">
        <f aca="false">C55*E55/12+D55*F55/12</f>
        <v>0</v>
      </c>
      <c r="H55" s="437" t="n">
        <f aca="false">H12*(1+$C$4)</f>
        <v>0</v>
      </c>
      <c r="I55" s="438" t="n">
        <f aca="false">I12</f>
        <v>0</v>
      </c>
      <c r="J55" s="438" t="n">
        <f aca="false">J12</f>
        <v>0.702</v>
      </c>
      <c r="K55" s="438" t="n">
        <f aca="false">K12</f>
        <v>0.531</v>
      </c>
      <c r="L55" s="397" t="n">
        <f aca="false">(C55*($H55+($H55*$I55)+($H55*$J55)+($H55*$I55*$K55))*E55/12)</f>
        <v>0</v>
      </c>
      <c r="M55" s="398" t="n">
        <f aca="false">(D55*($H55+($H55*$I55)+($H55*$J55)+($H55*$I55*$K55))*F55/12)</f>
        <v>0</v>
      </c>
    </row>
    <row r="56" customFormat="false" ht="12.75" hidden="false" customHeight="false" outlineLevel="0" collapsed="false">
      <c r="A56" s="435"/>
      <c r="B56" s="194" t="str">
        <f aca="false">B13</f>
        <v>Administration Manager</v>
      </c>
      <c r="C56" s="436" t="n">
        <f aca="false">C13</f>
        <v>0</v>
      </c>
      <c r="D56" s="436" t="n">
        <f aca="false">D13</f>
        <v>0</v>
      </c>
      <c r="E56" s="436" t="n">
        <f aca="false">E13</f>
        <v>0</v>
      </c>
      <c r="F56" s="436" t="n">
        <f aca="false">F13</f>
        <v>0</v>
      </c>
      <c r="G56" s="436" t="n">
        <f aca="false">C56*E56/12+D56*F56/12</f>
        <v>0</v>
      </c>
      <c r="H56" s="437" t="n">
        <f aca="false">H13*(1+$C$4)</f>
        <v>0</v>
      </c>
      <c r="I56" s="438" t="n">
        <f aca="false">I13</f>
        <v>0</v>
      </c>
      <c r="J56" s="438" t="n">
        <f aca="false">J13</f>
        <v>0.702</v>
      </c>
      <c r="K56" s="438" t="n">
        <f aca="false">K13</f>
        <v>0.531</v>
      </c>
      <c r="L56" s="397" t="n">
        <f aca="false">(C56*($H56+($H56*$I56)+($H56*$J56)+($H56*$I56*$K56))*E56/12)</f>
        <v>0</v>
      </c>
      <c r="M56" s="398" t="n">
        <f aca="false">(D56*($H56+($H56*$I56)+($H56*$J56)+($H56*$I56*$K56))*F56/12)</f>
        <v>0</v>
      </c>
    </row>
    <row r="57" customFormat="false" ht="12.75" hidden="false" customHeight="false" outlineLevel="0" collapsed="false">
      <c r="A57" s="435"/>
      <c r="B57" s="194" t="str">
        <f aca="false">B14</f>
        <v>Controller</v>
      </c>
      <c r="C57" s="436" t="n">
        <f aca="false">C14</f>
        <v>0</v>
      </c>
      <c r="D57" s="436" t="n">
        <f aca="false">D14</f>
        <v>0</v>
      </c>
      <c r="E57" s="436" t="n">
        <f aca="false">E14</f>
        <v>0</v>
      </c>
      <c r="F57" s="436" t="n">
        <f aca="false">F14</f>
        <v>0</v>
      </c>
      <c r="G57" s="436" t="n">
        <f aca="false">C57*E57/12+D57*F57/12</f>
        <v>0</v>
      </c>
      <c r="H57" s="437" t="n">
        <f aca="false">H14*(1+$C$4)</f>
        <v>0</v>
      </c>
      <c r="I57" s="438" t="n">
        <f aca="false">I14</f>
        <v>0</v>
      </c>
      <c r="J57" s="438" t="n">
        <f aca="false">J14</f>
        <v>0.702</v>
      </c>
      <c r="K57" s="438" t="n">
        <f aca="false">K14</f>
        <v>0.531</v>
      </c>
      <c r="L57" s="397" t="n">
        <f aca="false">(C57*($H57+($H57*$I57)+($H57*$J57)+($H57*$I57*$K57))*E57/12)</f>
        <v>0</v>
      </c>
      <c r="M57" s="398" t="n">
        <f aca="false">(D57*($H57+($H57*$I57)+($H57*$J57)+($H57*$I57*$K57))*F57/12)</f>
        <v>0</v>
      </c>
    </row>
    <row r="58" customFormat="false" ht="12.75" hidden="false" customHeight="false" outlineLevel="0" collapsed="false">
      <c r="A58" s="435"/>
      <c r="B58" s="194" t="str">
        <f aca="false">B15</f>
        <v>Accountant</v>
      </c>
      <c r="C58" s="436" t="n">
        <f aca="false">C15</f>
        <v>0</v>
      </c>
      <c r="D58" s="436" t="n">
        <f aca="false">D15</f>
        <v>0</v>
      </c>
      <c r="E58" s="436" t="n">
        <f aca="false">E15</f>
        <v>0</v>
      </c>
      <c r="F58" s="436" t="n">
        <f aca="false">F15</f>
        <v>0</v>
      </c>
      <c r="G58" s="436" t="n">
        <f aca="false">C58*E58/12+D58*F58/12</f>
        <v>0</v>
      </c>
      <c r="H58" s="437" t="n">
        <f aca="false">H15*(1+$C$4)</f>
        <v>0</v>
      </c>
      <c r="I58" s="438" t="n">
        <f aca="false">I15</f>
        <v>0.1</v>
      </c>
      <c r="J58" s="438" t="n">
        <f aca="false">J15</f>
        <v>0.702</v>
      </c>
      <c r="K58" s="438" t="n">
        <f aca="false">K15</f>
        <v>0.531</v>
      </c>
      <c r="L58" s="397" t="n">
        <f aca="false">(C58*($H58+($H58*$I58)+($H58*$J58)+($H58*$I58*$K58))*E58/12)</f>
        <v>0</v>
      </c>
      <c r="M58" s="398" t="n">
        <f aca="false">(D58*($H58+($H58*$I58)+($H58*$J58)+($H58*$I58*$K58))*F58/12)</f>
        <v>0</v>
      </c>
    </row>
    <row r="59" customFormat="false" ht="12.75" hidden="false" customHeight="false" outlineLevel="0" collapsed="false">
      <c r="A59" s="435"/>
      <c r="B59" s="194" t="str">
        <f aca="false">B16</f>
        <v>Administrative Assistant</v>
      </c>
      <c r="C59" s="436" t="n">
        <f aca="false">C16</f>
        <v>0</v>
      </c>
      <c r="D59" s="436" t="n">
        <f aca="false">D16</f>
        <v>1</v>
      </c>
      <c r="E59" s="436" t="n">
        <f aca="false">E16</f>
        <v>0</v>
      </c>
      <c r="F59" s="436" t="n">
        <f aca="false">F16</f>
        <v>12</v>
      </c>
      <c r="G59" s="436" t="n">
        <f aca="false">C59*E59/12+D59*F59/12</f>
        <v>1</v>
      </c>
      <c r="H59" s="437" t="n">
        <f aca="false">H16*(1+$C$4)</f>
        <v>27000</v>
      </c>
      <c r="I59" s="438" t="n">
        <f aca="false">I16</f>
        <v>0.15</v>
      </c>
      <c r="J59" s="438" t="n">
        <f aca="false">J16</f>
        <v>0.702</v>
      </c>
      <c r="K59" s="438" t="n">
        <f aca="false">K16</f>
        <v>0.531</v>
      </c>
      <c r="L59" s="397" t="n">
        <f aca="false">(C59*($H59+($H59*$I59)+($H59*$J59)+($H59*$I59*$K59))*E59/12)</f>
        <v>0</v>
      </c>
      <c r="M59" s="398" t="n">
        <f aca="false">(D59*($H59+($H59*$I59)+($H59*$J59)+($H59*$I59*$K59))*F59/12)</f>
        <v>52154.55</v>
      </c>
    </row>
    <row r="60" customFormat="false" ht="12.75" hidden="false" customHeight="false" outlineLevel="0" collapsed="false">
      <c r="A60" s="435"/>
      <c r="B60" s="194" t="str">
        <f aca="false">B17</f>
        <v>Warehouse Supervisor</v>
      </c>
      <c r="C60" s="436" t="n">
        <f aca="false">C17</f>
        <v>0</v>
      </c>
      <c r="D60" s="436" t="n">
        <f aca="false">D17</f>
        <v>0</v>
      </c>
      <c r="E60" s="436" t="n">
        <f aca="false">E17</f>
        <v>0</v>
      </c>
      <c r="F60" s="436" t="n">
        <f aca="false">F17</f>
        <v>0</v>
      </c>
      <c r="G60" s="436" t="n">
        <f aca="false">C60*E60/12+D60*F60/12</f>
        <v>0</v>
      </c>
      <c r="H60" s="437" t="n">
        <f aca="false">H17*(1+$C$4)</f>
        <v>0</v>
      </c>
      <c r="I60" s="438" t="n">
        <f aca="false">I17</f>
        <v>0</v>
      </c>
      <c r="J60" s="438" t="n">
        <f aca="false">J17</f>
        <v>0.702</v>
      </c>
      <c r="K60" s="438" t="n">
        <f aca="false">K17</f>
        <v>0.531</v>
      </c>
      <c r="L60" s="397" t="n">
        <f aca="false">(C60*($H60+($H60*$I60)+($H60*$J60)+($H60*$I60*$K60))*E60/12)</f>
        <v>0</v>
      </c>
      <c r="M60" s="398" t="n">
        <f aca="false">(D60*($H60+($H60*$I60)+($H60*$J60)+($H60*$I60*$K60))*F60/12)</f>
        <v>0</v>
      </c>
    </row>
    <row r="61" customFormat="false" ht="12.75" hidden="false" customHeight="false" outlineLevel="0" collapsed="false">
      <c r="A61" s="435"/>
      <c r="B61" s="194" t="str">
        <f aca="false">B18</f>
        <v>Other</v>
      </c>
      <c r="C61" s="436" t="n">
        <f aca="false">C18</f>
        <v>0</v>
      </c>
      <c r="D61" s="436" t="n">
        <f aca="false">D18</f>
        <v>0</v>
      </c>
      <c r="E61" s="436" t="n">
        <f aca="false">E18</f>
        <v>0</v>
      </c>
      <c r="F61" s="436" t="n">
        <f aca="false">F18</f>
        <v>0</v>
      </c>
      <c r="G61" s="436" t="n">
        <f aca="false">C61*E61/12+D61*F61/12</f>
        <v>0</v>
      </c>
      <c r="H61" s="437" t="n">
        <f aca="false">H18*(1+$C$4)</f>
        <v>0</v>
      </c>
      <c r="I61" s="438" t="n">
        <f aca="false">I18</f>
        <v>0</v>
      </c>
      <c r="J61" s="438" t="n">
        <f aca="false">J18</f>
        <v>0.702</v>
      </c>
      <c r="K61" s="438" t="n">
        <f aca="false">K18</f>
        <v>0.531</v>
      </c>
      <c r="L61" s="397" t="n">
        <f aca="false">(C61*($H61+($H61*$I61)+($H61*$J61)+($H61*$I61*$K61))*E61/12)</f>
        <v>0</v>
      </c>
      <c r="M61" s="398" t="n">
        <f aca="false">(D61*($H61+($H61*$I61)+($H61*$J61)+($H61*$I61*$K61))*F61/12)</f>
        <v>0</v>
      </c>
    </row>
    <row r="62" customFormat="false" ht="12.75" hidden="false" customHeight="false" outlineLevel="0" collapsed="false">
      <c r="A62" s="435"/>
      <c r="B62" s="194" t="str">
        <f aca="false">B19</f>
        <v>Other</v>
      </c>
      <c r="C62" s="436" t="n">
        <f aca="false">C19</f>
        <v>0</v>
      </c>
      <c r="D62" s="436" t="n">
        <f aca="false">D19</f>
        <v>0</v>
      </c>
      <c r="E62" s="436" t="n">
        <f aca="false">E19</f>
        <v>0</v>
      </c>
      <c r="F62" s="436" t="n">
        <f aca="false">F19</f>
        <v>0</v>
      </c>
      <c r="G62" s="436" t="n">
        <f aca="false">C62*E62/12+D62*F62/12</f>
        <v>0</v>
      </c>
      <c r="H62" s="437" t="n">
        <f aca="false">H19*(1+$C$4)</f>
        <v>0</v>
      </c>
      <c r="I62" s="438" t="n">
        <f aca="false">I19</f>
        <v>0</v>
      </c>
      <c r="J62" s="438" t="n">
        <f aca="false">J19</f>
        <v>0.702</v>
      </c>
      <c r="K62" s="438" t="n">
        <f aca="false">K19</f>
        <v>0.531</v>
      </c>
      <c r="L62" s="397" t="n">
        <f aca="false">(C62*($H62+($H62*$I62)+($H62*$J62)+($H62*$I62*$K62))*E62/12)</f>
        <v>0</v>
      </c>
      <c r="M62" s="398" t="n">
        <f aca="false">(D62*($H62+($H62*$I62)+($H62*$J62)+($H62*$I62*$K62))*F62/12)</f>
        <v>0</v>
      </c>
    </row>
    <row r="63" customFormat="false" ht="12.75" hidden="false" customHeight="false" outlineLevel="0" collapsed="false">
      <c r="A63" s="435"/>
      <c r="B63" s="194" t="str">
        <f aca="false">B20</f>
        <v>Other</v>
      </c>
      <c r="C63" s="436" t="n">
        <f aca="false">C20</f>
        <v>0</v>
      </c>
      <c r="D63" s="436" t="n">
        <f aca="false">D20</f>
        <v>0</v>
      </c>
      <c r="E63" s="436" t="n">
        <f aca="false">E20</f>
        <v>0</v>
      </c>
      <c r="F63" s="436" t="n">
        <f aca="false">F20</f>
        <v>0</v>
      </c>
      <c r="G63" s="436" t="n">
        <f aca="false">C63*E63/12+D63*F63/12</f>
        <v>0</v>
      </c>
      <c r="H63" s="437" t="n">
        <f aca="false">H20*(1+$C$4)</f>
        <v>0</v>
      </c>
      <c r="I63" s="438" t="n">
        <f aca="false">I20</f>
        <v>0</v>
      </c>
      <c r="J63" s="438" t="n">
        <f aca="false">J20</f>
        <v>0.702</v>
      </c>
      <c r="K63" s="438" t="n">
        <f aca="false">K20</f>
        <v>0.531</v>
      </c>
      <c r="L63" s="397" t="n">
        <f aca="false">(C63*($H63+($H63*$I63)+($H63*$J63)+($H63*$I63*$K63))*E63/12)</f>
        <v>0</v>
      </c>
      <c r="M63" s="398" t="n">
        <f aca="false">(D63*($H63+($H63*$I63)+($H63*$J63)+($H63*$I63*$K63))*F63/12)</f>
        <v>0</v>
      </c>
    </row>
    <row r="64" customFormat="false" ht="12.75" hidden="false" customHeight="false" outlineLevel="0" collapsed="false">
      <c r="A64" s="435"/>
      <c r="B64" s="194"/>
      <c r="C64" s="436"/>
      <c r="D64" s="436"/>
      <c r="E64" s="436"/>
      <c r="F64" s="436"/>
      <c r="G64" s="436"/>
      <c r="H64" s="437"/>
      <c r="I64" s="439"/>
      <c r="J64" s="439"/>
      <c r="K64" s="439"/>
      <c r="L64" s="397"/>
      <c r="M64" s="398"/>
    </row>
    <row r="65" customFormat="false" ht="12.75" hidden="false" customHeight="false" outlineLevel="0" collapsed="false">
      <c r="A65" s="401" t="s">
        <v>211</v>
      </c>
      <c r="B65" s="194"/>
      <c r="C65" s="436"/>
      <c r="D65" s="436"/>
      <c r="E65" s="436"/>
      <c r="F65" s="436"/>
      <c r="G65" s="436"/>
      <c r="H65" s="437"/>
      <c r="I65" s="439"/>
      <c r="J65" s="439"/>
      <c r="K65" s="439"/>
      <c r="L65" s="397"/>
      <c r="M65" s="398"/>
    </row>
    <row r="66" customFormat="false" ht="12.75" hidden="false" customHeight="false" outlineLevel="0" collapsed="false">
      <c r="A66" s="435"/>
      <c r="B66" s="194" t="str">
        <f aca="false">B23</f>
        <v>Operations Manager</v>
      </c>
      <c r="C66" s="436" t="n">
        <f aca="false">C23</f>
        <v>0</v>
      </c>
      <c r="D66" s="436" t="n">
        <f aca="false">D23</f>
        <v>1</v>
      </c>
      <c r="E66" s="436" t="n">
        <f aca="false">E23</f>
        <v>0</v>
      </c>
      <c r="F66" s="436" t="n">
        <f aca="false">F23</f>
        <v>12</v>
      </c>
      <c r="G66" s="436" t="n">
        <f aca="false">C66*E66/12+D66*F66/12</f>
        <v>1</v>
      </c>
      <c r="H66" s="437" t="n">
        <f aca="false">H23*(1+$C$4)</f>
        <v>70000</v>
      </c>
      <c r="I66" s="438" t="n">
        <f aca="false">I23</f>
        <v>0</v>
      </c>
      <c r="J66" s="438" t="n">
        <f aca="false">J23</f>
        <v>0.702</v>
      </c>
      <c r="K66" s="438" t="n">
        <f aca="false">K23</f>
        <v>0.531</v>
      </c>
      <c r="L66" s="397" t="n">
        <f aca="false">(C66*($H66+($H66*$I66)+($H66*$J66)+($H66*$I66*$K66))*E66/12)</f>
        <v>0</v>
      </c>
      <c r="M66" s="398" t="n">
        <f aca="false">(D66*($H66+($H66*$I66)+($H66*$J66)+($H66*$I66*$K66))*F66/12)</f>
        <v>119140</v>
      </c>
    </row>
    <row r="67" customFormat="false" ht="12.75" hidden="false" customHeight="false" outlineLevel="0" collapsed="false">
      <c r="A67" s="435"/>
      <c r="B67" s="194" t="str">
        <f aca="false">B24</f>
        <v>Operations Shift Supervisors</v>
      </c>
      <c r="C67" s="436" t="n">
        <f aca="false">C24</f>
        <v>0</v>
      </c>
      <c r="D67" s="436" t="n">
        <f aca="false">D24</f>
        <v>0</v>
      </c>
      <c r="E67" s="436" t="n">
        <f aca="false">E24</f>
        <v>0</v>
      </c>
      <c r="F67" s="436" t="n">
        <f aca="false">F24</f>
        <v>0</v>
      </c>
      <c r="G67" s="436" t="n">
        <f aca="false">C67*E67/12+D67*F67/12</f>
        <v>0</v>
      </c>
      <c r="H67" s="437" t="n">
        <f aca="false">H24*(1+$C$4)</f>
        <v>0</v>
      </c>
      <c r="I67" s="438" t="n">
        <f aca="false">I24</f>
        <v>0.15</v>
      </c>
      <c r="J67" s="438" t="n">
        <f aca="false">J24</f>
        <v>0.702</v>
      </c>
      <c r="K67" s="438" t="n">
        <f aca="false">K24</f>
        <v>0.531</v>
      </c>
      <c r="L67" s="397" t="n">
        <f aca="false">(C67*($H67+($H67*$I67)+($H67*$J67)+($H67*$I67*$K67))*E67/12)</f>
        <v>0</v>
      </c>
      <c r="M67" s="398" t="n">
        <f aca="false">(D67*($H67+($H67*$I67)+($H67*$J67)+($H67*$I67*$K67))*F67/12)</f>
        <v>0</v>
      </c>
    </row>
    <row r="68" customFormat="false" ht="12.75" hidden="false" customHeight="false" outlineLevel="0" collapsed="false">
      <c r="A68" s="435"/>
      <c r="B68" s="194" t="str">
        <f aca="false">B25</f>
        <v>Control Room Operators</v>
      </c>
      <c r="C68" s="436" t="n">
        <f aca="false">C25</f>
        <v>0</v>
      </c>
      <c r="D68" s="436" t="n">
        <f aca="false">D25</f>
        <v>0</v>
      </c>
      <c r="E68" s="436" t="n">
        <f aca="false">E25</f>
        <v>0</v>
      </c>
      <c r="F68" s="436" t="n">
        <f aca="false">F25</f>
        <v>0</v>
      </c>
      <c r="G68" s="436" t="n">
        <f aca="false">C68*E68/12+D68*F68/12</f>
        <v>0</v>
      </c>
      <c r="H68" s="437" t="n">
        <f aca="false">H25*(1+$C$4)</f>
        <v>0</v>
      </c>
      <c r="I68" s="438" t="n">
        <f aca="false">I25</f>
        <v>0.15</v>
      </c>
      <c r="J68" s="438" t="n">
        <f aca="false">J25</f>
        <v>0.702</v>
      </c>
      <c r="K68" s="438" t="n">
        <f aca="false">K25</f>
        <v>0.531</v>
      </c>
      <c r="L68" s="397" t="n">
        <f aca="false">(C68*($H68+($H68*$I68)+($H68*$J68)+($H68*$I68*$K68))*E68/12)</f>
        <v>0</v>
      </c>
      <c r="M68" s="398" t="n">
        <f aca="false">(D68*($H68+($H68*$I68)+($H68*$J68)+($H68*$I68*$K68))*F68/12)</f>
        <v>0</v>
      </c>
    </row>
    <row r="69" customFormat="false" ht="12.75" hidden="false" customHeight="false" outlineLevel="0" collapsed="false">
      <c r="A69" s="435"/>
      <c r="B69" s="194" t="str">
        <f aca="false">B26</f>
        <v>Turbine Operators</v>
      </c>
      <c r="C69" s="436" t="n">
        <f aca="false">C26</f>
        <v>0</v>
      </c>
      <c r="D69" s="436" t="n">
        <f aca="false">D26</f>
        <v>0</v>
      </c>
      <c r="E69" s="436" t="n">
        <f aca="false">E26</f>
        <v>0</v>
      </c>
      <c r="F69" s="436" t="n">
        <f aca="false">F26</f>
        <v>0</v>
      </c>
      <c r="G69" s="436" t="n">
        <f aca="false">C69*E69/12+D69*F69/12</f>
        <v>0</v>
      </c>
      <c r="H69" s="437" t="n">
        <f aca="false">H26*(1+$C$4)</f>
        <v>0</v>
      </c>
      <c r="I69" s="438" t="n">
        <f aca="false">I26</f>
        <v>0.15</v>
      </c>
      <c r="J69" s="438" t="n">
        <f aca="false">J26</f>
        <v>0.702</v>
      </c>
      <c r="K69" s="438" t="n">
        <f aca="false">K26</f>
        <v>0.531</v>
      </c>
      <c r="L69" s="397" t="n">
        <f aca="false">(C69*($H69+($H69*$I69)+($H69*$J69)+($H69*$I69*$K69))*E69/12)</f>
        <v>0</v>
      </c>
      <c r="M69" s="398" t="n">
        <f aca="false">(D69*($H69+($H69*$I69)+($H69*$J69)+($H69*$I69*$K69))*F69/12)</f>
        <v>0</v>
      </c>
    </row>
    <row r="70" customFormat="false" ht="12.75" hidden="false" customHeight="false" outlineLevel="0" collapsed="false">
      <c r="A70" s="435"/>
      <c r="B70" s="194" t="str">
        <f aca="false">B27</f>
        <v>Water System Opertors</v>
      </c>
      <c r="C70" s="436" t="n">
        <f aca="false">C27</f>
        <v>0</v>
      </c>
      <c r="D70" s="436" t="n">
        <f aca="false">D27</f>
        <v>0</v>
      </c>
      <c r="E70" s="436" t="n">
        <f aca="false">E27</f>
        <v>0</v>
      </c>
      <c r="F70" s="436" t="n">
        <f aca="false">F27</f>
        <v>0</v>
      </c>
      <c r="G70" s="436" t="n">
        <f aca="false">C70*E70/12+D70*F70/12</f>
        <v>0</v>
      </c>
      <c r="H70" s="437" t="n">
        <f aca="false">H27*(1+$C$4)</f>
        <v>0</v>
      </c>
      <c r="I70" s="438" t="n">
        <f aca="false">I27</f>
        <v>0.15</v>
      </c>
      <c r="J70" s="438" t="n">
        <f aca="false">J27</f>
        <v>0.702</v>
      </c>
      <c r="K70" s="438" t="n">
        <f aca="false">K27</f>
        <v>0.531</v>
      </c>
      <c r="L70" s="397" t="n">
        <f aca="false">(C70*($H70+($H70*$I70)+($H70*$J70)+($H70*$I70*$K70))*E70/12)</f>
        <v>0</v>
      </c>
      <c r="M70" s="398" t="n">
        <f aca="false">(D70*($H70+($H70*$I70)+($H70*$J70)+($H70*$I70*$K70))*F70/12)</f>
        <v>0</v>
      </c>
    </row>
    <row r="71" customFormat="false" ht="12.75" hidden="false" customHeight="false" outlineLevel="0" collapsed="false">
      <c r="A71" s="435"/>
      <c r="B71" s="194" t="str">
        <f aca="false">B28</f>
        <v>Fuel Storage/Handling Operators</v>
      </c>
      <c r="C71" s="436" t="n">
        <f aca="false">C28</f>
        <v>0</v>
      </c>
      <c r="D71" s="436" t="n">
        <f aca="false">D28</f>
        <v>0</v>
      </c>
      <c r="E71" s="436" t="n">
        <f aca="false">E28</f>
        <v>0</v>
      </c>
      <c r="F71" s="436" t="n">
        <f aca="false">F28</f>
        <v>0</v>
      </c>
      <c r="G71" s="436" t="n">
        <f aca="false">C71*E71/12+D71*F71/12</f>
        <v>0</v>
      </c>
      <c r="H71" s="437" t="n">
        <f aca="false">H28*(1+$C$4)</f>
        <v>0</v>
      </c>
      <c r="I71" s="438" t="n">
        <f aca="false">I28</f>
        <v>0.15</v>
      </c>
      <c r="J71" s="438" t="n">
        <f aca="false">J28</f>
        <v>0.702</v>
      </c>
      <c r="K71" s="438" t="n">
        <f aca="false">K28</f>
        <v>0.531</v>
      </c>
      <c r="L71" s="397" t="n">
        <f aca="false">(C71*($H71+($H71*$I71)+($H71*$J71)+($H71*$I71*$K71))*E71/12)</f>
        <v>0</v>
      </c>
      <c r="M71" s="398" t="n">
        <f aca="false">(D71*($H71+($H71*$I71)+($H71*$J71)+($H71*$I71*$K71))*F71/12)</f>
        <v>0</v>
      </c>
    </row>
    <row r="72" customFormat="false" ht="12.75" hidden="false" customHeight="false" outlineLevel="0" collapsed="false">
      <c r="A72" s="435"/>
      <c r="B72" s="194" t="str">
        <f aca="false">B29</f>
        <v>Utility Operators</v>
      </c>
      <c r="C72" s="436" t="n">
        <f aca="false">C29</f>
        <v>0</v>
      </c>
      <c r="D72" s="436" t="n">
        <f aca="false">D29</f>
        <v>0</v>
      </c>
      <c r="E72" s="436" t="n">
        <f aca="false">E29</f>
        <v>0</v>
      </c>
      <c r="F72" s="436" t="n">
        <f aca="false">F29</f>
        <v>0</v>
      </c>
      <c r="G72" s="436" t="n">
        <f aca="false">C72*E72/12+D72*F72/12</f>
        <v>0</v>
      </c>
      <c r="H72" s="437" t="n">
        <f aca="false">H29*(1+$C$4)</f>
        <v>0</v>
      </c>
      <c r="I72" s="438" t="n">
        <f aca="false">I29</f>
        <v>0.15</v>
      </c>
      <c r="J72" s="438" t="n">
        <f aca="false">J29</f>
        <v>0.702</v>
      </c>
      <c r="K72" s="438" t="n">
        <f aca="false">K29</f>
        <v>0.531</v>
      </c>
      <c r="L72" s="397" t="n">
        <f aca="false">(C72*($H72+($H72*$I72)+($H72*$J72)+($H72*$I72*$K72))*E72/12)</f>
        <v>0</v>
      </c>
      <c r="M72" s="398" t="n">
        <f aca="false">(D72*($H72+($H72*$I72)+($H72*$J72)+($H72*$I72*$K72))*F72/12)</f>
        <v>0</v>
      </c>
    </row>
    <row r="73" customFormat="false" ht="12.75" hidden="false" customHeight="false" outlineLevel="0" collapsed="false">
      <c r="A73" s="435"/>
      <c r="B73" s="194" t="str">
        <f aca="false">B30</f>
        <v>Chemist</v>
      </c>
      <c r="C73" s="436" t="n">
        <f aca="false">C30</f>
        <v>0</v>
      </c>
      <c r="D73" s="436" t="n">
        <f aca="false">D30</f>
        <v>0</v>
      </c>
      <c r="E73" s="436" t="n">
        <f aca="false">E30</f>
        <v>0</v>
      </c>
      <c r="F73" s="436" t="n">
        <f aca="false">F30</f>
        <v>0</v>
      </c>
      <c r="G73" s="436" t="n">
        <f aca="false">C73*E73/12+D73*F73/12</f>
        <v>0</v>
      </c>
      <c r="H73" s="437" t="n">
        <f aca="false">H30*(1+$C$4)</f>
        <v>0</v>
      </c>
      <c r="I73" s="438" t="n">
        <f aca="false">I30</f>
        <v>0.15</v>
      </c>
      <c r="J73" s="438" t="n">
        <f aca="false">J30</f>
        <v>0.702</v>
      </c>
      <c r="K73" s="438" t="n">
        <f aca="false">K30</f>
        <v>0.531</v>
      </c>
      <c r="L73" s="397" t="n">
        <f aca="false">(C73*($H73+($H73*$I73)+($H73*$J73)+($H73*$I73*$K73))*E73/12)</f>
        <v>0</v>
      </c>
      <c r="M73" s="398" t="n">
        <f aca="false">(D73*($H73+($H73*$I73)+($H73*$J73)+($H73*$I73*$K73))*F73/12)</f>
        <v>0</v>
      </c>
    </row>
    <row r="74" customFormat="false" ht="12.75" hidden="false" customHeight="false" outlineLevel="0" collapsed="false">
      <c r="A74" s="435"/>
      <c r="B74" s="194" t="str">
        <f aca="false">B31</f>
        <v>Tech III</v>
      </c>
      <c r="C74" s="436" t="n">
        <f aca="false">C31</f>
        <v>0</v>
      </c>
      <c r="D74" s="436" t="n">
        <f aca="false">D31</f>
        <v>4</v>
      </c>
      <c r="E74" s="436" t="n">
        <f aca="false">E31</f>
        <v>0</v>
      </c>
      <c r="F74" s="436" t="n">
        <f aca="false">F31</f>
        <v>12</v>
      </c>
      <c r="G74" s="436" t="n">
        <f aca="false">C74*E74/12+D74*F74/12</f>
        <v>4</v>
      </c>
      <c r="H74" s="437" t="n">
        <f aca="false">H31*(1+$C$4)</f>
        <v>52000</v>
      </c>
      <c r="I74" s="438" t="n">
        <f aca="false">I31</f>
        <v>0.15</v>
      </c>
      <c r="J74" s="438" t="n">
        <f aca="false">J31</f>
        <v>0.702</v>
      </c>
      <c r="K74" s="438" t="n">
        <f aca="false">K31</f>
        <v>0.531</v>
      </c>
      <c r="L74" s="397" t="n">
        <f aca="false">(C74*($H74+($H74*$I74)+($H74*$J74)+($H74*$I74*$K74))*E74/12)</f>
        <v>0</v>
      </c>
      <c r="M74" s="398" t="n">
        <f aca="false">(D74*($H74+($H74*$I74)+($H74*$J74)+($H74*$I74*$K74))*F74/12)</f>
        <v>401783.2</v>
      </c>
    </row>
    <row r="75" customFormat="false" ht="12.75" hidden="false" customHeight="false" outlineLevel="0" collapsed="false">
      <c r="A75" s="435"/>
      <c r="B75" s="194" t="str">
        <f aca="false">B32</f>
        <v>Tech II</v>
      </c>
      <c r="C75" s="436" t="n">
        <f aca="false">C32</f>
        <v>0</v>
      </c>
      <c r="D75" s="436" t="n">
        <f aca="false">D32</f>
        <v>4</v>
      </c>
      <c r="E75" s="436" t="n">
        <f aca="false">E32</f>
        <v>0</v>
      </c>
      <c r="F75" s="436" t="n">
        <f aca="false">F32</f>
        <v>12</v>
      </c>
      <c r="G75" s="436" t="n">
        <f aca="false">C75*E75/12+D75*F75/12</f>
        <v>4</v>
      </c>
      <c r="H75" s="437" t="n">
        <f aca="false">H32*(1+$C$4)</f>
        <v>45760</v>
      </c>
      <c r="I75" s="438" t="n">
        <f aca="false">I32</f>
        <v>0.15</v>
      </c>
      <c r="J75" s="438" t="n">
        <f aca="false">J32</f>
        <v>0.702</v>
      </c>
      <c r="K75" s="438" t="n">
        <f aca="false">K32</f>
        <v>0.531</v>
      </c>
      <c r="L75" s="397" t="n">
        <f aca="false">(C75*($H75+($H75*$I75)+($H75*$J75)+($H75*$I75*$K75))*E75/12)</f>
        <v>0</v>
      </c>
      <c r="M75" s="398" t="n">
        <f aca="false">(D75*($H75+($H75*$I75)+($H75*$J75)+($H75*$I75*$K75))*F75/12)</f>
        <v>353569.216</v>
      </c>
    </row>
    <row r="76" customFormat="false" ht="12.75" hidden="false" customHeight="false" outlineLevel="0" collapsed="false">
      <c r="A76" s="435"/>
      <c r="B76" s="194" t="str">
        <f aca="false">B33</f>
        <v>Other</v>
      </c>
      <c r="C76" s="436" t="n">
        <f aca="false">C33</f>
        <v>0</v>
      </c>
      <c r="D76" s="436" t="n">
        <f aca="false">D33</f>
        <v>0</v>
      </c>
      <c r="E76" s="436" t="n">
        <f aca="false">E33</f>
        <v>0</v>
      </c>
      <c r="F76" s="436" t="n">
        <f aca="false">F33</f>
        <v>0</v>
      </c>
      <c r="G76" s="436" t="n">
        <f aca="false">C76*E76/12+D76*F76/12</f>
        <v>0</v>
      </c>
      <c r="H76" s="437" t="n">
        <f aca="false">H33*(1+$C$4)</f>
        <v>0</v>
      </c>
      <c r="I76" s="438" t="n">
        <f aca="false">I33</f>
        <v>0.15</v>
      </c>
      <c r="J76" s="438" t="n">
        <f aca="false">J33</f>
        <v>0.702</v>
      </c>
      <c r="K76" s="438" t="n">
        <f aca="false">K33</f>
        <v>0.531</v>
      </c>
      <c r="L76" s="397" t="n">
        <f aca="false">(C76*($H76+($H76*$I76)+($H76*$J76)+($H76*$I76*$K76))*E76/12)</f>
        <v>0</v>
      </c>
      <c r="M76" s="398" t="n">
        <f aca="false">(D76*($H76+($H76*$I76)+($H76*$J76)+($H76*$I76*$K76))*F76/12)</f>
        <v>0</v>
      </c>
    </row>
    <row r="77" customFormat="false" ht="12.75" hidden="false" customHeight="false" outlineLevel="0" collapsed="false">
      <c r="A77" s="435"/>
      <c r="B77" s="194"/>
      <c r="C77" s="436"/>
      <c r="D77" s="436"/>
      <c r="E77" s="436"/>
      <c r="F77" s="436"/>
      <c r="G77" s="436"/>
      <c r="H77" s="437"/>
      <c r="I77" s="439"/>
      <c r="J77" s="439"/>
      <c r="K77" s="439"/>
      <c r="L77" s="397"/>
      <c r="M77" s="398"/>
    </row>
    <row r="78" customFormat="false" ht="12.75" hidden="false" customHeight="false" outlineLevel="0" collapsed="false">
      <c r="A78" s="401" t="s">
        <v>212</v>
      </c>
      <c r="B78" s="194"/>
      <c r="C78" s="436"/>
      <c r="D78" s="436"/>
      <c r="E78" s="436"/>
      <c r="F78" s="436"/>
      <c r="G78" s="436"/>
      <c r="H78" s="437"/>
      <c r="I78" s="439"/>
      <c r="J78" s="439"/>
      <c r="K78" s="439"/>
      <c r="L78" s="397"/>
      <c r="M78" s="398"/>
    </row>
    <row r="79" customFormat="false" ht="12.75" hidden="false" customHeight="false" outlineLevel="0" collapsed="false">
      <c r="A79" s="435"/>
      <c r="B79" s="194" t="str">
        <f aca="false">B36</f>
        <v>Maintenance Manager</v>
      </c>
      <c r="C79" s="436" t="n">
        <f aca="false">C36</f>
        <v>0</v>
      </c>
      <c r="D79" s="436" t="n">
        <f aca="false">D36</f>
        <v>1</v>
      </c>
      <c r="E79" s="436" t="n">
        <f aca="false">E36</f>
        <v>0</v>
      </c>
      <c r="F79" s="436" t="n">
        <f aca="false">F36</f>
        <v>12</v>
      </c>
      <c r="G79" s="436" t="n">
        <f aca="false">C79*E79/12+D79*F79/12</f>
        <v>1</v>
      </c>
      <c r="H79" s="437" t="n">
        <f aca="false">H36*(1+$C$4)</f>
        <v>65000</v>
      </c>
      <c r="I79" s="438" t="n">
        <f aca="false">I36</f>
        <v>0</v>
      </c>
      <c r="J79" s="438" t="n">
        <f aca="false">J36</f>
        <v>0.702</v>
      </c>
      <c r="K79" s="438" t="n">
        <f aca="false">K36</f>
        <v>0.531</v>
      </c>
      <c r="L79" s="397" t="n">
        <f aca="false">(C79*($H79+($H79*$I79)+($H79*$J79)+($H79*$I79*$K79))*E79/12)</f>
        <v>0</v>
      </c>
      <c r="M79" s="398" t="n">
        <f aca="false">(D79*($H79+($H79*$I79)+($H79*$J79)+($H79*$I79*$K79))*F79/12)</f>
        <v>110630</v>
      </c>
    </row>
    <row r="80" customFormat="false" ht="12.75" hidden="false" customHeight="false" outlineLevel="0" collapsed="false">
      <c r="A80" s="435"/>
      <c r="B80" s="194" t="str">
        <f aca="false">B37</f>
        <v>Mechanical Engineer</v>
      </c>
      <c r="C80" s="436" t="n">
        <f aca="false">C37</f>
        <v>0</v>
      </c>
      <c r="D80" s="436" t="n">
        <f aca="false">D37</f>
        <v>0</v>
      </c>
      <c r="E80" s="436" t="n">
        <f aca="false">E37</f>
        <v>0</v>
      </c>
      <c r="F80" s="436" t="n">
        <f aca="false">F37</f>
        <v>0</v>
      </c>
      <c r="G80" s="436" t="n">
        <f aca="false">C80*E80/12+D80*F80/12</f>
        <v>0</v>
      </c>
      <c r="H80" s="437" t="n">
        <f aca="false">H37*(1+$C$4)</f>
        <v>0</v>
      </c>
      <c r="I80" s="438" t="n">
        <f aca="false">I37</f>
        <v>0</v>
      </c>
      <c r="J80" s="438" t="n">
        <f aca="false">J37</f>
        <v>0.702</v>
      </c>
      <c r="K80" s="438" t="n">
        <f aca="false">K37</f>
        <v>0.531</v>
      </c>
      <c r="L80" s="397" t="n">
        <f aca="false">(C80*($H80+($H80*$I80)+($H80*$J80)+($H80*$I80*$K80))*E80/12)</f>
        <v>0</v>
      </c>
      <c r="M80" s="398" t="n">
        <f aca="false">(D80*($H80+($H80*$I80)+($H80*$J80)+($H80*$I80*$K80))*F80/12)</f>
        <v>0</v>
      </c>
    </row>
    <row r="81" customFormat="false" ht="12.75" hidden="false" customHeight="false" outlineLevel="0" collapsed="false">
      <c r="A81" s="435"/>
      <c r="B81" s="194" t="str">
        <f aca="false">B38</f>
        <v>Maintenance Planner</v>
      </c>
      <c r="C81" s="436" t="n">
        <f aca="false">C38</f>
        <v>0</v>
      </c>
      <c r="D81" s="436" t="n">
        <f aca="false">D38</f>
        <v>0</v>
      </c>
      <c r="E81" s="436" t="n">
        <f aca="false">E38</f>
        <v>0</v>
      </c>
      <c r="F81" s="436" t="n">
        <f aca="false">F38</f>
        <v>0</v>
      </c>
      <c r="G81" s="436" t="n">
        <f aca="false">C81*E81/12+D81*F81/12</f>
        <v>0</v>
      </c>
      <c r="H81" s="437" t="n">
        <f aca="false">H38*(1+$C$4)</f>
        <v>0</v>
      </c>
      <c r="I81" s="438" t="n">
        <f aca="false">I38</f>
        <v>0.15</v>
      </c>
      <c r="J81" s="438" t="n">
        <f aca="false">J38</f>
        <v>0.702</v>
      </c>
      <c r="K81" s="438" t="n">
        <f aca="false">K38</f>
        <v>0.531</v>
      </c>
      <c r="L81" s="397" t="n">
        <f aca="false">(C81*($H81+($H81*$I81)+($H81*$J81)+($H81*$I81*$K81))*E81/12)</f>
        <v>0</v>
      </c>
      <c r="M81" s="398" t="n">
        <f aca="false">(D81*($H81+($H81*$I81)+($H81*$J81)+($H81*$I81*$K81))*F81/12)</f>
        <v>0</v>
      </c>
    </row>
    <row r="82" customFormat="false" ht="12.75" hidden="false" customHeight="false" outlineLevel="0" collapsed="false">
      <c r="A82" s="435"/>
      <c r="B82" s="194" t="str">
        <f aca="false">B39</f>
        <v>Mechanic</v>
      </c>
      <c r="C82" s="436" t="n">
        <f aca="false">C39</f>
        <v>0</v>
      </c>
      <c r="D82" s="436" t="n">
        <f aca="false">D39</f>
        <v>1</v>
      </c>
      <c r="E82" s="436" t="n">
        <f aca="false">E39</f>
        <v>0</v>
      </c>
      <c r="F82" s="436" t="n">
        <f aca="false">F39</f>
        <v>12</v>
      </c>
      <c r="G82" s="436" t="n">
        <f aca="false">C82*E82/12+D82*F82/12</f>
        <v>1</v>
      </c>
      <c r="H82" s="437" t="n">
        <f aca="false">H39*(1+$C$4)</f>
        <v>38000</v>
      </c>
      <c r="I82" s="438" t="n">
        <f aca="false">I39</f>
        <v>0.15</v>
      </c>
      <c r="J82" s="438" t="n">
        <f aca="false">J39</f>
        <v>0.702</v>
      </c>
      <c r="K82" s="438" t="n">
        <f aca="false">K39</f>
        <v>0.531</v>
      </c>
      <c r="L82" s="397" t="n">
        <f aca="false">(C82*($H82+($H82*$I82)+($H82*$J82)+($H82*$I82*$K82))*E82/12)</f>
        <v>0</v>
      </c>
      <c r="M82" s="398" t="n">
        <f aca="false">(D82*($H82+($H82*$I82)+($H82*$J82)+($H82*$I82*$K82))*F82/12)</f>
        <v>73402.7</v>
      </c>
    </row>
    <row r="83" customFormat="false" ht="12.75" hidden="false" customHeight="false" outlineLevel="0" collapsed="false">
      <c r="A83" s="435"/>
      <c r="B83" s="194" t="str">
        <f aca="false">B40</f>
        <v>I&amp;C Engineer</v>
      </c>
      <c r="C83" s="436" t="n">
        <f aca="false">C40</f>
        <v>0</v>
      </c>
      <c r="D83" s="436" t="n">
        <f aca="false">D40</f>
        <v>0</v>
      </c>
      <c r="E83" s="436" t="n">
        <f aca="false">E40</f>
        <v>0</v>
      </c>
      <c r="F83" s="436" t="n">
        <f aca="false">F40</f>
        <v>0</v>
      </c>
      <c r="G83" s="436" t="n">
        <f aca="false">C83*E83/12+D83*F83/12</f>
        <v>0</v>
      </c>
      <c r="H83" s="437" t="n">
        <f aca="false">H40*(1+$C$4)</f>
        <v>0</v>
      </c>
      <c r="I83" s="438" t="n">
        <f aca="false">I40</f>
        <v>0.15</v>
      </c>
      <c r="J83" s="438" t="n">
        <f aca="false">J40</f>
        <v>0.702</v>
      </c>
      <c r="K83" s="438" t="n">
        <f aca="false">K40</f>
        <v>0.531</v>
      </c>
      <c r="L83" s="397" t="n">
        <f aca="false">(C83*($H83+($H83*$I83)+($H83*$J83)+($H83*$I83*$K83))*E83/12)</f>
        <v>0</v>
      </c>
      <c r="M83" s="398" t="n">
        <f aca="false">(D83*($H83+($H83*$I83)+($H83*$J83)+($H83*$I83*$K83))*F83/12)</f>
        <v>0</v>
      </c>
    </row>
    <row r="84" customFormat="false" ht="12.75" hidden="false" customHeight="false" outlineLevel="0" collapsed="false">
      <c r="A84" s="435"/>
      <c r="B84" s="194" t="str">
        <f aca="false">B41</f>
        <v>I&amp;C Technician</v>
      </c>
      <c r="C84" s="436" t="n">
        <f aca="false">C41</f>
        <v>0</v>
      </c>
      <c r="D84" s="436" t="n">
        <f aca="false">D41</f>
        <v>1</v>
      </c>
      <c r="E84" s="436" t="n">
        <f aca="false">E41</f>
        <v>0</v>
      </c>
      <c r="F84" s="436" t="n">
        <f aca="false">F41</f>
        <v>12</v>
      </c>
      <c r="G84" s="436" t="n">
        <f aca="false">C84*E84/12+D84*F84/12</f>
        <v>1</v>
      </c>
      <c r="H84" s="437" t="n">
        <f aca="false">H41*(1+$C$4)</f>
        <v>55000</v>
      </c>
      <c r="I84" s="438" t="n">
        <f aca="false">I41</f>
        <v>0.15</v>
      </c>
      <c r="J84" s="438" t="n">
        <f aca="false">J41</f>
        <v>0.702</v>
      </c>
      <c r="K84" s="438" t="n">
        <f aca="false">K41</f>
        <v>0.531</v>
      </c>
      <c r="L84" s="397" t="n">
        <f aca="false">(C84*($H84+($H84*$I84)+($H84*$J84)+($H84*$I84*$K84))*E84/12)</f>
        <v>0</v>
      </c>
      <c r="M84" s="398" t="n">
        <f aca="false">(D84*($H84+($H84*$I84)+($H84*$J84)+($H84*$I84*$K84))*F84/12)</f>
        <v>106240.75</v>
      </c>
    </row>
    <row r="85" customFormat="false" ht="12.75" hidden="false" customHeight="false" outlineLevel="0" collapsed="false">
      <c r="A85" s="435"/>
      <c r="B85" s="194" t="str">
        <f aca="false">B42</f>
        <v>Electrical Technician</v>
      </c>
      <c r="C85" s="436" t="n">
        <f aca="false">C42</f>
        <v>0</v>
      </c>
      <c r="D85" s="436" t="n">
        <f aca="false">D42</f>
        <v>1</v>
      </c>
      <c r="E85" s="436" t="n">
        <f aca="false">E42</f>
        <v>0</v>
      </c>
      <c r="F85" s="436" t="n">
        <f aca="false">F42</f>
        <v>12</v>
      </c>
      <c r="G85" s="436" t="n">
        <f aca="false">C85*E85/12+D85*F85/12</f>
        <v>1</v>
      </c>
      <c r="H85" s="437" t="n">
        <f aca="false">H42*(1+$C$4)</f>
        <v>45000</v>
      </c>
      <c r="I85" s="438" t="n">
        <f aca="false">I42</f>
        <v>0.15</v>
      </c>
      <c r="J85" s="438" t="n">
        <f aca="false">J42</f>
        <v>0.702</v>
      </c>
      <c r="K85" s="438" t="n">
        <f aca="false">K42</f>
        <v>0.531</v>
      </c>
      <c r="L85" s="397" t="n">
        <f aca="false">(C85*($H85+($H85*$I85)+($H85*$J85)+($H85*$I85*$K85))*E85/12)</f>
        <v>0</v>
      </c>
      <c r="M85" s="398" t="n">
        <f aca="false">(D85*($H85+($H85*$I85)+($H85*$J85)+($H85*$I85*$K85))*F85/12)</f>
        <v>86924.25</v>
      </c>
    </row>
    <row r="86" customFormat="false" ht="12.75" hidden="false" customHeight="false" outlineLevel="0" collapsed="false">
      <c r="A86" s="435"/>
      <c r="B86" s="194" t="str">
        <f aca="false">B43</f>
        <v>Other</v>
      </c>
      <c r="C86" s="436" t="n">
        <f aca="false">C43</f>
        <v>0</v>
      </c>
      <c r="D86" s="436" t="n">
        <f aca="false">D43</f>
        <v>0</v>
      </c>
      <c r="E86" s="436" t="n">
        <f aca="false">E43</f>
        <v>0</v>
      </c>
      <c r="F86" s="436" t="n">
        <f aca="false">F43</f>
        <v>0</v>
      </c>
      <c r="G86" s="436" t="n">
        <f aca="false">C86*E86/12+D86*F86/12</f>
        <v>0</v>
      </c>
      <c r="H86" s="437" t="n">
        <f aca="false">H43*(1+$C$4)</f>
        <v>0</v>
      </c>
      <c r="I86" s="438" t="n">
        <f aca="false">I43</f>
        <v>0.15</v>
      </c>
      <c r="J86" s="438" t="n">
        <f aca="false">J43</f>
        <v>0.702</v>
      </c>
      <c r="K86" s="438" t="n">
        <f aca="false">K43</f>
        <v>0.531</v>
      </c>
      <c r="L86" s="397" t="n">
        <f aca="false">(C86*($H86+($H86*$I86)+($H86*$J86)+($H86*$I86*$K86))*E86/12)</f>
        <v>0</v>
      </c>
      <c r="M86" s="398" t="n">
        <f aca="false">(D86*($H86+($H86*$I86)+($H86*$J86)+($H86*$I86*$K86))*F86/12)</f>
        <v>0</v>
      </c>
    </row>
    <row r="87" customFormat="false" ht="12.75" hidden="false" customHeight="false" outlineLevel="0" collapsed="false">
      <c r="A87" s="435"/>
      <c r="B87" s="194" t="str">
        <f aca="false">B44</f>
        <v>Other</v>
      </c>
      <c r="C87" s="436" t="n">
        <f aca="false">C44</f>
        <v>0</v>
      </c>
      <c r="D87" s="436" t="n">
        <f aca="false">D44</f>
        <v>0</v>
      </c>
      <c r="E87" s="436" t="n">
        <f aca="false">E44</f>
        <v>0</v>
      </c>
      <c r="F87" s="436" t="n">
        <f aca="false">F44</f>
        <v>0</v>
      </c>
      <c r="G87" s="436" t="n">
        <f aca="false">C87*E87/12+D87*F87/12</f>
        <v>0</v>
      </c>
      <c r="H87" s="437" t="n">
        <f aca="false">H44*(1+$C$4)</f>
        <v>0</v>
      </c>
      <c r="I87" s="438" t="n">
        <f aca="false">I44</f>
        <v>0.15</v>
      </c>
      <c r="J87" s="438" t="n">
        <f aca="false">J44</f>
        <v>0.702</v>
      </c>
      <c r="K87" s="438" t="n">
        <f aca="false">K44</f>
        <v>0.531</v>
      </c>
      <c r="L87" s="397" t="n">
        <f aca="false">(C87*($H87+($H87*$I87)+($H87*$J87)+($H87*$I87*$K87))*E87/12)</f>
        <v>0</v>
      </c>
      <c r="M87" s="398" t="n">
        <f aca="false">(D87*($H87+($H87*$I87)+($H87*$J87)+($H87*$I87*$K87))*F87/12)</f>
        <v>0</v>
      </c>
    </row>
    <row r="88" customFormat="false" ht="12.75" hidden="false" customHeight="false" outlineLevel="0" collapsed="false">
      <c r="A88" s="435"/>
      <c r="B88" s="194" t="str">
        <f aca="false">B45</f>
        <v>Other</v>
      </c>
      <c r="C88" s="436" t="n">
        <f aca="false">C45</f>
        <v>0</v>
      </c>
      <c r="D88" s="436" t="n">
        <f aca="false">D45</f>
        <v>0</v>
      </c>
      <c r="E88" s="436" t="n">
        <f aca="false">E45</f>
        <v>0</v>
      </c>
      <c r="F88" s="436" t="n">
        <f aca="false">F45</f>
        <v>0</v>
      </c>
      <c r="G88" s="436" t="n">
        <f aca="false">C88*E88/12+D88*F88/12</f>
        <v>0</v>
      </c>
      <c r="H88" s="437" t="n">
        <f aca="false">H45*(1+$C$4)</f>
        <v>0</v>
      </c>
      <c r="I88" s="438" t="n">
        <f aca="false">I45</f>
        <v>0.15</v>
      </c>
      <c r="J88" s="438" t="n">
        <f aca="false">J45</f>
        <v>0.702</v>
      </c>
      <c r="K88" s="438" t="n">
        <f aca="false">K45</f>
        <v>0.531</v>
      </c>
      <c r="L88" s="397" t="n">
        <f aca="false">(C88*($H88+($H88*$I88)+($H88*$J88)+($H88*$I88*$K88))*E88/12)</f>
        <v>0</v>
      </c>
      <c r="M88" s="398" t="n">
        <f aca="false">(D88*($H88+($H88*$I88)+($H88*$J88)+($H88*$I88*$K88))*F88/12)</f>
        <v>0</v>
      </c>
    </row>
    <row r="89" customFormat="false" ht="12.75" hidden="false" customHeight="false" outlineLevel="0" collapsed="false">
      <c r="A89" s="440"/>
      <c r="B89" s="441" t="str">
        <f aca="false">B46</f>
        <v>Other</v>
      </c>
      <c r="C89" s="442" t="n">
        <f aca="false">C46</f>
        <v>0</v>
      </c>
      <c r="D89" s="442" t="n">
        <f aca="false">D46</f>
        <v>0</v>
      </c>
      <c r="E89" s="442" t="n">
        <f aca="false">E46</f>
        <v>0</v>
      </c>
      <c r="F89" s="442" t="n">
        <f aca="false">F46</f>
        <v>0</v>
      </c>
      <c r="G89" s="442" t="n">
        <f aca="false">C89*E89/12+D89*F89/12</f>
        <v>0</v>
      </c>
      <c r="H89" s="443" t="n">
        <f aca="false">H46*(1+$C$4)</f>
        <v>0</v>
      </c>
      <c r="I89" s="444" t="n">
        <f aca="false">I46</f>
        <v>0.15</v>
      </c>
      <c r="J89" s="444" t="n">
        <f aca="false">J46</f>
        <v>0.702</v>
      </c>
      <c r="K89" s="445" t="n">
        <f aca="false">K46</f>
        <v>0.531</v>
      </c>
      <c r="L89" s="417" t="n">
        <f aca="false">(C89*($H89+($H89*$I89)+($H89*$J89)+($H89*$I89*$K89))*E89/12)</f>
        <v>0</v>
      </c>
      <c r="M89" s="418" t="n">
        <f aca="false">(D89*($H89+($H89*$I89)+($H89*$J89)+($H89*$I89*$K89))*F89/12)</f>
        <v>0</v>
      </c>
    </row>
    <row r="90" customFormat="false" ht="15.75" hidden="false" customHeight="false" outlineLevel="0" collapsed="false">
      <c r="A90" s="419" t="s">
        <v>865</v>
      </c>
      <c r="B90" s="420"/>
      <c r="C90" s="421" t="n">
        <f aca="false">SUM(C53:C89)</f>
        <v>0</v>
      </c>
      <c r="D90" s="421" t="n">
        <f aca="false">SUM(D53:D89)</f>
        <v>15</v>
      </c>
      <c r="E90" s="421"/>
      <c r="F90" s="422"/>
      <c r="G90" s="423" t="n">
        <f aca="false">SUM(G53:G89)</f>
        <v>15</v>
      </c>
      <c r="H90" s="446"/>
      <c r="I90" s="446"/>
      <c r="J90" s="446"/>
      <c r="K90" s="446"/>
      <c r="L90" s="425" t="n">
        <f aca="false">SUM(L53:L89)</f>
        <v>0</v>
      </c>
      <c r="M90" s="426" t="n">
        <f aca="false">SUM(M53:M89)</f>
        <v>1451918.666</v>
      </c>
    </row>
    <row r="91" customFormat="false" ht="27.75" hidden="false" customHeight="true" outlineLevel="0" collapsed="false">
      <c r="A91" s="429"/>
      <c r="B91" s="429"/>
      <c r="C91" s="430"/>
      <c r="D91" s="430"/>
      <c r="E91" s="430"/>
      <c r="F91" s="430"/>
      <c r="G91" s="430"/>
      <c r="H91" s="431"/>
      <c r="I91" s="432" t="s">
        <v>867</v>
      </c>
      <c r="J91" s="433"/>
      <c r="K91" s="433"/>
      <c r="L91" s="447"/>
      <c r="M91" s="448" t="n">
        <f aca="false">L90+M90</f>
        <v>1451918.666</v>
      </c>
      <c r="N91" s="427"/>
      <c r="O91" s="427"/>
      <c r="P91" s="427"/>
      <c r="Q91" s="428"/>
      <c r="R91" s="427"/>
    </row>
    <row r="92" customFormat="false" ht="55.5" hidden="false" customHeight="true" outlineLevel="0" collapsed="false">
      <c r="A92" s="20"/>
      <c r="B92" s="20"/>
      <c r="C92" s="20"/>
      <c r="D92" s="20"/>
      <c r="E92" s="20"/>
      <c r="F92" s="20"/>
      <c r="G92" s="20"/>
      <c r="H92" s="449"/>
      <c r="I92" s="20"/>
      <c r="J92" s="20"/>
      <c r="K92" s="20"/>
    </row>
    <row r="93" customFormat="false" ht="58.5" hidden="false" customHeight="true" outlineLevel="0" collapsed="false">
      <c r="A93" s="385"/>
      <c r="B93" s="386" t="s">
        <v>156</v>
      </c>
      <c r="C93" s="387" t="str">
        <f aca="false">C7</f>
        <v>No. of Expats</v>
      </c>
      <c r="D93" s="387" t="str">
        <f aca="false">D7</f>
        <v>No. of Locals</v>
      </c>
      <c r="E93" s="387" t="str">
        <f aca="false">E7</f>
        <v>Months on Site per Year (Expat)</v>
      </c>
      <c r="F93" s="387" t="str">
        <f aca="false">F7</f>
        <v>Months on Site per Year (Local)</v>
      </c>
      <c r="G93" s="387" t="str">
        <f aca="false">G7</f>
        <v>Total Employees per Year</v>
      </c>
      <c r="H93" s="387" t="str">
        <f aca="false">H7</f>
        <v>Annual Base Salary per Employee</v>
      </c>
      <c r="I93" s="387" t="str">
        <f aca="false">I7</f>
        <v>Annual Overtime %</v>
      </c>
      <c r="J93" s="387" t="str">
        <f aca="false">J7</f>
        <v>Benefits % on Base</v>
      </c>
      <c r="K93" s="387" t="str">
        <f aca="false">K7</f>
        <v>Benefits % on Overtime</v>
      </c>
      <c r="L93" s="387" t="str">
        <f aca="false">L7</f>
        <v>Total Expat Salary</v>
      </c>
      <c r="M93" s="387" t="str">
        <f aca="false">M7</f>
        <v>Total Local Salary </v>
      </c>
    </row>
    <row r="94" customFormat="false" ht="12.75" hidden="false" customHeight="false" outlineLevel="0" collapsed="false">
      <c r="A94" s="394"/>
      <c r="B94" s="157"/>
      <c r="C94" s="395"/>
      <c r="D94" s="395"/>
      <c r="E94" s="395"/>
      <c r="F94" s="395"/>
      <c r="G94" s="395"/>
      <c r="H94" s="396"/>
      <c r="I94" s="395"/>
      <c r="J94" s="395"/>
      <c r="K94" s="395"/>
      <c r="L94" s="397"/>
      <c r="M94" s="398"/>
    </row>
    <row r="95" customFormat="false" ht="12.75" hidden="false" customHeight="false" outlineLevel="0" collapsed="false">
      <c r="A95" s="401" t="s">
        <v>235</v>
      </c>
      <c r="B95" s="157"/>
      <c r="C95" s="395"/>
      <c r="D95" s="395"/>
      <c r="E95" s="395"/>
      <c r="F95" s="395"/>
      <c r="G95" s="395"/>
      <c r="H95" s="396"/>
      <c r="I95" s="395"/>
      <c r="J95" s="395"/>
      <c r="K95" s="395"/>
      <c r="L95" s="397"/>
      <c r="M95" s="398"/>
    </row>
    <row r="96" customFormat="false" ht="12.75" hidden="false" customHeight="false" outlineLevel="0" collapsed="false">
      <c r="A96" s="435"/>
      <c r="B96" s="194" t="str">
        <f aca="false">B53</f>
        <v>Plant Manager</v>
      </c>
      <c r="C96" s="436" t="n">
        <f aca="false">C53</f>
        <v>0</v>
      </c>
      <c r="D96" s="436" t="n">
        <f aca="false">D53</f>
        <v>1</v>
      </c>
      <c r="E96" s="436" t="n">
        <f aca="false">E53</f>
        <v>0</v>
      </c>
      <c r="F96" s="436" t="n">
        <f aca="false">F53</f>
        <v>12</v>
      </c>
      <c r="G96" s="436" t="n">
        <f aca="false">C96*E96/12+D96*F96/12</f>
        <v>1</v>
      </c>
      <c r="H96" s="437" t="n">
        <f aca="false">H53*(1+$C$4)</f>
        <v>87000</v>
      </c>
      <c r="I96" s="438" t="n">
        <f aca="false">I53</f>
        <v>0</v>
      </c>
      <c r="J96" s="438" t="n">
        <f aca="false">J53</f>
        <v>0.702</v>
      </c>
      <c r="K96" s="438" t="n">
        <f aca="false">K53</f>
        <v>0.531</v>
      </c>
      <c r="L96" s="397" t="n">
        <f aca="false">(C96*($H96+($H96*$I96)+($H96*$J96)+($H96*$I96*$K96))*E96/12)</f>
        <v>0</v>
      </c>
      <c r="M96" s="398" t="n">
        <f aca="false">(D96*($H96+($H96*$I96)+($H96*$J96)+($H96*$I96*$K96))*F96/12)</f>
        <v>148074</v>
      </c>
    </row>
    <row r="97" customFormat="false" ht="12.75" hidden="false" customHeight="false" outlineLevel="0" collapsed="false">
      <c r="A97" s="435"/>
      <c r="B97" s="194" t="str">
        <f aca="false">B54</f>
        <v>Assistant Plant Manager</v>
      </c>
      <c r="C97" s="436" t="n">
        <f aca="false">C54</f>
        <v>0</v>
      </c>
      <c r="D97" s="436" t="n">
        <f aca="false">D54</f>
        <v>0</v>
      </c>
      <c r="E97" s="436" t="n">
        <f aca="false">E54</f>
        <v>0</v>
      </c>
      <c r="F97" s="436" t="n">
        <f aca="false">F54</f>
        <v>0</v>
      </c>
      <c r="G97" s="436" t="n">
        <f aca="false">C97*E97/12+D97*F97/12</f>
        <v>0</v>
      </c>
      <c r="H97" s="437" t="n">
        <f aca="false">H54*(1+$C$4)</f>
        <v>0</v>
      </c>
      <c r="I97" s="438" t="n">
        <f aca="false">I54</f>
        <v>0</v>
      </c>
      <c r="J97" s="438" t="n">
        <f aca="false">J54</f>
        <v>0.702</v>
      </c>
      <c r="K97" s="438" t="n">
        <f aca="false">K54</f>
        <v>0.531</v>
      </c>
      <c r="L97" s="397" t="n">
        <f aca="false">(C97*($H97+($H97*$I97)+($H97*$J97)+($H97*$I97*$K97))*E97/12)</f>
        <v>0</v>
      </c>
      <c r="M97" s="398" t="n">
        <f aca="false">(D97*($H97+($H97*$I97)+($H97*$J97)+($H97*$I97*$K97))*F97/12)</f>
        <v>0</v>
      </c>
    </row>
    <row r="98" customFormat="false" ht="12.75" hidden="false" customHeight="false" outlineLevel="0" collapsed="false">
      <c r="A98" s="435"/>
      <c r="B98" s="194" t="str">
        <f aca="false">B55</f>
        <v>Plant Engineer</v>
      </c>
      <c r="C98" s="436" t="n">
        <f aca="false">C55</f>
        <v>0</v>
      </c>
      <c r="D98" s="436" t="n">
        <f aca="false">D55</f>
        <v>0</v>
      </c>
      <c r="E98" s="436" t="n">
        <f aca="false">E55</f>
        <v>0</v>
      </c>
      <c r="F98" s="436" t="n">
        <f aca="false">F55</f>
        <v>0</v>
      </c>
      <c r="G98" s="436" t="n">
        <f aca="false">C98*E98/12+D98*F98/12</f>
        <v>0</v>
      </c>
      <c r="H98" s="437" t="n">
        <f aca="false">H55*(1+$C$4)</f>
        <v>0</v>
      </c>
      <c r="I98" s="438" t="n">
        <f aca="false">I55</f>
        <v>0</v>
      </c>
      <c r="J98" s="438" t="n">
        <f aca="false">J55</f>
        <v>0.702</v>
      </c>
      <c r="K98" s="438" t="n">
        <f aca="false">K55</f>
        <v>0.531</v>
      </c>
      <c r="L98" s="397" t="n">
        <f aca="false">(C98*($H98+($H98*$I98)+($H98*$J98)+($H98*$I98*$K98))*E98/12)</f>
        <v>0</v>
      </c>
      <c r="M98" s="398" t="n">
        <f aca="false">(D98*($H98+($H98*$I98)+($H98*$J98)+($H98*$I98*$K98))*F98/12)</f>
        <v>0</v>
      </c>
    </row>
    <row r="99" customFormat="false" ht="12.75" hidden="false" customHeight="false" outlineLevel="0" collapsed="false">
      <c r="A99" s="435"/>
      <c r="B99" s="194" t="str">
        <f aca="false">B56</f>
        <v>Administration Manager</v>
      </c>
      <c r="C99" s="436" t="n">
        <f aca="false">C56</f>
        <v>0</v>
      </c>
      <c r="D99" s="436" t="n">
        <f aca="false">D56</f>
        <v>0</v>
      </c>
      <c r="E99" s="436" t="n">
        <f aca="false">E56</f>
        <v>0</v>
      </c>
      <c r="F99" s="436" t="n">
        <f aca="false">F56</f>
        <v>0</v>
      </c>
      <c r="G99" s="436" t="n">
        <f aca="false">C99*E99/12+D99*F99/12</f>
        <v>0</v>
      </c>
      <c r="H99" s="437" t="n">
        <f aca="false">H56*(1+$C$4)</f>
        <v>0</v>
      </c>
      <c r="I99" s="438" t="n">
        <f aca="false">I56</f>
        <v>0</v>
      </c>
      <c r="J99" s="438" t="n">
        <f aca="false">J56</f>
        <v>0.702</v>
      </c>
      <c r="K99" s="438" t="n">
        <f aca="false">K56</f>
        <v>0.531</v>
      </c>
      <c r="L99" s="397" t="n">
        <f aca="false">(C99*($H99+($H99*$I99)+($H99*$J99)+($H99*$I99*$K99))*E99/12)</f>
        <v>0</v>
      </c>
      <c r="M99" s="398" t="n">
        <f aca="false">(D99*($H99+($H99*$I99)+($H99*$J99)+($H99*$I99*$K99))*F99/12)</f>
        <v>0</v>
      </c>
    </row>
    <row r="100" customFormat="false" ht="12.75" hidden="false" customHeight="false" outlineLevel="0" collapsed="false">
      <c r="A100" s="435"/>
      <c r="B100" s="194" t="str">
        <f aca="false">B57</f>
        <v>Controller</v>
      </c>
      <c r="C100" s="436" t="n">
        <f aca="false">C57</f>
        <v>0</v>
      </c>
      <c r="D100" s="436" t="n">
        <f aca="false">D57</f>
        <v>0</v>
      </c>
      <c r="E100" s="436" t="n">
        <f aca="false">E57</f>
        <v>0</v>
      </c>
      <c r="F100" s="436" t="n">
        <f aca="false">F57</f>
        <v>0</v>
      </c>
      <c r="G100" s="436" t="n">
        <f aca="false">C100*E100/12+D100*F100/12</f>
        <v>0</v>
      </c>
      <c r="H100" s="437" t="n">
        <f aca="false">H57*(1+$C$4)</f>
        <v>0</v>
      </c>
      <c r="I100" s="438" t="n">
        <f aca="false">I57</f>
        <v>0</v>
      </c>
      <c r="J100" s="438" t="n">
        <f aca="false">J57</f>
        <v>0.702</v>
      </c>
      <c r="K100" s="438" t="n">
        <f aca="false">K57</f>
        <v>0.531</v>
      </c>
      <c r="L100" s="397" t="n">
        <f aca="false">(C100*($H100+($H100*$I100)+($H100*$J100)+($H100*$I100*$K100))*E100/12)</f>
        <v>0</v>
      </c>
      <c r="M100" s="398" t="n">
        <f aca="false">(D100*($H100+($H100*$I100)+($H100*$J100)+($H100*$I100*$K100))*F100/12)</f>
        <v>0</v>
      </c>
    </row>
    <row r="101" customFormat="false" ht="12.75" hidden="false" customHeight="false" outlineLevel="0" collapsed="false">
      <c r="A101" s="435"/>
      <c r="B101" s="194" t="str">
        <f aca="false">B58</f>
        <v>Accountant</v>
      </c>
      <c r="C101" s="436" t="n">
        <f aca="false">C58</f>
        <v>0</v>
      </c>
      <c r="D101" s="436" t="n">
        <f aca="false">D58</f>
        <v>0</v>
      </c>
      <c r="E101" s="436" t="n">
        <f aca="false">E58</f>
        <v>0</v>
      </c>
      <c r="F101" s="436" t="n">
        <f aca="false">F58</f>
        <v>0</v>
      </c>
      <c r="G101" s="436" t="n">
        <f aca="false">C101*E101/12+D101*F101/12</f>
        <v>0</v>
      </c>
      <c r="H101" s="437" t="n">
        <f aca="false">H58*(1+$C$4)</f>
        <v>0</v>
      </c>
      <c r="I101" s="438" t="n">
        <f aca="false">I58</f>
        <v>0.1</v>
      </c>
      <c r="J101" s="438" t="n">
        <f aca="false">J58</f>
        <v>0.702</v>
      </c>
      <c r="K101" s="438" t="n">
        <f aca="false">K58</f>
        <v>0.531</v>
      </c>
      <c r="L101" s="397" t="n">
        <f aca="false">(C101*($H101+($H101*$I101)+($H101*$J101)+($H101*$I101*$K101))*E101/12)</f>
        <v>0</v>
      </c>
      <c r="M101" s="398" t="n">
        <f aca="false">(D101*($H101+($H101*$I101)+($H101*$J101)+($H101*$I101*$K101))*F101/12)</f>
        <v>0</v>
      </c>
    </row>
    <row r="102" customFormat="false" ht="12.75" hidden="false" customHeight="false" outlineLevel="0" collapsed="false">
      <c r="A102" s="435"/>
      <c r="B102" s="194" t="str">
        <f aca="false">B59</f>
        <v>Administrative Assistant</v>
      </c>
      <c r="C102" s="436" t="n">
        <f aca="false">C59</f>
        <v>0</v>
      </c>
      <c r="D102" s="436" t="n">
        <f aca="false">D59</f>
        <v>1</v>
      </c>
      <c r="E102" s="436" t="n">
        <f aca="false">E59</f>
        <v>0</v>
      </c>
      <c r="F102" s="436" t="n">
        <f aca="false">F59</f>
        <v>12</v>
      </c>
      <c r="G102" s="436" t="n">
        <f aca="false">C102*E102/12+D102*F102/12</f>
        <v>1</v>
      </c>
      <c r="H102" s="437" t="n">
        <f aca="false">H59*(1+$C$4)</f>
        <v>27000</v>
      </c>
      <c r="I102" s="438" t="n">
        <f aca="false">I59</f>
        <v>0.15</v>
      </c>
      <c r="J102" s="438" t="n">
        <f aca="false">J59</f>
        <v>0.702</v>
      </c>
      <c r="K102" s="438" t="n">
        <f aca="false">K59</f>
        <v>0.531</v>
      </c>
      <c r="L102" s="397" t="n">
        <f aca="false">(C102*($H102+($H102*$I102)+($H102*$J102)+($H102*$I102*$K102))*E102/12)</f>
        <v>0</v>
      </c>
      <c r="M102" s="398" t="n">
        <f aca="false">(D102*($H102+($H102*$I102)+($H102*$J102)+($H102*$I102*$K102))*F102/12)</f>
        <v>52154.55</v>
      </c>
    </row>
    <row r="103" customFormat="false" ht="12.75" hidden="false" customHeight="false" outlineLevel="0" collapsed="false">
      <c r="A103" s="435"/>
      <c r="B103" s="194" t="str">
        <f aca="false">B60</f>
        <v>Warehouse Supervisor</v>
      </c>
      <c r="C103" s="436" t="n">
        <f aca="false">C60</f>
        <v>0</v>
      </c>
      <c r="D103" s="436" t="n">
        <f aca="false">D60</f>
        <v>0</v>
      </c>
      <c r="E103" s="436" t="n">
        <f aca="false">E60</f>
        <v>0</v>
      </c>
      <c r="F103" s="436" t="n">
        <f aca="false">F60</f>
        <v>0</v>
      </c>
      <c r="G103" s="436" t="n">
        <f aca="false">C103*E103/12+D103*F103/12</f>
        <v>0</v>
      </c>
      <c r="H103" s="437" t="n">
        <f aca="false">H60*(1+$C$4)</f>
        <v>0</v>
      </c>
      <c r="I103" s="438" t="n">
        <f aca="false">I60</f>
        <v>0</v>
      </c>
      <c r="J103" s="438" t="n">
        <f aca="false">J60</f>
        <v>0.702</v>
      </c>
      <c r="K103" s="438" t="n">
        <f aca="false">K60</f>
        <v>0.531</v>
      </c>
      <c r="L103" s="397" t="n">
        <f aca="false">(C103*($H103+($H103*$I103)+($H103*$J103)+($H103*$I103*$K103))*E103/12)</f>
        <v>0</v>
      </c>
      <c r="M103" s="398" t="n">
        <f aca="false">(D103*($H103+($H103*$I103)+($H103*$J103)+($H103*$I103*$K103))*F103/12)</f>
        <v>0</v>
      </c>
    </row>
    <row r="104" customFormat="false" ht="12.75" hidden="false" customHeight="false" outlineLevel="0" collapsed="false">
      <c r="A104" s="435"/>
      <c r="B104" s="194" t="str">
        <f aca="false">B61</f>
        <v>Other</v>
      </c>
      <c r="C104" s="436" t="n">
        <f aca="false">C61</f>
        <v>0</v>
      </c>
      <c r="D104" s="436" t="n">
        <f aca="false">D61</f>
        <v>0</v>
      </c>
      <c r="E104" s="436" t="n">
        <f aca="false">E61</f>
        <v>0</v>
      </c>
      <c r="F104" s="436" t="n">
        <f aca="false">F61</f>
        <v>0</v>
      </c>
      <c r="G104" s="436" t="n">
        <f aca="false">C104*E104/12+D104*F104/12</f>
        <v>0</v>
      </c>
      <c r="H104" s="437" t="n">
        <f aca="false">H61*(1+$C$4)</f>
        <v>0</v>
      </c>
      <c r="I104" s="438" t="n">
        <f aca="false">I61</f>
        <v>0</v>
      </c>
      <c r="J104" s="438" t="n">
        <f aca="false">J61</f>
        <v>0.702</v>
      </c>
      <c r="K104" s="438" t="n">
        <f aca="false">K61</f>
        <v>0.531</v>
      </c>
      <c r="L104" s="397" t="n">
        <f aca="false">(C104*($H104+($H104*$I104)+($H104*$J104)+($H104*$I104*$K104))*E104/12)</f>
        <v>0</v>
      </c>
      <c r="M104" s="398" t="n">
        <f aca="false">(D104*($H104+($H104*$I104)+($H104*$J104)+($H104*$I104*$K104))*F104/12)</f>
        <v>0</v>
      </c>
    </row>
    <row r="105" customFormat="false" ht="12.75" hidden="false" customHeight="false" outlineLevel="0" collapsed="false">
      <c r="A105" s="435"/>
      <c r="B105" s="194" t="str">
        <f aca="false">B62</f>
        <v>Other</v>
      </c>
      <c r="C105" s="436" t="n">
        <f aca="false">C62</f>
        <v>0</v>
      </c>
      <c r="D105" s="436" t="n">
        <f aca="false">D62</f>
        <v>0</v>
      </c>
      <c r="E105" s="436" t="n">
        <f aca="false">E62</f>
        <v>0</v>
      </c>
      <c r="F105" s="436" t="n">
        <f aca="false">F62</f>
        <v>0</v>
      </c>
      <c r="G105" s="436" t="n">
        <f aca="false">C105*E105/12+D105*F105/12</f>
        <v>0</v>
      </c>
      <c r="H105" s="437" t="n">
        <f aca="false">H62*(1+$C$4)</f>
        <v>0</v>
      </c>
      <c r="I105" s="438" t="n">
        <f aca="false">I62</f>
        <v>0</v>
      </c>
      <c r="J105" s="438" t="n">
        <f aca="false">J62</f>
        <v>0.702</v>
      </c>
      <c r="K105" s="438" t="n">
        <f aca="false">K62</f>
        <v>0.531</v>
      </c>
      <c r="L105" s="397" t="n">
        <f aca="false">(C105*($H105+($H105*$I105)+($H105*$J105)+($H105*$I105*$K105))*E105/12)</f>
        <v>0</v>
      </c>
      <c r="M105" s="398" t="n">
        <f aca="false">(D105*($H105+($H105*$I105)+($H105*$J105)+($H105*$I105*$K105))*F105/12)</f>
        <v>0</v>
      </c>
    </row>
    <row r="106" customFormat="false" ht="12.75" hidden="false" customHeight="false" outlineLevel="0" collapsed="false">
      <c r="A106" s="435"/>
      <c r="B106" s="194" t="str">
        <f aca="false">B63</f>
        <v>Other</v>
      </c>
      <c r="C106" s="436" t="n">
        <f aca="false">C63</f>
        <v>0</v>
      </c>
      <c r="D106" s="436" t="n">
        <f aca="false">D63</f>
        <v>0</v>
      </c>
      <c r="E106" s="436" t="n">
        <f aca="false">E63</f>
        <v>0</v>
      </c>
      <c r="F106" s="436" t="n">
        <f aca="false">F63</f>
        <v>0</v>
      </c>
      <c r="G106" s="436" t="n">
        <f aca="false">C106*E106/12+D106*F106/12</f>
        <v>0</v>
      </c>
      <c r="H106" s="437" t="n">
        <f aca="false">H63*(1+$C$4)</f>
        <v>0</v>
      </c>
      <c r="I106" s="438" t="n">
        <f aca="false">I63</f>
        <v>0</v>
      </c>
      <c r="J106" s="438" t="n">
        <f aca="false">J63</f>
        <v>0.702</v>
      </c>
      <c r="K106" s="438" t="n">
        <f aca="false">K63</f>
        <v>0.531</v>
      </c>
      <c r="L106" s="397" t="n">
        <f aca="false">(C106*($H106+($H106*$I106)+($H106*$J106)+($H106*$I106*$K106))*E106/12)</f>
        <v>0</v>
      </c>
      <c r="M106" s="398" t="n">
        <f aca="false">(D106*($H106+($H106*$I106)+($H106*$J106)+($H106*$I106*$K106))*F106/12)</f>
        <v>0</v>
      </c>
    </row>
    <row r="107" customFormat="false" ht="12.75" hidden="false" customHeight="false" outlineLevel="0" collapsed="false">
      <c r="A107" s="435"/>
      <c r="B107" s="194"/>
      <c r="C107" s="436"/>
      <c r="D107" s="436"/>
      <c r="E107" s="436"/>
      <c r="F107" s="436"/>
      <c r="G107" s="436"/>
      <c r="H107" s="437"/>
      <c r="I107" s="439"/>
      <c r="J107" s="439"/>
      <c r="K107" s="439"/>
      <c r="L107" s="397"/>
      <c r="M107" s="398"/>
    </row>
    <row r="108" customFormat="false" ht="12.75" hidden="false" customHeight="false" outlineLevel="0" collapsed="false">
      <c r="A108" s="401" t="s">
        <v>211</v>
      </c>
      <c r="B108" s="194"/>
      <c r="C108" s="436"/>
      <c r="D108" s="436"/>
      <c r="E108" s="436"/>
      <c r="F108" s="436"/>
      <c r="G108" s="436"/>
      <c r="H108" s="437"/>
      <c r="I108" s="439"/>
      <c r="J108" s="439"/>
      <c r="K108" s="439"/>
      <c r="L108" s="397"/>
      <c r="M108" s="398"/>
    </row>
    <row r="109" customFormat="false" ht="12.75" hidden="false" customHeight="false" outlineLevel="0" collapsed="false">
      <c r="A109" s="435"/>
      <c r="B109" s="194" t="str">
        <f aca="false">B66</f>
        <v>Operations Manager</v>
      </c>
      <c r="C109" s="436" t="n">
        <f aca="false">C66</f>
        <v>0</v>
      </c>
      <c r="D109" s="436" t="n">
        <f aca="false">D66</f>
        <v>1</v>
      </c>
      <c r="E109" s="436" t="n">
        <f aca="false">E66</f>
        <v>0</v>
      </c>
      <c r="F109" s="436" t="n">
        <f aca="false">F66</f>
        <v>12</v>
      </c>
      <c r="G109" s="436" t="n">
        <f aca="false">C109*E109/12+D109*F109/12</f>
        <v>1</v>
      </c>
      <c r="H109" s="437" t="n">
        <f aca="false">H66*(1+$C$4)</f>
        <v>70000</v>
      </c>
      <c r="I109" s="438" t="n">
        <f aca="false">I66</f>
        <v>0</v>
      </c>
      <c r="J109" s="438" t="n">
        <f aca="false">J66</f>
        <v>0.702</v>
      </c>
      <c r="K109" s="438" t="n">
        <f aca="false">K66</f>
        <v>0.531</v>
      </c>
      <c r="L109" s="397" t="n">
        <f aca="false">(C109*($H109+($H109*$I109)+($H109*$J109)+($H109*$I109*$K109))*E109/12)</f>
        <v>0</v>
      </c>
      <c r="M109" s="398" t="n">
        <f aca="false">(D109*($H109+($H109*$I109)+($H109*$J109)+($H109*$I109*$K109))*F109/12)</f>
        <v>119140</v>
      </c>
    </row>
    <row r="110" customFormat="false" ht="12.75" hidden="false" customHeight="false" outlineLevel="0" collapsed="false">
      <c r="A110" s="435"/>
      <c r="B110" s="194" t="str">
        <f aca="false">B67</f>
        <v>Operations Shift Supervisors</v>
      </c>
      <c r="C110" s="436" t="n">
        <f aca="false">C67</f>
        <v>0</v>
      </c>
      <c r="D110" s="436" t="n">
        <f aca="false">D67</f>
        <v>0</v>
      </c>
      <c r="E110" s="436" t="n">
        <f aca="false">E67</f>
        <v>0</v>
      </c>
      <c r="F110" s="436" t="n">
        <f aca="false">F67</f>
        <v>0</v>
      </c>
      <c r="G110" s="436" t="n">
        <f aca="false">C110*E110/12+D110*F110/12</f>
        <v>0</v>
      </c>
      <c r="H110" s="437" t="n">
        <f aca="false">H67*(1+$C$4)</f>
        <v>0</v>
      </c>
      <c r="I110" s="438" t="n">
        <f aca="false">I67</f>
        <v>0.15</v>
      </c>
      <c r="J110" s="438" t="n">
        <f aca="false">J67</f>
        <v>0.702</v>
      </c>
      <c r="K110" s="438" t="n">
        <f aca="false">K67</f>
        <v>0.531</v>
      </c>
      <c r="L110" s="397" t="n">
        <f aca="false">(C110*($H110+($H110*$I110)+($H110*$J110)+($H110*$I110*$K110))*E110/12)</f>
        <v>0</v>
      </c>
      <c r="M110" s="398" t="n">
        <f aca="false">(D110*($H110+($H110*$I110)+($H110*$J110)+($H110*$I110*$K110))*F110/12)</f>
        <v>0</v>
      </c>
    </row>
    <row r="111" customFormat="false" ht="12.75" hidden="false" customHeight="false" outlineLevel="0" collapsed="false">
      <c r="A111" s="435"/>
      <c r="B111" s="194" t="str">
        <f aca="false">B68</f>
        <v>Control Room Operators</v>
      </c>
      <c r="C111" s="436" t="n">
        <f aca="false">C68</f>
        <v>0</v>
      </c>
      <c r="D111" s="436" t="n">
        <f aca="false">D68</f>
        <v>0</v>
      </c>
      <c r="E111" s="436" t="n">
        <f aca="false">E68</f>
        <v>0</v>
      </c>
      <c r="F111" s="436" t="n">
        <f aca="false">F68</f>
        <v>0</v>
      </c>
      <c r="G111" s="436" t="n">
        <f aca="false">C111*E111/12+D111*F111/12</f>
        <v>0</v>
      </c>
      <c r="H111" s="437" t="n">
        <f aca="false">H68*(1+$C$4)</f>
        <v>0</v>
      </c>
      <c r="I111" s="438" t="n">
        <f aca="false">I68</f>
        <v>0.15</v>
      </c>
      <c r="J111" s="438" t="n">
        <f aca="false">J68</f>
        <v>0.702</v>
      </c>
      <c r="K111" s="438" t="n">
        <f aca="false">K68</f>
        <v>0.531</v>
      </c>
      <c r="L111" s="397" t="n">
        <f aca="false">(C111*($H111+($H111*$I111)+($H111*$J111)+($H111*$I111*$K111))*E111/12)</f>
        <v>0</v>
      </c>
      <c r="M111" s="398" t="n">
        <f aca="false">(D111*($H111+($H111*$I111)+($H111*$J111)+($H111*$I111*$K111))*F111/12)</f>
        <v>0</v>
      </c>
    </row>
    <row r="112" customFormat="false" ht="12.75" hidden="false" customHeight="false" outlineLevel="0" collapsed="false">
      <c r="A112" s="435"/>
      <c r="B112" s="194" t="str">
        <f aca="false">B69</f>
        <v>Turbine Operators</v>
      </c>
      <c r="C112" s="436" t="n">
        <f aca="false">C69</f>
        <v>0</v>
      </c>
      <c r="D112" s="436" t="n">
        <f aca="false">D69</f>
        <v>0</v>
      </c>
      <c r="E112" s="436" t="n">
        <f aca="false">E69</f>
        <v>0</v>
      </c>
      <c r="F112" s="436" t="n">
        <f aca="false">F69</f>
        <v>0</v>
      </c>
      <c r="G112" s="436" t="n">
        <f aca="false">C112*E112/12+D112*F112/12</f>
        <v>0</v>
      </c>
      <c r="H112" s="437" t="n">
        <f aca="false">H69*(1+$C$4)</f>
        <v>0</v>
      </c>
      <c r="I112" s="438" t="n">
        <f aca="false">I69</f>
        <v>0.15</v>
      </c>
      <c r="J112" s="438" t="n">
        <f aca="false">J69</f>
        <v>0.702</v>
      </c>
      <c r="K112" s="438" t="n">
        <f aca="false">K69</f>
        <v>0.531</v>
      </c>
      <c r="L112" s="397" t="n">
        <f aca="false">(C112*($H112+($H112*$I112)+($H112*$J112)+($H112*$I112*$K112))*E112/12)</f>
        <v>0</v>
      </c>
      <c r="M112" s="398" t="n">
        <f aca="false">(D112*($H112+($H112*$I112)+($H112*$J112)+($H112*$I112*$K112))*F112/12)</f>
        <v>0</v>
      </c>
    </row>
    <row r="113" customFormat="false" ht="12.75" hidden="false" customHeight="false" outlineLevel="0" collapsed="false">
      <c r="A113" s="435"/>
      <c r="B113" s="194" t="str">
        <f aca="false">B70</f>
        <v>Water System Opertors</v>
      </c>
      <c r="C113" s="436" t="n">
        <f aca="false">C70</f>
        <v>0</v>
      </c>
      <c r="D113" s="436" t="n">
        <f aca="false">D70</f>
        <v>0</v>
      </c>
      <c r="E113" s="436" t="n">
        <f aca="false">E70</f>
        <v>0</v>
      </c>
      <c r="F113" s="436" t="n">
        <f aca="false">F70</f>
        <v>0</v>
      </c>
      <c r="G113" s="436" t="n">
        <f aca="false">C113*E113/12+D113*F113/12</f>
        <v>0</v>
      </c>
      <c r="H113" s="437" t="n">
        <f aca="false">H70*(1+$C$4)</f>
        <v>0</v>
      </c>
      <c r="I113" s="438" t="n">
        <f aca="false">I70</f>
        <v>0.15</v>
      </c>
      <c r="J113" s="438" t="n">
        <f aca="false">J70</f>
        <v>0.702</v>
      </c>
      <c r="K113" s="438" t="n">
        <f aca="false">K70</f>
        <v>0.531</v>
      </c>
      <c r="L113" s="397" t="n">
        <f aca="false">(C113*($H113+($H113*$I113)+($H113*$J113)+($H113*$I113*$K113))*E113/12)</f>
        <v>0</v>
      </c>
      <c r="M113" s="398" t="n">
        <f aca="false">(D113*($H113+($H113*$I113)+($H113*$J113)+($H113*$I113*$K113))*F113/12)</f>
        <v>0</v>
      </c>
    </row>
    <row r="114" customFormat="false" ht="12.75" hidden="false" customHeight="false" outlineLevel="0" collapsed="false">
      <c r="A114" s="435"/>
      <c r="B114" s="194" t="str">
        <f aca="false">B71</f>
        <v>Fuel Storage/Handling Operators</v>
      </c>
      <c r="C114" s="436" t="n">
        <f aca="false">C71</f>
        <v>0</v>
      </c>
      <c r="D114" s="436" t="n">
        <f aca="false">D71</f>
        <v>0</v>
      </c>
      <c r="E114" s="436" t="n">
        <f aca="false">E71</f>
        <v>0</v>
      </c>
      <c r="F114" s="436" t="n">
        <f aca="false">F71</f>
        <v>0</v>
      </c>
      <c r="G114" s="436" t="n">
        <f aca="false">C114*E114/12+D114*F114/12</f>
        <v>0</v>
      </c>
      <c r="H114" s="437" t="n">
        <f aca="false">H71*(1+$C$4)</f>
        <v>0</v>
      </c>
      <c r="I114" s="438" t="n">
        <f aca="false">I71</f>
        <v>0.15</v>
      </c>
      <c r="J114" s="438" t="n">
        <f aca="false">J71</f>
        <v>0.702</v>
      </c>
      <c r="K114" s="438" t="n">
        <f aca="false">K71</f>
        <v>0.531</v>
      </c>
      <c r="L114" s="397" t="n">
        <f aca="false">(C114*($H114+($H114*$I114)+($H114*$J114)+($H114*$I114*$K114))*E114/12)</f>
        <v>0</v>
      </c>
      <c r="M114" s="398" t="n">
        <f aca="false">(D114*($H114+($H114*$I114)+($H114*$J114)+($H114*$I114*$K114))*F114/12)</f>
        <v>0</v>
      </c>
    </row>
    <row r="115" customFormat="false" ht="12.75" hidden="false" customHeight="false" outlineLevel="0" collapsed="false">
      <c r="A115" s="435"/>
      <c r="B115" s="194" t="str">
        <f aca="false">B72</f>
        <v>Utility Operators</v>
      </c>
      <c r="C115" s="436" t="n">
        <f aca="false">C72</f>
        <v>0</v>
      </c>
      <c r="D115" s="436" t="n">
        <f aca="false">D72</f>
        <v>0</v>
      </c>
      <c r="E115" s="436" t="n">
        <f aca="false">E72</f>
        <v>0</v>
      </c>
      <c r="F115" s="436" t="n">
        <f aca="false">F72</f>
        <v>0</v>
      </c>
      <c r="G115" s="436" t="n">
        <f aca="false">C115*E115/12+D115*F115/12</f>
        <v>0</v>
      </c>
      <c r="H115" s="437" t="n">
        <f aca="false">H72*(1+$C$4)</f>
        <v>0</v>
      </c>
      <c r="I115" s="438" t="n">
        <f aca="false">I72</f>
        <v>0.15</v>
      </c>
      <c r="J115" s="438" t="n">
        <f aca="false">J72</f>
        <v>0.702</v>
      </c>
      <c r="K115" s="438" t="n">
        <f aca="false">K72</f>
        <v>0.531</v>
      </c>
      <c r="L115" s="397" t="n">
        <f aca="false">(C115*($H115+($H115*$I115)+($H115*$J115)+($H115*$I115*$K115))*E115/12)</f>
        <v>0</v>
      </c>
      <c r="M115" s="398" t="n">
        <f aca="false">(D115*($H115+($H115*$I115)+($H115*$J115)+($H115*$I115*$K115))*F115/12)</f>
        <v>0</v>
      </c>
    </row>
    <row r="116" customFormat="false" ht="12.75" hidden="false" customHeight="false" outlineLevel="0" collapsed="false">
      <c r="A116" s="435"/>
      <c r="B116" s="194" t="str">
        <f aca="false">B73</f>
        <v>Chemist</v>
      </c>
      <c r="C116" s="436" t="n">
        <f aca="false">C73</f>
        <v>0</v>
      </c>
      <c r="D116" s="436" t="n">
        <f aca="false">D73</f>
        <v>0</v>
      </c>
      <c r="E116" s="436" t="n">
        <f aca="false">E73</f>
        <v>0</v>
      </c>
      <c r="F116" s="436" t="n">
        <f aca="false">F73</f>
        <v>0</v>
      </c>
      <c r="G116" s="436" t="n">
        <f aca="false">C116*E116/12+D116*F116/12</f>
        <v>0</v>
      </c>
      <c r="H116" s="437" t="n">
        <f aca="false">H73*(1+$C$4)</f>
        <v>0</v>
      </c>
      <c r="I116" s="438" t="n">
        <f aca="false">I73</f>
        <v>0.15</v>
      </c>
      <c r="J116" s="438" t="n">
        <f aca="false">J73</f>
        <v>0.702</v>
      </c>
      <c r="K116" s="438" t="n">
        <f aca="false">K73</f>
        <v>0.531</v>
      </c>
      <c r="L116" s="397" t="n">
        <f aca="false">(C116*($H116+($H116*$I116)+($H116*$J116)+($H116*$I116*$K116))*E116/12)</f>
        <v>0</v>
      </c>
      <c r="M116" s="398" t="n">
        <f aca="false">(D116*($H116+($H116*$I116)+($H116*$J116)+($H116*$I116*$K116))*F116/12)</f>
        <v>0</v>
      </c>
    </row>
    <row r="117" customFormat="false" ht="12.75" hidden="false" customHeight="false" outlineLevel="0" collapsed="false">
      <c r="A117" s="435"/>
      <c r="B117" s="194" t="str">
        <f aca="false">B74</f>
        <v>Tech III</v>
      </c>
      <c r="C117" s="436" t="n">
        <f aca="false">C74</f>
        <v>0</v>
      </c>
      <c r="D117" s="436" t="n">
        <f aca="false">D74</f>
        <v>4</v>
      </c>
      <c r="E117" s="436" t="n">
        <f aca="false">E74</f>
        <v>0</v>
      </c>
      <c r="F117" s="436" t="n">
        <f aca="false">F74</f>
        <v>12</v>
      </c>
      <c r="G117" s="436" t="n">
        <f aca="false">C117*E117/12+D117*F117/12</f>
        <v>4</v>
      </c>
      <c r="H117" s="437" t="n">
        <f aca="false">H74*(1+$C$4)</f>
        <v>52000</v>
      </c>
      <c r="I117" s="438" t="n">
        <f aca="false">I74</f>
        <v>0.15</v>
      </c>
      <c r="J117" s="438" t="n">
        <f aca="false">J74</f>
        <v>0.702</v>
      </c>
      <c r="K117" s="438" t="n">
        <f aca="false">K74</f>
        <v>0.531</v>
      </c>
      <c r="L117" s="397" t="n">
        <f aca="false">(C117*($H117+($H117*$I117)+($H117*$J117)+($H117*$I117*$K117))*E117/12)</f>
        <v>0</v>
      </c>
      <c r="M117" s="398" t="n">
        <f aca="false">(D117*($H117+($H117*$I117)+($H117*$J117)+($H117*$I117*$K117))*F117/12)</f>
        <v>401783.2</v>
      </c>
    </row>
    <row r="118" customFormat="false" ht="12.75" hidden="false" customHeight="false" outlineLevel="0" collapsed="false">
      <c r="A118" s="435"/>
      <c r="B118" s="194" t="str">
        <f aca="false">B75</f>
        <v>Tech II</v>
      </c>
      <c r="C118" s="436" t="n">
        <f aca="false">C75</f>
        <v>0</v>
      </c>
      <c r="D118" s="436" t="n">
        <f aca="false">D75</f>
        <v>4</v>
      </c>
      <c r="E118" s="436" t="n">
        <f aca="false">E75</f>
        <v>0</v>
      </c>
      <c r="F118" s="436" t="n">
        <f aca="false">F75</f>
        <v>12</v>
      </c>
      <c r="G118" s="436" t="n">
        <f aca="false">C118*E118/12+D118*F118/12</f>
        <v>4</v>
      </c>
      <c r="H118" s="437" t="n">
        <f aca="false">H75*(1+$C$4)</f>
        <v>45760</v>
      </c>
      <c r="I118" s="438" t="n">
        <f aca="false">I75</f>
        <v>0.15</v>
      </c>
      <c r="J118" s="438" t="n">
        <f aca="false">J75</f>
        <v>0.702</v>
      </c>
      <c r="K118" s="438" t="n">
        <f aca="false">K75</f>
        <v>0.531</v>
      </c>
      <c r="L118" s="397" t="n">
        <f aca="false">(C118*($H118+($H118*$I118)+($H118*$J118)+($H118*$I118*$K118))*E118/12)</f>
        <v>0</v>
      </c>
      <c r="M118" s="398" t="n">
        <f aca="false">(D118*($H118+($H118*$I118)+($H118*$J118)+($H118*$I118*$K118))*F118/12)</f>
        <v>353569.216</v>
      </c>
    </row>
    <row r="119" customFormat="false" ht="12.75" hidden="false" customHeight="false" outlineLevel="0" collapsed="false">
      <c r="A119" s="435"/>
      <c r="B119" s="194" t="str">
        <f aca="false">B76</f>
        <v>Other</v>
      </c>
      <c r="C119" s="436" t="n">
        <f aca="false">C76</f>
        <v>0</v>
      </c>
      <c r="D119" s="436" t="n">
        <f aca="false">D76</f>
        <v>0</v>
      </c>
      <c r="E119" s="436" t="n">
        <f aca="false">E76</f>
        <v>0</v>
      </c>
      <c r="F119" s="436" t="n">
        <f aca="false">F76</f>
        <v>0</v>
      </c>
      <c r="G119" s="436" t="n">
        <f aca="false">C119*E119/12+D119*F119/12</f>
        <v>0</v>
      </c>
      <c r="H119" s="437" t="n">
        <f aca="false">H76*(1+$C$4)</f>
        <v>0</v>
      </c>
      <c r="I119" s="438" t="n">
        <f aca="false">I76</f>
        <v>0.15</v>
      </c>
      <c r="J119" s="438" t="n">
        <f aca="false">J76</f>
        <v>0.702</v>
      </c>
      <c r="K119" s="438" t="n">
        <f aca="false">K76</f>
        <v>0.531</v>
      </c>
      <c r="L119" s="397" t="n">
        <f aca="false">(C119*($H119+($H119*$I119)+($H119*$J119)+($H119*$I119*$K119))*E119/12)</f>
        <v>0</v>
      </c>
      <c r="M119" s="398" t="n">
        <f aca="false">(D119*($H119+($H119*$I119)+($H119*$J119)+($H119*$I119*$K119))*F119/12)</f>
        <v>0</v>
      </c>
    </row>
    <row r="120" customFormat="false" ht="12.75" hidden="false" customHeight="false" outlineLevel="0" collapsed="false">
      <c r="A120" s="435"/>
      <c r="B120" s="194"/>
      <c r="C120" s="436"/>
      <c r="D120" s="436"/>
      <c r="E120" s="436"/>
      <c r="F120" s="436"/>
      <c r="G120" s="436"/>
      <c r="H120" s="437"/>
      <c r="I120" s="439"/>
      <c r="J120" s="439"/>
      <c r="K120" s="439"/>
      <c r="L120" s="397"/>
      <c r="M120" s="398"/>
    </row>
    <row r="121" customFormat="false" ht="12.75" hidden="false" customHeight="false" outlineLevel="0" collapsed="false">
      <c r="A121" s="401" t="s">
        <v>212</v>
      </c>
      <c r="B121" s="194"/>
      <c r="C121" s="436"/>
      <c r="D121" s="436"/>
      <c r="E121" s="436"/>
      <c r="F121" s="436"/>
      <c r="G121" s="436"/>
      <c r="H121" s="437"/>
      <c r="I121" s="439"/>
      <c r="J121" s="439"/>
      <c r="K121" s="439"/>
      <c r="L121" s="397"/>
      <c r="M121" s="398"/>
    </row>
    <row r="122" customFormat="false" ht="12.75" hidden="false" customHeight="false" outlineLevel="0" collapsed="false">
      <c r="A122" s="435"/>
      <c r="B122" s="194" t="str">
        <f aca="false">B79</f>
        <v>Maintenance Manager</v>
      </c>
      <c r="C122" s="436" t="n">
        <f aca="false">C79</f>
        <v>0</v>
      </c>
      <c r="D122" s="436" t="n">
        <f aca="false">D79</f>
        <v>1</v>
      </c>
      <c r="E122" s="436" t="n">
        <f aca="false">E79</f>
        <v>0</v>
      </c>
      <c r="F122" s="436" t="n">
        <f aca="false">F79</f>
        <v>12</v>
      </c>
      <c r="G122" s="436" t="n">
        <f aca="false">C122*E122/12+D122*F122/12</f>
        <v>1</v>
      </c>
      <c r="H122" s="437" t="n">
        <f aca="false">H79*(1+$C$4)</f>
        <v>65000</v>
      </c>
      <c r="I122" s="438" t="n">
        <f aca="false">I79</f>
        <v>0</v>
      </c>
      <c r="J122" s="438" t="n">
        <f aca="false">J79</f>
        <v>0.702</v>
      </c>
      <c r="K122" s="438" t="n">
        <f aca="false">K79</f>
        <v>0.531</v>
      </c>
      <c r="L122" s="397" t="n">
        <f aca="false">(C122*($H122+($H122*$I122)+($H122*$J122)+($H122*$I122*$K122))*E122/12)</f>
        <v>0</v>
      </c>
      <c r="M122" s="398" t="n">
        <f aca="false">(D122*($H122+($H122*$I122)+($H122*$J122)+($H122*$I122*$K122))*F122/12)</f>
        <v>110630</v>
      </c>
    </row>
    <row r="123" customFormat="false" ht="12.75" hidden="false" customHeight="false" outlineLevel="0" collapsed="false">
      <c r="A123" s="435"/>
      <c r="B123" s="194" t="str">
        <f aca="false">B80</f>
        <v>Mechanical Engineer</v>
      </c>
      <c r="C123" s="436" t="n">
        <f aca="false">C80</f>
        <v>0</v>
      </c>
      <c r="D123" s="436" t="n">
        <f aca="false">D80</f>
        <v>0</v>
      </c>
      <c r="E123" s="436" t="n">
        <f aca="false">E80</f>
        <v>0</v>
      </c>
      <c r="F123" s="436" t="n">
        <f aca="false">F80</f>
        <v>0</v>
      </c>
      <c r="G123" s="436" t="n">
        <f aca="false">C123*E123/12+D123*F123/12</f>
        <v>0</v>
      </c>
      <c r="H123" s="437" t="n">
        <f aca="false">H80*(1+$C$4)</f>
        <v>0</v>
      </c>
      <c r="I123" s="438" t="n">
        <f aca="false">I80</f>
        <v>0</v>
      </c>
      <c r="J123" s="438" t="n">
        <f aca="false">J80</f>
        <v>0.702</v>
      </c>
      <c r="K123" s="438" t="n">
        <f aca="false">K80</f>
        <v>0.531</v>
      </c>
      <c r="L123" s="397" t="n">
        <f aca="false">(C123*($H123+($H123*$I123)+($H123*$J123)+($H123*$I123*$K123))*E123/12)</f>
        <v>0</v>
      </c>
      <c r="M123" s="398" t="n">
        <f aca="false">(D123*($H123+($H123*$I123)+($H123*$J123)+($H123*$I123*$K123))*F123/12)</f>
        <v>0</v>
      </c>
    </row>
    <row r="124" customFormat="false" ht="12.75" hidden="false" customHeight="false" outlineLevel="0" collapsed="false">
      <c r="A124" s="435"/>
      <c r="B124" s="194" t="str">
        <f aca="false">B81</f>
        <v>Maintenance Planner</v>
      </c>
      <c r="C124" s="436" t="n">
        <f aca="false">C81</f>
        <v>0</v>
      </c>
      <c r="D124" s="436" t="n">
        <f aca="false">D81</f>
        <v>0</v>
      </c>
      <c r="E124" s="436" t="n">
        <f aca="false">E81</f>
        <v>0</v>
      </c>
      <c r="F124" s="436" t="n">
        <f aca="false">F81</f>
        <v>0</v>
      </c>
      <c r="G124" s="436" t="n">
        <f aca="false">C124*E124/12+D124*F124/12</f>
        <v>0</v>
      </c>
      <c r="H124" s="437" t="n">
        <f aca="false">H81*(1+$C$4)</f>
        <v>0</v>
      </c>
      <c r="I124" s="438" t="n">
        <f aca="false">I81</f>
        <v>0.15</v>
      </c>
      <c r="J124" s="438" t="n">
        <f aca="false">J81</f>
        <v>0.702</v>
      </c>
      <c r="K124" s="438" t="n">
        <f aca="false">K81</f>
        <v>0.531</v>
      </c>
      <c r="L124" s="397" t="n">
        <f aca="false">(C124*($H124+($H124*$I124)+($H124*$J124)+($H124*$I124*$K124))*E124/12)</f>
        <v>0</v>
      </c>
      <c r="M124" s="398" t="n">
        <f aca="false">(D124*($H124+($H124*$I124)+($H124*$J124)+($H124*$I124*$K124))*F124/12)</f>
        <v>0</v>
      </c>
    </row>
    <row r="125" customFormat="false" ht="12.75" hidden="false" customHeight="false" outlineLevel="0" collapsed="false">
      <c r="A125" s="435"/>
      <c r="B125" s="194" t="str">
        <f aca="false">B82</f>
        <v>Mechanic</v>
      </c>
      <c r="C125" s="436" t="n">
        <f aca="false">C82</f>
        <v>0</v>
      </c>
      <c r="D125" s="436" t="n">
        <f aca="false">D82</f>
        <v>1</v>
      </c>
      <c r="E125" s="436" t="n">
        <f aca="false">E82</f>
        <v>0</v>
      </c>
      <c r="F125" s="436" t="n">
        <f aca="false">F82</f>
        <v>12</v>
      </c>
      <c r="G125" s="436" t="n">
        <f aca="false">C125*E125/12+D125*F125/12</f>
        <v>1</v>
      </c>
      <c r="H125" s="437" t="n">
        <f aca="false">H82*(1+$C$4)</f>
        <v>38000</v>
      </c>
      <c r="I125" s="438" t="n">
        <f aca="false">I82</f>
        <v>0.15</v>
      </c>
      <c r="J125" s="438" t="n">
        <f aca="false">J82</f>
        <v>0.702</v>
      </c>
      <c r="K125" s="438" t="n">
        <f aca="false">K82</f>
        <v>0.531</v>
      </c>
      <c r="L125" s="397" t="n">
        <f aca="false">(C125*($H125+($H125*$I125)+($H125*$J125)+($H125*$I125*$K125))*E125/12)</f>
        <v>0</v>
      </c>
      <c r="M125" s="398" t="n">
        <f aca="false">(D125*($H125+($H125*$I125)+($H125*$J125)+($H125*$I125*$K125))*F125/12)</f>
        <v>73402.7</v>
      </c>
    </row>
    <row r="126" customFormat="false" ht="12.75" hidden="false" customHeight="false" outlineLevel="0" collapsed="false">
      <c r="A126" s="435"/>
      <c r="B126" s="194" t="str">
        <f aca="false">B83</f>
        <v>I&amp;C Engineer</v>
      </c>
      <c r="C126" s="436" t="n">
        <f aca="false">C83</f>
        <v>0</v>
      </c>
      <c r="D126" s="436" t="n">
        <f aca="false">D83</f>
        <v>0</v>
      </c>
      <c r="E126" s="436" t="n">
        <f aca="false">E83</f>
        <v>0</v>
      </c>
      <c r="F126" s="436" t="n">
        <f aca="false">F83</f>
        <v>0</v>
      </c>
      <c r="G126" s="436" t="n">
        <f aca="false">C126*E126/12+D126*F126/12</f>
        <v>0</v>
      </c>
      <c r="H126" s="437" t="n">
        <f aca="false">H83*(1+$C$4)</f>
        <v>0</v>
      </c>
      <c r="I126" s="438" t="n">
        <f aca="false">I83</f>
        <v>0.15</v>
      </c>
      <c r="J126" s="438" t="n">
        <f aca="false">J83</f>
        <v>0.702</v>
      </c>
      <c r="K126" s="438" t="n">
        <f aca="false">K83</f>
        <v>0.531</v>
      </c>
      <c r="L126" s="397" t="n">
        <f aca="false">(C126*($H126+($H126*$I126)+($H126*$J126)+($H126*$I126*$K126))*E126/12)</f>
        <v>0</v>
      </c>
      <c r="M126" s="398" t="n">
        <f aca="false">(D126*($H126+($H126*$I126)+($H126*$J126)+($H126*$I126*$K126))*F126/12)</f>
        <v>0</v>
      </c>
    </row>
    <row r="127" customFormat="false" ht="12.75" hidden="false" customHeight="false" outlineLevel="0" collapsed="false">
      <c r="A127" s="435"/>
      <c r="B127" s="194" t="str">
        <f aca="false">B84</f>
        <v>I&amp;C Technician</v>
      </c>
      <c r="C127" s="436" t="n">
        <f aca="false">C84</f>
        <v>0</v>
      </c>
      <c r="D127" s="436" t="n">
        <f aca="false">D84</f>
        <v>1</v>
      </c>
      <c r="E127" s="436" t="n">
        <f aca="false">E84</f>
        <v>0</v>
      </c>
      <c r="F127" s="436" t="n">
        <f aca="false">F84</f>
        <v>12</v>
      </c>
      <c r="G127" s="436" t="n">
        <f aca="false">C127*E127/12+D127*F127/12</f>
        <v>1</v>
      </c>
      <c r="H127" s="437" t="n">
        <f aca="false">H84*(1+$C$4)</f>
        <v>55000</v>
      </c>
      <c r="I127" s="438" t="n">
        <f aca="false">I84</f>
        <v>0.15</v>
      </c>
      <c r="J127" s="438" t="n">
        <f aca="false">J84</f>
        <v>0.702</v>
      </c>
      <c r="K127" s="438" t="n">
        <f aca="false">K84</f>
        <v>0.531</v>
      </c>
      <c r="L127" s="397" t="n">
        <f aca="false">(C127*($H127+($H127*$I127)+($H127*$J127)+($H127*$I127*$K127))*E127/12)</f>
        <v>0</v>
      </c>
      <c r="M127" s="398" t="n">
        <f aca="false">(D127*($H127+($H127*$I127)+($H127*$J127)+($H127*$I127*$K127))*F127/12)</f>
        <v>106240.75</v>
      </c>
    </row>
    <row r="128" customFormat="false" ht="12.75" hidden="false" customHeight="false" outlineLevel="0" collapsed="false">
      <c r="A128" s="435"/>
      <c r="B128" s="194" t="str">
        <f aca="false">B85</f>
        <v>Electrical Technician</v>
      </c>
      <c r="C128" s="436" t="n">
        <f aca="false">C85</f>
        <v>0</v>
      </c>
      <c r="D128" s="436" t="n">
        <f aca="false">D85</f>
        <v>1</v>
      </c>
      <c r="E128" s="436" t="n">
        <f aca="false">E85</f>
        <v>0</v>
      </c>
      <c r="F128" s="436" t="n">
        <f aca="false">F85</f>
        <v>12</v>
      </c>
      <c r="G128" s="436" t="n">
        <f aca="false">C128*E128/12+D128*F128/12</f>
        <v>1</v>
      </c>
      <c r="H128" s="437" t="n">
        <f aca="false">H85*(1+$C$4)</f>
        <v>45000</v>
      </c>
      <c r="I128" s="438" t="n">
        <f aca="false">I85</f>
        <v>0.15</v>
      </c>
      <c r="J128" s="438" t="n">
        <f aca="false">J85</f>
        <v>0.702</v>
      </c>
      <c r="K128" s="438" t="n">
        <f aca="false">K85</f>
        <v>0.531</v>
      </c>
      <c r="L128" s="397" t="n">
        <f aca="false">(C128*($H128+($H128*$I128)+($H128*$J128)+($H128*$I128*$K128))*E128/12)</f>
        <v>0</v>
      </c>
      <c r="M128" s="398" t="n">
        <f aca="false">(D128*($H128+($H128*$I128)+($H128*$J128)+($H128*$I128*$K128))*F128/12)</f>
        <v>86924.25</v>
      </c>
    </row>
    <row r="129" customFormat="false" ht="12.75" hidden="false" customHeight="false" outlineLevel="0" collapsed="false">
      <c r="A129" s="435"/>
      <c r="B129" s="194" t="str">
        <f aca="false">B86</f>
        <v>Other</v>
      </c>
      <c r="C129" s="436" t="n">
        <f aca="false">C86</f>
        <v>0</v>
      </c>
      <c r="D129" s="436" t="n">
        <f aca="false">D86</f>
        <v>0</v>
      </c>
      <c r="E129" s="436" t="n">
        <f aca="false">E86</f>
        <v>0</v>
      </c>
      <c r="F129" s="436" t="n">
        <f aca="false">F86</f>
        <v>0</v>
      </c>
      <c r="G129" s="436" t="n">
        <f aca="false">C129*E129/12+D129*F129/12</f>
        <v>0</v>
      </c>
      <c r="H129" s="437" t="n">
        <f aca="false">H86*(1+$C$4)</f>
        <v>0</v>
      </c>
      <c r="I129" s="438" t="n">
        <f aca="false">I86</f>
        <v>0.15</v>
      </c>
      <c r="J129" s="438" t="n">
        <f aca="false">J86</f>
        <v>0.702</v>
      </c>
      <c r="K129" s="438" t="n">
        <f aca="false">K86</f>
        <v>0.531</v>
      </c>
      <c r="L129" s="397" t="n">
        <f aca="false">(C129*($H129+($H129*$I129)+($H129*$J129)+($H129*$I129*$K129))*E129/12)</f>
        <v>0</v>
      </c>
      <c r="M129" s="398" t="n">
        <f aca="false">(D129*($H129+($H129*$I129)+($H129*$J129)+($H129*$I129*$K129))*F129/12)</f>
        <v>0</v>
      </c>
    </row>
    <row r="130" customFormat="false" ht="12.75" hidden="false" customHeight="false" outlineLevel="0" collapsed="false">
      <c r="A130" s="435"/>
      <c r="B130" s="194" t="str">
        <f aca="false">B87</f>
        <v>Other</v>
      </c>
      <c r="C130" s="436" t="n">
        <f aca="false">C87</f>
        <v>0</v>
      </c>
      <c r="D130" s="436" t="n">
        <f aca="false">D87</f>
        <v>0</v>
      </c>
      <c r="E130" s="436" t="n">
        <f aca="false">E87</f>
        <v>0</v>
      </c>
      <c r="F130" s="436" t="n">
        <f aca="false">F87</f>
        <v>0</v>
      </c>
      <c r="G130" s="436" t="n">
        <f aca="false">C130*E130/12+D130*F130/12</f>
        <v>0</v>
      </c>
      <c r="H130" s="437" t="n">
        <f aca="false">H87*(1+$C$4)</f>
        <v>0</v>
      </c>
      <c r="I130" s="438" t="n">
        <f aca="false">I87</f>
        <v>0.15</v>
      </c>
      <c r="J130" s="438" t="n">
        <f aca="false">J87</f>
        <v>0.702</v>
      </c>
      <c r="K130" s="438" t="n">
        <f aca="false">K87</f>
        <v>0.531</v>
      </c>
      <c r="L130" s="397" t="n">
        <f aca="false">(C130*($H130+($H130*$I130)+($H130*$J130)+($H130*$I130*$K130))*E130/12)</f>
        <v>0</v>
      </c>
      <c r="M130" s="398" t="n">
        <f aca="false">(D130*($H130+($H130*$I130)+($H130*$J130)+($H130*$I130*$K130))*F130/12)</f>
        <v>0</v>
      </c>
    </row>
    <row r="131" customFormat="false" ht="12.75" hidden="false" customHeight="false" outlineLevel="0" collapsed="false">
      <c r="A131" s="435"/>
      <c r="B131" s="194" t="str">
        <f aca="false">B88</f>
        <v>Other</v>
      </c>
      <c r="C131" s="436" t="n">
        <f aca="false">C88</f>
        <v>0</v>
      </c>
      <c r="D131" s="436" t="n">
        <f aca="false">D88</f>
        <v>0</v>
      </c>
      <c r="E131" s="436" t="n">
        <f aca="false">E88</f>
        <v>0</v>
      </c>
      <c r="F131" s="436" t="n">
        <f aca="false">F88</f>
        <v>0</v>
      </c>
      <c r="G131" s="436" t="n">
        <f aca="false">C131*E131/12+D131*F131/12</f>
        <v>0</v>
      </c>
      <c r="H131" s="437" t="n">
        <f aca="false">H88*(1+$C$4)</f>
        <v>0</v>
      </c>
      <c r="I131" s="438" t="n">
        <f aca="false">I88</f>
        <v>0.15</v>
      </c>
      <c r="J131" s="438" t="n">
        <f aca="false">J88</f>
        <v>0.702</v>
      </c>
      <c r="K131" s="438" t="n">
        <f aca="false">K88</f>
        <v>0.531</v>
      </c>
      <c r="L131" s="397" t="n">
        <f aca="false">(C131*($H131+($H131*$I131)+($H131*$J131)+($H131*$I131*$K131))*E131/12)</f>
        <v>0</v>
      </c>
      <c r="M131" s="398" t="n">
        <f aca="false">(D131*($H131+($H131*$I131)+($H131*$J131)+($H131*$I131*$K131))*F131/12)</f>
        <v>0</v>
      </c>
    </row>
    <row r="132" customFormat="false" ht="12.75" hidden="false" customHeight="false" outlineLevel="0" collapsed="false">
      <c r="A132" s="440"/>
      <c r="B132" s="441" t="str">
        <f aca="false">B89</f>
        <v>Other</v>
      </c>
      <c r="C132" s="442" t="n">
        <f aca="false">C89</f>
        <v>0</v>
      </c>
      <c r="D132" s="442" t="n">
        <f aca="false">D89</f>
        <v>0</v>
      </c>
      <c r="E132" s="442" t="n">
        <f aca="false">E89</f>
        <v>0</v>
      </c>
      <c r="F132" s="442" t="n">
        <f aca="false">F89</f>
        <v>0</v>
      </c>
      <c r="G132" s="442" t="n">
        <f aca="false">C132*E132/12+D132*F132/12</f>
        <v>0</v>
      </c>
      <c r="H132" s="437" t="n">
        <f aca="false">H89*(1+$C$4)</f>
        <v>0</v>
      </c>
      <c r="I132" s="438" t="n">
        <f aca="false">I89</f>
        <v>0.15</v>
      </c>
      <c r="J132" s="438" t="n">
        <f aca="false">J89</f>
        <v>0.702</v>
      </c>
      <c r="K132" s="444" t="n">
        <f aca="false">K89</f>
        <v>0.531</v>
      </c>
      <c r="L132" s="417" t="n">
        <f aca="false">(C132*($H132+($H132*$I132)+($H132*$J132)+($H132*$I132*$K132))*E132/12)</f>
        <v>0</v>
      </c>
      <c r="M132" s="418" t="n">
        <f aca="false">(D132*($H132+($H132*$I132)+($H132*$J132)+($H132*$I132*$K132))*F132/12)</f>
        <v>0</v>
      </c>
    </row>
    <row r="133" customFormat="false" ht="15.75" hidden="false" customHeight="false" outlineLevel="0" collapsed="false">
      <c r="A133" s="419" t="s">
        <v>865</v>
      </c>
      <c r="B133" s="420"/>
      <c r="C133" s="421" t="n">
        <f aca="false">SUM(C96:C132)</f>
        <v>0</v>
      </c>
      <c r="D133" s="421" t="n">
        <f aca="false">SUM(D96:D132)</f>
        <v>15</v>
      </c>
      <c r="E133" s="421"/>
      <c r="F133" s="422"/>
      <c r="G133" s="423" t="n">
        <f aca="false">SUM(G96:G132)</f>
        <v>15</v>
      </c>
      <c r="H133" s="446"/>
      <c r="I133" s="446"/>
      <c r="J133" s="446"/>
      <c r="K133" s="446"/>
      <c r="L133" s="425" t="n">
        <f aca="false">SUM(L96:L132)</f>
        <v>0</v>
      </c>
      <c r="M133" s="426" t="n">
        <f aca="false">SUM(M96:M132)</f>
        <v>1451918.666</v>
      </c>
    </row>
    <row r="134" customFormat="false" ht="27.75" hidden="false" customHeight="true" outlineLevel="0" collapsed="false">
      <c r="A134" s="429"/>
      <c r="B134" s="429"/>
      <c r="C134" s="430"/>
      <c r="D134" s="430"/>
      <c r="E134" s="430"/>
      <c r="F134" s="430"/>
      <c r="G134" s="430"/>
      <c r="H134" s="431"/>
      <c r="I134" s="432" t="s">
        <v>868</v>
      </c>
      <c r="J134" s="433"/>
      <c r="K134" s="447"/>
      <c r="L134" s="447"/>
      <c r="M134" s="448" t="n">
        <f aca="false">L133+M133</f>
        <v>1451918.666</v>
      </c>
      <c r="N134" s="427"/>
      <c r="O134" s="427"/>
      <c r="P134" s="427"/>
      <c r="Q134" s="428"/>
      <c r="R134" s="427"/>
    </row>
    <row r="135" customFormat="false" ht="43.5" hidden="false" customHeight="true" outlineLevel="0" collapsed="false"/>
    <row r="136" customFormat="false" ht="58.5" hidden="false" customHeight="true" outlineLevel="0" collapsed="false">
      <c r="A136" s="385"/>
      <c r="B136" s="386" t="s">
        <v>869</v>
      </c>
      <c r="C136" s="387" t="str">
        <f aca="false">C7</f>
        <v>No. of Expats</v>
      </c>
      <c r="D136" s="387" t="str">
        <f aca="false">D7</f>
        <v>No. of Locals</v>
      </c>
      <c r="E136" s="387" t="str">
        <f aca="false">E7</f>
        <v>Months on Site per Year (Expat)</v>
      </c>
      <c r="F136" s="387" t="str">
        <f aca="false">F7</f>
        <v>Months on Site per Year (Local)</v>
      </c>
      <c r="G136" s="387" t="str">
        <f aca="false">G7</f>
        <v>Total Employees per Year</v>
      </c>
      <c r="H136" s="387" t="str">
        <f aca="false">H7</f>
        <v>Annual Base Salary per Employee</v>
      </c>
      <c r="I136" s="387" t="str">
        <f aca="false">I7</f>
        <v>Annual Overtime %</v>
      </c>
      <c r="J136" s="387" t="str">
        <f aca="false">J7</f>
        <v>Benefits % on Base</v>
      </c>
      <c r="K136" s="387" t="str">
        <f aca="false">K7</f>
        <v>Benefits % on Overtime</v>
      </c>
      <c r="L136" s="387" t="str">
        <f aca="false">L7</f>
        <v>Total Expat Salary</v>
      </c>
      <c r="M136" s="387" t="str">
        <f aca="false">M7</f>
        <v>Total Local Salary </v>
      </c>
    </row>
    <row r="137" customFormat="false" ht="12.75" hidden="false" customHeight="false" outlineLevel="0" collapsed="false">
      <c r="A137" s="394"/>
      <c r="B137" s="157"/>
      <c r="C137" s="395"/>
      <c r="D137" s="395"/>
      <c r="E137" s="395"/>
      <c r="F137" s="395"/>
      <c r="G137" s="395"/>
      <c r="H137" s="396"/>
      <c r="I137" s="395"/>
      <c r="J137" s="395"/>
      <c r="K137" s="395"/>
      <c r="L137" s="397"/>
      <c r="M137" s="398"/>
    </row>
    <row r="138" customFormat="false" ht="12.75" hidden="false" customHeight="false" outlineLevel="0" collapsed="false">
      <c r="A138" s="401" t="s">
        <v>235</v>
      </c>
      <c r="B138" s="157"/>
      <c r="C138" s="395"/>
      <c r="D138" s="395"/>
      <c r="E138" s="395"/>
      <c r="F138" s="395"/>
      <c r="G138" s="395"/>
      <c r="H138" s="396"/>
      <c r="I138" s="395"/>
      <c r="J138" s="395"/>
      <c r="K138" s="395"/>
      <c r="L138" s="397"/>
      <c r="M138" s="398"/>
    </row>
    <row r="139" customFormat="false" ht="12.75" hidden="false" customHeight="false" outlineLevel="0" collapsed="false">
      <c r="A139" s="435"/>
      <c r="B139" s="194" t="str">
        <f aca="false">B96</f>
        <v>Plant Manager</v>
      </c>
      <c r="C139" s="436" t="n">
        <f aca="false">C96</f>
        <v>0</v>
      </c>
      <c r="D139" s="436" t="n">
        <f aca="false">D96</f>
        <v>1</v>
      </c>
      <c r="E139" s="436" t="n">
        <f aca="false">E96</f>
        <v>0</v>
      </c>
      <c r="F139" s="436" t="n">
        <f aca="false">F96</f>
        <v>12</v>
      </c>
      <c r="G139" s="436" t="n">
        <f aca="false">C139*E139/12+D139*F139/12</f>
        <v>1</v>
      </c>
      <c r="H139" s="437" t="n">
        <f aca="false">H96*(1+$C$4)</f>
        <v>87000</v>
      </c>
      <c r="I139" s="438" t="n">
        <f aca="false">I96</f>
        <v>0</v>
      </c>
      <c r="J139" s="438" t="n">
        <f aca="false">J96</f>
        <v>0.702</v>
      </c>
      <c r="K139" s="438" t="n">
        <f aca="false">K96</f>
        <v>0.531</v>
      </c>
      <c r="L139" s="397" t="n">
        <f aca="false">(C139*($H139+($H139*$I139)+($H139*$J139)+($H139*$I139*$K139))*E139/12)</f>
        <v>0</v>
      </c>
      <c r="M139" s="398" t="n">
        <f aca="false">(D139*($H139+($H139*$I139)+($H139*$J139)+($H139*$I139*$K139))*F139/12)</f>
        <v>148074</v>
      </c>
    </row>
    <row r="140" customFormat="false" ht="12.75" hidden="false" customHeight="false" outlineLevel="0" collapsed="false">
      <c r="A140" s="435"/>
      <c r="B140" s="194" t="str">
        <f aca="false">B97</f>
        <v>Assistant Plant Manager</v>
      </c>
      <c r="C140" s="436" t="n">
        <f aca="false">C97</f>
        <v>0</v>
      </c>
      <c r="D140" s="436" t="n">
        <f aca="false">D97</f>
        <v>0</v>
      </c>
      <c r="E140" s="436" t="n">
        <f aca="false">E97</f>
        <v>0</v>
      </c>
      <c r="F140" s="436" t="n">
        <f aca="false">F97</f>
        <v>0</v>
      </c>
      <c r="G140" s="436" t="n">
        <f aca="false">C140*E140/12+D140*F140/12</f>
        <v>0</v>
      </c>
      <c r="H140" s="437" t="n">
        <f aca="false">H97*(1+$C$4)</f>
        <v>0</v>
      </c>
      <c r="I140" s="438" t="n">
        <f aca="false">I97</f>
        <v>0</v>
      </c>
      <c r="J140" s="438" t="n">
        <f aca="false">J97</f>
        <v>0.702</v>
      </c>
      <c r="K140" s="438" t="n">
        <f aca="false">K97</f>
        <v>0.531</v>
      </c>
      <c r="L140" s="397" t="n">
        <f aca="false">(C140*($H140+($H140*$I140)+($H140*$J140)+($H140*$I140*$K140))*E140/12)</f>
        <v>0</v>
      </c>
      <c r="M140" s="398" t="n">
        <f aca="false">(D140*($H140+($H140*$I140)+($H140*$J140)+($H140*$I140*$K140))*F140/12)</f>
        <v>0</v>
      </c>
    </row>
    <row r="141" customFormat="false" ht="12.75" hidden="false" customHeight="false" outlineLevel="0" collapsed="false">
      <c r="A141" s="435"/>
      <c r="B141" s="194" t="str">
        <f aca="false">B98</f>
        <v>Plant Engineer</v>
      </c>
      <c r="C141" s="436" t="n">
        <f aca="false">C98</f>
        <v>0</v>
      </c>
      <c r="D141" s="436" t="n">
        <f aca="false">D98</f>
        <v>0</v>
      </c>
      <c r="E141" s="436" t="n">
        <f aca="false">E98</f>
        <v>0</v>
      </c>
      <c r="F141" s="436" t="n">
        <f aca="false">F98</f>
        <v>0</v>
      </c>
      <c r="G141" s="436" t="n">
        <f aca="false">C141*E141/12+D141*F141/12</f>
        <v>0</v>
      </c>
      <c r="H141" s="437" t="n">
        <f aca="false">H98*(1+$C$4)</f>
        <v>0</v>
      </c>
      <c r="I141" s="438" t="n">
        <f aca="false">I98</f>
        <v>0</v>
      </c>
      <c r="J141" s="438" t="n">
        <f aca="false">J98</f>
        <v>0.702</v>
      </c>
      <c r="K141" s="438" t="n">
        <f aca="false">K98</f>
        <v>0.531</v>
      </c>
      <c r="L141" s="397" t="n">
        <f aca="false">(C141*($H141+($H141*$I141)+($H141*$J141)+($H141*$I141*$K141))*E141/12)</f>
        <v>0</v>
      </c>
      <c r="M141" s="398" t="n">
        <f aca="false">(D141*($H141+($H141*$I141)+($H141*$J141)+($H141*$I141*$K141))*F141/12)</f>
        <v>0</v>
      </c>
    </row>
    <row r="142" customFormat="false" ht="12.75" hidden="false" customHeight="false" outlineLevel="0" collapsed="false">
      <c r="A142" s="435"/>
      <c r="B142" s="194" t="str">
        <f aca="false">B99</f>
        <v>Administration Manager</v>
      </c>
      <c r="C142" s="436" t="n">
        <f aca="false">C99</f>
        <v>0</v>
      </c>
      <c r="D142" s="436" t="n">
        <f aca="false">D99</f>
        <v>0</v>
      </c>
      <c r="E142" s="436" t="n">
        <f aca="false">E99</f>
        <v>0</v>
      </c>
      <c r="F142" s="436" t="n">
        <f aca="false">F99</f>
        <v>0</v>
      </c>
      <c r="G142" s="436" t="n">
        <f aca="false">C142*E142/12+D142*F142/12</f>
        <v>0</v>
      </c>
      <c r="H142" s="437" t="n">
        <f aca="false">H99*(1+$C$4)</f>
        <v>0</v>
      </c>
      <c r="I142" s="438" t="n">
        <f aca="false">I99</f>
        <v>0</v>
      </c>
      <c r="J142" s="438" t="n">
        <f aca="false">J99</f>
        <v>0.702</v>
      </c>
      <c r="K142" s="438" t="n">
        <f aca="false">K99</f>
        <v>0.531</v>
      </c>
      <c r="L142" s="397" t="n">
        <f aca="false">(C142*($H142+($H142*$I142)+($H142*$J142)+($H142*$I142*$K142))*E142/12)</f>
        <v>0</v>
      </c>
      <c r="M142" s="398" t="n">
        <f aca="false">(D142*($H142+($H142*$I142)+($H142*$J142)+($H142*$I142*$K142))*F142/12)</f>
        <v>0</v>
      </c>
    </row>
    <row r="143" customFormat="false" ht="12.75" hidden="false" customHeight="false" outlineLevel="0" collapsed="false">
      <c r="A143" s="435"/>
      <c r="B143" s="194" t="str">
        <f aca="false">B100</f>
        <v>Controller</v>
      </c>
      <c r="C143" s="436" t="n">
        <f aca="false">C100</f>
        <v>0</v>
      </c>
      <c r="D143" s="436" t="n">
        <f aca="false">D100</f>
        <v>0</v>
      </c>
      <c r="E143" s="436" t="n">
        <f aca="false">E100</f>
        <v>0</v>
      </c>
      <c r="F143" s="436" t="n">
        <f aca="false">F100</f>
        <v>0</v>
      </c>
      <c r="G143" s="436" t="n">
        <f aca="false">C143*E143/12+D143*F143/12</f>
        <v>0</v>
      </c>
      <c r="H143" s="437" t="n">
        <f aca="false">H100*(1+$C$4)</f>
        <v>0</v>
      </c>
      <c r="I143" s="438" t="n">
        <f aca="false">I100</f>
        <v>0</v>
      </c>
      <c r="J143" s="438" t="n">
        <f aca="false">J100</f>
        <v>0.702</v>
      </c>
      <c r="K143" s="438" t="n">
        <f aca="false">K100</f>
        <v>0.531</v>
      </c>
      <c r="L143" s="397" t="n">
        <f aca="false">(C143*($H143+($H143*$I143)+($H143*$J143)+($H143*$I143*$K143))*E143/12)</f>
        <v>0</v>
      </c>
      <c r="M143" s="398" t="n">
        <f aca="false">(D143*($H143+($H143*$I143)+($H143*$J143)+($H143*$I143*$K143))*F143/12)</f>
        <v>0</v>
      </c>
    </row>
    <row r="144" customFormat="false" ht="12.75" hidden="false" customHeight="false" outlineLevel="0" collapsed="false">
      <c r="A144" s="435"/>
      <c r="B144" s="194" t="str">
        <f aca="false">B101</f>
        <v>Accountant</v>
      </c>
      <c r="C144" s="436" t="n">
        <f aca="false">C101</f>
        <v>0</v>
      </c>
      <c r="D144" s="436" t="n">
        <f aca="false">D101</f>
        <v>0</v>
      </c>
      <c r="E144" s="436" t="n">
        <f aca="false">E101</f>
        <v>0</v>
      </c>
      <c r="F144" s="436" t="n">
        <f aca="false">F101</f>
        <v>0</v>
      </c>
      <c r="G144" s="436" t="n">
        <f aca="false">C144*E144/12+D144*F144/12</f>
        <v>0</v>
      </c>
      <c r="H144" s="437" t="n">
        <f aca="false">H101*(1+$C$4)</f>
        <v>0</v>
      </c>
      <c r="I144" s="438" t="n">
        <f aca="false">I101</f>
        <v>0.1</v>
      </c>
      <c r="J144" s="438" t="n">
        <f aca="false">J101</f>
        <v>0.702</v>
      </c>
      <c r="K144" s="438" t="n">
        <f aca="false">K101</f>
        <v>0.531</v>
      </c>
      <c r="L144" s="397" t="n">
        <f aca="false">(C144*($H144+($H144*$I144)+($H144*$J144)+($H144*$I144*$K144))*E144/12)</f>
        <v>0</v>
      </c>
      <c r="M144" s="398" t="n">
        <f aca="false">(D144*($H144+($H144*$I144)+($H144*$J144)+($H144*$I144*$K144))*F144/12)</f>
        <v>0</v>
      </c>
    </row>
    <row r="145" customFormat="false" ht="12.75" hidden="false" customHeight="false" outlineLevel="0" collapsed="false">
      <c r="A145" s="435"/>
      <c r="B145" s="194" t="str">
        <f aca="false">B102</f>
        <v>Administrative Assistant</v>
      </c>
      <c r="C145" s="436" t="n">
        <f aca="false">C102</f>
        <v>0</v>
      </c>
      <c r="D145" s="436" t="n">
        <f aca="false">D102</f>
        <v>1</v>
      </c>
      <c r="E145" s="436" t="n">
        <f aca="false">E102</f>
        <v>0</v>
      </c>
      <c r="F145" s="436" t="n">
        <f aca="false">F102</f>
        <v>12</v>
      </c>
      <c r="G145" s="436" t="n">
        <f aca="false">C145*E145/12+D145*F145/12</f>
        <v>1</v>
      </c>
      <c r="H145" s="437" t="n">
        <f aca="false">H102*(1+$C$4)</f>
        <v>27000</v>
      </c>
      <c r="I145" s="438" t="n">
        <f aca="false">I102</f>
        <v>0.15</v>
      </c>
      <c r="J145" s="438" t="n">
        <f aca="false">J102</f>
        <v>0.702</v>
      </c>
      <c r="K145" s="438" t="n">
        <f aca="false">K102</f>
        <v>0.531</v>
      </c>
      <c r="L145" s="397" t="n">
        <f aca="false">(C145*($H145+($H145*$I145)+($H145*$J145)+($H145*$I145*$K145))*E145/12)</f>
        <v>0</v>
      </c>
      <c r="M145" s="398" t="n">
        <f aca="false">(D145*($H145+($H145*$I145)+($H145*$J145)+($H145*$I145*$K145))*F145/12)</f>
        <v>52154.55</v>
      </c>
    </row>
    <row r="146" customFormat="false" ht="12.75" hidden="false" customHeight="false" outlineLevel="0" collapsed="false">
      <c r="A146" s="435"/>
      <c r="B146" s="194" t="str">
        <f aca="false">B103</f>
        <v>Warehouse Supervisor</v>
      </c>
      <c r="C146" s="436" t="n">
        <f aca="false">C103</f>
        <v>0</v>
      </c>
      <c r="D146" s="436" t="n">
        <f aca="false">D103</f>
        <v>0</v>
      </c>
      <c r="E146" s="436" t="n">
        <f aca="false">E103</f>
        <v>0</v>
      </c>
      <c r="F146" s="436" t="n">
        <f aca="false">F103</f>
        <v>0</v>
      </c>
      <c r="G146" s="436" t="n">
        <f aca="false">C146*E146/12+D146*F146/12</f>
        <v>0</v>
      </c>
      <c r="H146" s="437" t="n">
        <f aca="false">H103*(1+$C$4)</f>
        <v>0</v>
      </c>
      <c r="I146" s="438" t="n">
        <f aca="false">I103</f>
        <v>0</v>
      </c>
      <c r="J146" s="438" t="n">
        <f aca="false">J103</f>
        <v>0.702</v>
      </c>
      <c r="K146" s="438" t="n">
        <f aca="false">K103</f>
        <v>0.531</v>
      </c>
      <c r="L146" s="397" t="n">
        <f aca="false">(C146*($H146+($H146*$I146)+($H146*$J146)+($H146*$I146*$K146))*E146/12)</f>
        <v>0</v>
      </c>
      <c r="M146" s="398" t="n">
        <f aca="false">(D146*($H146+($H146*$I146)+($H146*$J146)+($H146*$I146*$K146))*F146/12)</f>
        <v>0</v>
      </c>
    </row>
    <row r="147" customFormat="false" ht="12.75" hidden="false" customHeight="false" outlineLevel="0" collapsed="false">
      <c r="A147" s="435"/>
      <c r="B147" s="194" t="str">
        <f aca="false">B104</f>
        <v>Other</v>
      </c>
      <c r="C147" s="436" t="n">
        <f aca="false">C104</f>
        <v>0</v>
      </c>
      <c r="D147" s="436" t="n">
        <f aca="false">D104</f>
        <v>0</v>
      </c>
      <c r="E147" s="436" t="n">
        <f aca="false">E104</f>
        <v>0</v>
      </c>
      <c r="F147" s="436" t="n">
        <f aca="false">F104</f>
        <v>0</v>
      </c>
      <c r="G147" s="436" t="n">
        <f aca="false">C147*E147/12+D147*F147/12</f>
        <v>0</v>
      </c>
      <c r="H147" s="437" t="n">
        <f aca="false">H104*(1+$C$4)</f>
        <v>0</v>
      </c>
      <c r="I147" s="438" t="n">
        <f aca="false">I104</f>
        <v>0</v>
      </c>
      <c r="J147" s="438" t="n">
        <f aca="false">J104</f>
        <v>0.702</v>
      </c>
      <c r="K147" s="438" t="n">
        <f aca="false">K104</f>
        <v>0.531</v>
      </c>
      <c r="L147" s="397" t="n">
        <f aca="false">(C147*($H147+($H147*$I147)+($H147*$J147)+($H147*$I147*$K147))*E147/12)</f>
        <v>0</v>
      </c>
      <c r="M147" s="398" t="n">
        <f aca="false">(D147*($H147+($H147*$I147)+($H147*$J147)+($H147*$I147*$K147))*F147/12)</f>
        <v>0</v>
      </c>
    </row>
    <row r="148" customFormat="false" ht="12.75" hidden="false" customHeight="false" outlineLevel="0" collapsed="false">
      <c r="A148" s="435"/>
      <c r="B148" s="194" t="str">
        <f aca="false">B105</f>
        <v>Other</v>
      </c>
      <c r="C148" s="436" t="n">
        <f aca="false">C105</f>
        <v>0</v>
      </c>
      <c r="D148" s="436" t="n">
        <f aca="false">D105</f>
        <v>0</v>
      </c>
      <c r="E148" s="436" t="n">
        <f aca="false">E105</f>
        <v>0</v>
      </c>
      <c r="F148" s="436" t="n">
        <f aca="false">F105</f>
        <v>0</v>
      </c>
      <c r="G148" s="436" t="n">
        <f aca="false">C148*E148/12+D148*F148/12</f>
        <v>0</v>
      </c>
      <c r="H148" s="437" t="n">
        <f aca="false">H105*(1+$C$4)</f>
        <v>0</v>
      </c>
      <c r="I148" s="438" t="n">
        <f aca="false">I105</f>
        <v>0</v>
      </c>
      <c r="J148" s="438" t="n">
        <f aca="false">J105</f>
        <v>0.702</v>
      </c>
      <c r="K148" s="438" t="n">
        <f aca="false">K105</f>
        <v>0.531</v>
      </c>
      <c r="L148" s="397" t="n">
        <f aca="false">(C148*($H148+($H148*$I148)+($H148*$J148)+($H148*$I148*$K148))*E148/12)</f>
        <v>0</v>
      </c>
      <c r="M148" s="398" t="n">
        <f aca="false">(D148*($H148+($H148*$I148)+($H148*$J148)+($H148*$I148*$K148))*F148/12)</f>
        <v>0</v>
      </c>
    </row>
    <row r="149" customFormat="false" ht="12.75" hidden="false" customHeight="false" outlineLevel="0" collapsed="false">
      <c r="A149" s="435"/>
      <c r="B149" s="194" t="str">
        <f aca="false">B106</f>
        <v>Other</v>
      </c>
      <c r="C149" s="436" t="n">
        <f aca="false">C106</f>
        <v>0</v>
      </c>
      <c r="D149" s="436" t="n">
        <f aca="false">D106</f>
        <v>0</v>
      </c>
      <c r="E149" s="436" t="n">
        <f aca="false">E106</f>
        <v>0</v>
      </c>
      <c r="F149" s="436" t="n">
        <f aca="false">F106</f>
        <v>0</v>
      </c>
      <c r="G149" s="436" t="n">
        <f aca="false">C149*E149/12+D149*F149/12</f>
        <v>0</v>
      </c>
      <c r="H149" s="437" t="n">
        <f aca="false">H106*(1+$C$4)</f>
        <v>0</v>
      </c>
      <c r="I149" s="438" t="n">
        <f aca="false">I106</f>
        <v>0</v>
      </c>
      <c r="J149" s="438" t="n">
        <f aca="false">J106</f>
        <v>0.702</v>
      </c>
      <c r="K149" s="438" t="n">
        <f aca="false">K106</f>
        <v>0.531</v>
      </c>
      <c r="L149" s="397" t="n">
        <f aca="false">(C149*($H149+($H149*$I149)+($H149*$J149)+($H149*$I149*$K149))*E149/12)</f>
        <v>0</v>
      </c>
      <c r="M149" s="398" t="n">
        <f aca="false">(D149*($H149+($H149*$I149)+($H149*$J149)+($H149*$I149*$K149))*F149/12)</f>
        <v>0</v>
      </c>
    </row>
    <row r="150" customFormat="false" ht="12.75" hidden="false" customHeight="false" outlineLevel="0" collapsed="false">
      <c r="A150" s="435"/>
      <c r="B150" s="194"/>
      <c r="C150" s="436"/>
      <c r="D150" s="436"/>
      <c r="E150" s="436"/>
      <c r="F150" s="436"/>
      <c r="G150" s="436"/>
      <c r="H150" s="437"/>
      <c r="I150" s="439"/>
      <c r="J150" s="439"/>
      <c r="K150" s="439"/>
      <c r="L150" s="397"/>
      <c r="M150" s="398"/>
    </row>
    <row r="151" customFormat="false" ht="12.75" hidden="false" customHeight="false" outlineLevel="0" collapsed="false">
      <c r="A151" s="401" t="s">
        <v>211</v>
      </c>
      <c r="B151" s="194"/>
      <c r="C151" s="436"/>
      <c r="D151" s="436"/>
      <c r="E151" s="436"/>
      <c r="F151" s="436"/>
      <c r="G151" s="436"/>
      <c r="H151" s="437"/>
      <c r="I151" s="439"/>
      <c r="J151" s="439"/>
      <c r="K151" s="439"/>
      <c r="L151" s="397"/>
      <c r="M151" s="398"/>
    </row>
    <row r="152" customFormat="false" ht="12.75" hidden="false" customHeight="false" outlineLevel="0" collapsed="false">
      <c r="A152" s="435"/>
      <c r="B152" s="194" t="str">
        <f aca="false">B109</f>
        <v>Operations Manager</v>
      </c>
      <c r="C152" s="436" t="n">
        <f aca="false">C109</f>
        <v>0</v>
      </c>
      <c r="D152" s="436" t="n">
        <f aca="false">D109</f>
        <v>1</v>
      </c>
      <c r="E152" s="436" t="n">
        <f aca="false">E109</f>
        <v>0</v>
      </c>
      <c r="F152" s="436" t="n">
        <f aca="false">F109</f>
        <v>12</v>
      </c>
      <c r="G152" s="436" t="n">
        <f aca="false">C152*E152/12+D152*F152/12</f>
        <v>1</v>
      </c>
      <c r="H152" s="437" t="n">
        <f aca="false">H109*(1+$C$4)</f>
        <v>70000</v>
      </c>
      <c r="I152" s="438" t="n">
        <f aca="false">I109</f>
        <v>0</v>
      </c>
      <c r="J152" s="438" t="n">
        <f aca="false">J109</f>
        <v>0.702</v>
      </c>
      <c r="K152" s="438" t="n">
        <f aca="false">K109</f>
        <v>0.531</v>
      </c>
      <c r="L152" s="397" t="n">
        <f aca="false">(C152*($H152+($H152*$I152)+($H152*$J152)+($H152*$I152*$K152))*E152/12)</f>
        <v>0</v>
      </c>
      <c r="M152" s="398" t="n">
        <f aca="false">(D152*($H152+($H152*$I152)+($H152*$J152)+($H152*$I152*$K152))*F152/12)</f>
        <v>119140</v>
      </c>
    </row>
    <row r="153" customFormat="false" ht="12.75" hidden="false" customHeight="false" outlineLevel="0" collapsed="false">
      <c r="A153" s="435"/>
      <c r="B153" s="194" t="str">
        <f aca="false">B110</f>
        <v>Operations Shift Supervisors</v>
      </c>
      <c r="C153" s="436" t="n">
        <f aca="false">C110</f>
        <v>0</v>
      </c>
      <c r="D153" s="436" t="n">
        <f aca="false">D110</f>
        <v>0</v>
      </c>
      <c r="E153" s="436" t="n">
        <f aca="false">E110</f>
        <v>0</v>
      </c>
      <c r="F153" s="436" t="n">
        <f aca="false">F110</f>
        <v>0</v>
      </c>
      <c r="G153" s="436" t="n">
        <f aca="false">C153*E153/12+D153*F153/12</f>
        <v>0</v>
      </c>
      <c r="H153" s="437" t="n">
        <f aca="false">H110*(1+$C$4)</f>
        <v>0</v>
      </c>
      <c r="I153" s="438" t="n">
        <f aca="false">I110</f>
        <v>0.15</v>
      </c>
      <c r="J153" s="438" t="n">
        <f aca="false">J110</f>
        <v>0.702</v>
      </c>
      <c r="K153" s="438" t="n">
        <f aca="false">K110</f>
        <v>0.531</v>
      </c>
      <c r="L153" s="397" t="n">
        <f aca="false">(C153*($H153+($H153*$I153)+($H153*$J153)+($H153*$I153*$K153))*E153/12)</f>
        <v>0</v>
      </c>
      <c r="M153" s="398" t="n">
        <f aca="false">(D153*($H153+($H153*$I153)+($H153*$J153)+($H153*$I153*$K153))*F153/12)</f>
        <v>0</v>
      </c>
    </row>
    <row r="154" customFormat="false" ht="12.75" hidden="false" customHeight="false" outlineLevel="0" collapsed="false">
      <c r="A154" s="435"/>
      <c r="B154" s="194" t="str">
        <f aca="false">B111</f>
        <v>Control Room Operators</v>
      </c>
      <c r="C154" s="436" t="n">
        <f aca="false">C111</f>
        <v>0</v>
      </c>
      <c r="D154" s="436" t="n">
        <f aca="false">D111</f>
        <v>0</v>
      </c>
      <c r="E154" s="436" t="n">
        <f aca="false">E111</f>
        <v>0</v>
      </c>
      <c r="F154" s="436" t="n">
        <f aca="false">F111</f>
        <v>0</v>
      </c>
      <c r="G154" s="436" t="n">
        <f aca="false">C154*E154/12+D154*F154/12</f>
        <v>0</v>
      </c>
      <c r="H154" s="437" t="n">
        <f aca="false">H111*(1+$C$4)</f>
        <v>0</v>
      </c>
      <c r="I154" s="438" t="n">
        <f aca="false">I111</f>
        <v>0.15</v>
      </c>
      <c r="J154" s="438" t="n">
        <f aca="false">J111</f>
        <v>0.702</v>
      </c>
      <c r="K154" s="438" t="n">
        <f aca="false">K111</f>
        <v>0.531</v>
      </c>
      <c r="L154" s="397" t="n">
        <f aca="false">(C154*($H154+($H154*$I154)+($H154*$J154)+($H154*$I154*$K154))*E154/12)</f>
        <v>0</v>
      </c>
      <c r="M154" s="398" t="n">
        <f aca="false">(D154*($H154+($H154*$I154)+($H154*$J154)+($H154*$I154*$K154))*F154/12)</f>
        <v>0</v>
      </c>
    </row>
    <row r="155" customFormat="false" ht="12.75" hidden="false" customHeight="false" outlineLevel="0" collapsed="false">
      <c r="A155" s="435"/>
      <c r="B155" s="194" t="str">
        <f aca="false">B112</f>
        <v>Turbine Operators</v>
      </c>
      <c r="C155" s="436" t="n">
        <f aca="false">C112</f>
        <v>0</v>
      </c>
      <c r="D155" s="436" t="n">
        <f aca="false">D112</f>
        <v>0</v>
      </c>
      <c r="E155" s="436" t="n">
        <f aca="false">E112</f>
        <v>0</v>
      </c>
      <c r="F155" s="436" t="n">
        <f aca="false">F112</f>
        <v>0</v>
      </c>
      <c r="G155" s="436" t="n">
        <f aca="false">C155*E155/12+D155*F155/12</f>
        <v>0</v>
      </c>
      <c r="H155" s="437" t="n">
        <f aca="false">H112*(1+$C$4)</f>
        <v>0</v>
      </c>
      <c r="I155" s="438" t="n">
        <f aca="false">I112</f>
        <v>0.15</v>
      </c>
      <c r="J155" s="438" t="n">
        <f aca="false">J112</f>
        <v>0.702</v>
      </c>
      <c r="K155" s="438" t="n">
        <f aca="false">K112</f>
        <v>0.531</v>
      </c>
      <c r="L155" s="397" t="n">
        <f aca="false">(C155*($H155+($H155*$I155)+($H155*$J155)+($H155*$I155*$K155))*E155/12)</f>
        <v>0</v>
      </c>
      <c r="M155" s="398" t="n">
        <f aca="false">(D155*($H155+($H155*$I155)+($H155*$J155)+($H155*$I155*$K155))*F155/12)</f>
        <v>0</v>
      </c>
    </row>
    <row r="156" customFormat="false" ht="12.75" hidden="false" customHeight="false" outlineLevel="0" collapsed="false">
      <c r="A156" s="435"/>
      <c r="B156" s="194" t="str">
        <f aca="false">B113</f>
        <v>Water System Opertors</v>
      </c>
      <c r="C156" s="436" t="n">
        <f aca="false">C113</f>
        <v>0</v>
      </c>
      <c r="D156" s="436" t="n">
        <f aca="false">D113</f>
        <v>0</v>
      </c>
      <c r="E156" s="436" t="n">
        <f aca="false">E113</f>
        <v>0</v>
      </c>
      <c r="F156" s="436" t="n">
        <f aca="false">F113</f>
        <v>0</v>
      </c>
      <c r="G156" s="436" t="n">
        <f aca="false">C156*E156/12+D156*F156/12</f>
        <v>0</v>
      </c>
      <c r="H156" s="437" t="n">
        <f aca="false">H113*(1+$C$4)</f>
        <v>0</v>
      </c>
      <c r="I156" s="438" t="n">
        <f aca="false">I113</f>
        <v>0.15</v>
      </c>
      <c r="J156" s="438" t="n">
        <f aca="false">J113</f>
        <v>0.702</v>
      </c>
      <c r="K156" s="438" t="n">
        <f aca="false">K113</f>
        <v>0.531</v>
      </c>
      <c r="L156" s="397" t="n">
        <f aca="false">(C156*($H156+($H156*$I156)+($H156*$J156)+($H156*$I156*$K156))*E156/12)</f>
        <v>0</v>
      </c>
      <c r="M156" s="398" t="n">
        <f aca="false">(D156*($H156+($H156*$I156)+($H156*$J156)+($H156*$I156*$K156))*F156/12)</f>
        <v>0</v>
      </c>
    </row>
    <row r="157" customFormat="false" ht="12.75" hidden="false" customHeight="false" outlineLevel="0" collapsed="false">
      <c r="A157" s="435"/>
      <c r="B157" s="194" t="str">
        <f aca="false">B114</f>
        <v>Fuel Storage/Handling Operators</v>
      </c>
      <c r="C157" s="436" t="n">
        <f aca="false">C114</f>
        <v>0</v>
      </c>
      <c r="D157" s="436" t="n">
        <f aca="false">D114</f>
        <v>0</v>
      </c>
      <c r="E157" s="436" t="n">
        <f aca="false">E114</f>
        <v>0</v>
      </c>
      <c r="F157" s="436" t="n">
        <f aca="false">F114</f>
        <v>0</v>
      </c>
      <c r="G157" s="436" t="n">
        <f aca="false">C157*E157/12+D157*F157/12</f>
        <v>0</v>
      </c>
      <c r="H157" s="437" t="n">
        <f aca="false">H114*(1+$C$4)</f>
        <v>0</v>
      </c>
      <c r="I157" s="438" t="n">
        <f aca="false">I114</f>
        <v>0.15</v>
      </c>
      <c r="J157" s="438" t="n">
        <f aca="false">J114</f>
        <v>0.702</v>
      </c>
      <c r="K157" s="438" t="n">
        <f aca="false">K114</f>
        <v>0.531</v>
      </c>
      <c r="L157" s="397" t="n">
        <f aca="false">(C157*($H157+($H157*$I157)+($H157*$J157)+($H157*$I157*$K157))*E157/12)</f>
        <v>0</v>
      </c>
      <c r="M157" s="398" t="n">
        <f aca="false">(D157*($H157+($H157*$I157)+($H157*$J157)+($H157*$I157*$K157))*F157/12)</f>
        <v>0</v>
      </c>
    </row>
    <row r="158" customFormat="false" ht="12.75" hidden="false" customHeight="false" outlineLevel="0" collapsed="false">
      <c r="A158" s="435"/>
      <c r="B158" s="194" t="str">
        <f aca="false">B115</f>
        <v>Utility Operators</v>
      </c>
      <c r="C158" s="436" t="n">
        <f aca="false">C115</f>
        <v>0</v>
      </c>
      <c r="D158" s="436" t="n">
        <f aca="false">D115</f>
        <v>0</v>
      </c>
      <c r="E158" s="436" t="n">
        <f aca="false">E115</f>
        <v>0</v>
      </c>
      <c r="F158" s="436" t="n">
        <f aca="false">F115</f>
        <v>0</v>
      </c>
      <c r="G158" s="436" t="n">
        <f aca="false">C158*E158/12+D158*F158/12</f>
        <v>0</v>
      </c>
      <c r="H158" s="437" t="n">
        <f aca="false">H115*(1+$C$4)</f>
        <v>0</v>
      </c>
      <c r="I158" s="438" t="n">
        <f aca="false">I115</f>
        <v>0.15</v>
      </c>
      <c r="J158" s="438" t="n">
        <f aca="false">J115</f>
        <v>0.702</v>
      </c>
      <c r="K158" s="438" t="n">
        <f aca="false">K115</f>
        <v>0.531</v>
      </c>
      <c r="L158" s="397" t="n">
        <f aca="false">(C158*($H158+($H158*$I158)+($H158*$J158)+($H158*$I158*$K158))*E158/12)</f>
        <v>0</v>
      </c>
      <c r="M158" s="398" t="n">
        <f aca="false">(D158*($H158+($H158*$I158)+($H158*$J158)+($H158*$I158*$K158))*F158/12)</f>
        <v>0</v>
      </c>
    </row>
    <row r="159" customFormat="false" ht="12.75" hidden="false" customHeight="false" outlineLevel="0" collapsed="false">
      <c r="A159" s="435"/>
      <c r="B159" s="194" t="str">
        <f aca="false">B116</f>
        <v>Chemist</v>
      </c>
      <c r="C159" s="436" t="n">
        <f aca="false">C116</f>
        <v>0</v>
      </c>
      <c r="D159" s="436" t="n">
        <f aca="false">D116</f>
        <v>0</v>
      </c>
      <c r="E159" s="436" t="n">
        <f aca="false">E116</f>
        <v>0</v>
      </c>
      <c r="F159" s="436" t="n">
        <f aca="false">F116</f>
        <v>0</v>
      </c>
      <c r="G159" s="436" t="n">
        <f aca="false">C159*E159/12+D159*F159/12</f>
        <v>0</v>
      </c>
      <c r="H159" s="437" t="n">
        <f aca="false">H116*(1+$C$4)</f>
        <v>0</v>
      </c>
      <c r="I159" s="438" t="n">
        <f aca="false">I116</f>
        <v>0.15</v>
      </c>
      <c r="J159" s="438" t="n">
        <f aca="false">J116</f>
        <v>0.702</v>
      </c>
      <c r="K159" s="438" t="n">
        <f aca="false">K116</f>
        <v>0.531</v>
      </c>
      <c r="L159" s="397" t="n">
        <f aca="false">(C159*($H159+($H159*$I159)+($H159*$J159)+($H159*$I159*$K159))*E159/12)</f>
        <v>0</v>
      </c>
      <c r="M159" s="398" t="n">
        <f aca="false">(D159*($H159+($H159*$I159)+($H159*$J159)+($H159*$I159*$K159))*F159/12)</f>
        <v>0</v>
      </c>
    </row>
    <row r="160" customFormat="false" ht="12.75" hidden="false" customHeight="false" outlineLevel="0" collapsed="false">
      <c r="A160" s="435"/>
      <c r="B160" s="194" t="str">
        <f aca="false">B117</f>
        <v>Tech III</v>
      </c>
      <c r="C160" s="436" t="n">
        <f aca="false">C117</f>
        <v>0</v>
      </c>
      <c r="D160" s="436" t="n">
        <f aca="false">D117</f>
        <v>4</v>
      </c>
      <c r="E160" s="436" t="n">
        <f aca="false">E117</f>
        <v>0</v>
      </c>
      <c r="F160" s="436" t="n">
        <f aca="false">F117</f>
        <v>12</v>
      </c>
      <c r="G160" s="436" t="n">
        <f aca="false">C160*E160/12+D160*F160/12</f>
        <v>4</v>
      </c>
      <c r="H160" s="437" t="n">
        <f aca="false">H117*(1+$C$4)</f>
        <v>52000</v>
      </c>
      <c r="I160" s="438" t="n">
        <f aca="false">I117</f>
        <v>0.15</v>
      </c>
      <c r="J160" s="438" t="n">
        <f aca="false">J117</f>
        <v>0.702</v>
      </c>
      <c r="K160" s="438" t="n">
        <f aca="false">K117</f>
        <v>0.531</v>
      </c>
      <c r="L160" s="397" t="n">
        <f aca="false">(C160*($H160+($H160*$I160)+($H160*$J160)+($H160*$I160*$K160))*E160/12)</f>
        <v>0</v>
      </c>
      <c r="M160" s="398" t="n">
        <f aca="false">(D160*($H160+($H160*$I160)+($H160*$J160)+($H160*$I160*$K160))*F160/12)</f>
        <v>401783.2</v>
      </c>
    </row>
    <row r="161" customFormat="false" ht="12.75" hidden="false" customHeight="false" outlineLevel="0" collapsed="false">
      <c r="A161" s="435"/>
      <c r="B161" s="194" t="str">
        <f aca="false">B118</f>
        <v>Tech II</v>
      </c>
      <c r="C161" s="436" t="n">
        <f aca="false">C118</f>
        <v>0</v>
      </c>
      <c r="D161" s="436" t="n">
        <f aca="false">D118</f>
        <v>4</v>
      </c>
      <c r="E161" s="436" t="n">
        <f aca="false">E118</f>
        <v>0</v>
      </c>
      <c r="F161" s="436" t="n">
        <f aca="false">F118</f>
        <v>12</v>
      </c>
      <c r="G161" s="436" t="n">
        <f aca="false">C161*E161/12+D161*F161/12</f>
        <v>4</v>
      </c>
      <c r="H161" s="437" t="n">
        <f aca="false">H118*(1+$C$4)</f>
        <v>45760</v>
      </c>
      <c r="I161" s="438" t="n">
        <f aca="false">I118</f>
        <v>0.15</v>
      </c>
      <c r="J161" s="438" t="n">
        <f aca="false">J118</f>
        <v>0.702</v>
      </c>
      <c r="K161" s="438" t="n">
        <f aca="false">K118</f>
        <v>0.531</v>
      </c>
      <c r="L161" s="397" t="n">
        <f aca="false">(C161*($H161+($H161*$I161)+($H161*$J161)+($H161*$I161*$K161))*E161/12)</f>
        <v>0</v>
      </c>
      <c r="M161" s="398" t="n">
        <f aca="false">(D161*($H161+($H161*$I161)+($H161*$J161)+($H161*$I161*$K161))*F161/12)</f>
        <v>353569.216</v>
      </c>
    </row>
    <row r="162" customFormat="false" ht="12.75" hidden="false" customHeight="false" outlineLevel="0" collapsed="false">
      <c r="A162" s="435"/>
      <c r="B162" s="194" t="str">
        <f aca="false">B119</f>
        <v>Other</v>
      </c>
      <c r="C162" s="436" t="n">
        <f aca="false">C119</f>
        <v>0</v>
      </c>
      <c r="D162" s="436" t="n">
        <f aca="false">D119</f>
        <v>0</v>
      </c>
      <c r="E162" s="436" t="n">
        <f aca="false">E119</f>
        <v>0</v>
      </c>
      <c r="F162" s="436" t="n">
        <f aca="false">F119</f>
        <v>0</v>
      </c>
      <c r="G162" s="436" t="n">
        <f aca="false">C162*E162/12+D162*F162/12</f>
        <v>0</v>
      </c>
      <c r="H162" s="437" t="n">
        <f aca="false">H119*(1+$C$4)</f>
        <v>0</v>
      </c>
      <c r="I162" s="438" t="n">
        <f aca="false">I119</f>
        <v>0.15</v>
      </c>
      <c r="J162" s="438" t="n">
        <f aca="false">J119</f>
        <v>0.702</v>
      </c>
      <c r="K162" s="438" t="n">
        <f aca="false">K119</f>
        <v>0.531</v>
      </c>
      <c r="L162" s="397" t="n">
        <f aca="false">(C162*($H162+($H162*$I162)+($H162*$J162)+($H162*$I162*$K162))*E162/12)</f>
        <v>0</v>
      </c>
      <c r="M162" s="398" t="n">
        <f aca="false">(D162*($H162+($H162*$I162)+($H162*$J162)+($H162*$I162*$K162))*F162/12)</f>
        <v>0</v>
      </c>
    </row>
    <row r="163" customFormat="false" ht="12.75" hidden="false" customHeight="false" outlineLevel="0" collapsed="false">
      <c r="A163" s="435"/>
      <c r="B163" s="194"/>
      <c r="C163" s="436"/>
      <c r="D163" s="436"/>
      <c r="E163" s="436"/>
      <c r="F163" s="436"/>
      <c r="G163" s="436"/>
      <c r="H163" s="437"/>
      <c r="I163" s="439"/>
      <c r="J163" s="439"/>
      <c r="K163" s="439"/>
      <c r="L163" s="397"/>
      <c r="M163" s="398"/>
    </row>
    <row r="164" customFormat="false" ht="12.75" hidden="false" customHeight="false" outlineLevel="0" collapsed="false">
      <c r="A164" s="401" t="s">
        <v>212</v>
      </c>
      <c r="B164" s="194"/>
      <c r="C164" s="436"/>
      <c r="D164" s="436"/>
      <c r="E164" s="436"/>
      <c r="F164" s="436"/>
      <c r="G164" s="436"/>
      <c r="H164" s="437"/>
      <c r="I164" s="439"/>
      <c r="J164" s="439"/>
      <c r="K164" s="439"/>
      <c r="L164" s="397"/>
      <c r="M164" s="398"/>
    </row>
    <row r="165" customFormat="false" ht="12.75" hidden="false" customHeight="false" outlineLevel="0" collapsed="false">
      <c r="A165" s="435"/>
      <c r="B165" s="194" t="str">
        <f aca="false">B122</f>
        <v>Maintenance Manager</v>
      </c>
      <c r="C165" s="436" t="n">
        <f aca="false">C122</f>
        <v>0</v>
      </c>
      <c r="D165" s="436" t="n">
        <f aca="false">D122</f>
        <v>1</v>
      </c>
      <c r="E165" s="436" t="n">
        <f aca="false">E122</f>
        <v>0</v>
      </c>
      <c r="F165" s="436" t="n">
        <f aca="false">F122</f>
        <v>12</v>
      </c>
      <c r="G165" s="436" t="n">
        <f aca="false">C165*E165/12+D165*F165/12</f>
        <v>1</v>
      </c>
      <c r="H165" s="437" t="n">
        <f aca="false">H122*(1+$C$4)</f>
        <v>65000</v>
      </c>
      <c r="I165" s="438" t="n">
        <f aca="false">I122</f>
        <v>0</v>
      </c>
      <c r="J165" s="438" t="n">
        <f aca="false">J122</f>
        <v>0.702</v>
      </c>
      <c r="K165" s="438" t="n">
        <f aca="false">K122</f>
        <v>0.531</v>
      </c>
      <c r="L165" s="397" t="n">
        <f aca="false">(C165*($H165+($H165*$I165)+($H165*$J165)+($H165*$I165*$K165))*E165/12)</f>
        <v>0</v>
      </c>
      <c r="M165" s="398" t="n">
        <f aca="false">(D165*($H165+($H165*$I165)+($H165*$J165)+($H165*$I165*$K165))*F165/12)</f>
        <v>110630</v>
      </c>
    </row>
    <row r="166" customFormat="false" ht="12.75" hidden="false" customHeight="false" outlineLevel="0" collapsed="false">
      <c r="A166" s="435"/>
      <c r="B166" s="194" t="str">
        <f aca="false">B123</f>
        <v>Mechanical Engineer</v>
      </c>
      <c r="C166" s="436" t="n">
        <f aca="false">C123</f>
        <v>0</v>
      </c>
      <c r="D166" s="436" t="n">
        <f aca="false">D123</f>
        <v>0</v>
      </c>
      <c r="E166" s="436" t="n">
        <f aca="false">E123</f>
        <v>0</v>
      </c>
      <c r="F166" s="436" t="n">
        <f aca="false">F123</f>
        <v>0</v>
      </c>
      <c r="G166" s="436" t="n">
        <f aca="false">C166*E166/12+D166*F166/12</f>
        <v>0</v>
      </c>
      <c r="H166" s="437" t="n">
        <f aca="false">H123*(1+$C$4)</f>
        <v>0</v>
      </c>
      <c r="I166" s="438" t="n">
        <f aca="false">I123</f>
        <v>0</v>
      </c>
      <c r="J166" s="438" t="n">
        <f aca="false">J123</f>
        <v>0.702</v>
      </c>
      <c r="K166" s="438" t="n">
        <f aca="false">K123</f>
        <v>0.531</v>
      </c>
      <c r="L166" s="397" t="n">
        <f aca="false">(C166*($H166+($H166*$I166)+($H166*$J166)+($H166*$I166*$K166))*E166/12)</f>
        <v>0</v>
      </c>
      <c r="M166" s="398" t="n">
        <f aca="false">(D166*($H166+($H166*$I166)+($H166*$J166)+($H166*$I166*$K166))*F166/12)</f>
        <v>0</v>
      </c>
    </row>
    <row r="167" customFormat="false" ht="12.75" hidden="false" customHeight="false" outlineLevel="0" collapsed="false">
      <c r="A167" s="435"/>
      <c r="B167" s="194" t="str">
        <f aca="false">B124</f>
        <v>Maintenance Planner</v>
      </c>
      <c r="C167" s="436" t="n">
        <f aca="false">C124</f>
        <v>0</v>
      </c>
      <c r="D167" s="436" t="n">
        <f aca="false">D124</f>
        <v>0</v>
      </c>
      <c r="E167" s="436" t="n">
        <f aca="false">E124</f>
        <v>0</v>
      </c>
      <c r="F167" s="436" t="n">
        <f aca="false">F124</f>
        <v>0</v>
      </c>
      <c r="G167" s="436" t="n">
        <f aca="false">C167*E167/12+D167*F167/12</f>
        <v>0</v>
      </c>
      <c r="H167" s="437" t="n">
        <f aca="false">H124*(1+$C$4)</f>
        <v>0</v>
      </c>
      <c r="I167" s="438" t="n">
        <f aca="false">I124</f>
        <v>0.15</v>
      </c>
      <c r="J167" s="438" t="n">
        <f aca="false">J124</f>
        <v>0.702</v>
      </c>
      <c r="K167" s="438" t="n">
        <f aca="false">K124</f>
        <v>0.531</v>
      </c>
      <c r="L167" s="397" t="n">
        <f aca="false">(C167*($H167+($H167*$I167)+($H167*$J167)+($H167*$I167*$K167))*E167/12)</f>
        <v>0</v>
      </c>
      <c r="M167" s="398" t="n">
        <f aca="false">(D167*($H167+($H167*$I167)+($H167*$J167)+($H167*$I167*$K167))*F167/12)</f>
        <v>0</v>
      </c>
    </row>
    <row r="168" customFormat="false" ht="12.75" hidden="false" customHeight="false" outlineLevel="0" collapsed="false">
      <c r="A168" s="435"/>
      <c r="B168" s="194" t="str">
        <f aca="false">B125</f>
        <v>Mechanic</v>
      </c>
      <c r="C168" s="436" t="n">
        <f aca="false">C125</f>
        <v>0</v>
      </c>
      <c r="D168" s="436" t="n">
        <f aca="false">D125</f>
        <v>1</v>
      </c>
      <c r="E168" s="436" t="n">
        <f aca="false">E125</f>
        <v>0</v>
      </c>
      <c r="F168" s="436" t="n">
        <f aca="false">F125</f>
        <v>12</v>
      </c>
      <c r="G168" s="436" t="n">
        <f aca="false">C168*E168/12+D168*F168/12</f>
        <v>1</v>
      </c>
      <c r="H168" s="437" t="n">
        <f aca="false">H125*(1+$C$4)</f>
        <v>38000</v>
      </c>
      <c r="I168" s="438" t="n">
        <f aca="false">I125</f>
        <v>0.15</v>
      </c>
      <c r="J168" s="438" t="n">
        <f aca="false">J125</f>
        <v>0.702</v>
      </c>
      <c r="K168" s="438" t="n">
        <f aca="false">K125</f>
        <v>0.531</v>
      </c>
      <c r="L168" s="397" t="n">
        <f aca="false">(C168*($H168+($H168*$I168)+($H168*$J168)+($H168*$I168*$K168))*E168/12)</f>
        <v>0</v>
      </c>
      <c r="M168" s="398" t="n">
        <f aca="false">(D168*($H168+($H168*$I168)+($H168*$J168)+($H168*$I168*$K168))*F168/12)</f>
        <v>73402.7</v>
      </c>
    </row>
    <row r="169" customFormat="false" ht="12.75" hidden="false" customHeight="false" outlineLevel="0" collapsed="false">
      <c r="A169" s="435"/>
      <c r="B169" s="194" t="str">
        <f aca="false">B126</f>
        <v>I&amp;C Engineer</v>
      </c>
      <c r="C169" s="436" t="n">
        <f aca="false">C126</f>
        <v>0</v>
      </c>
      <c r="D169" s="436" t="n">
        <f aca="false">D126</f>
        <v>0</v>
      </c>
      <c r="E169" s="436" t="n">
        <f aca="false">E126</f>
        <v>0</v>
      </c>
      <c r="F169" s="436" t="n">
        <f aca="false">F126</f>
        <v>0</v>
      </c>
      <c r="G169" s="436" t="n">
        <f aca="false">C169*E169/12+D169*F169/12</f>
        <v>0</v>
      </c>
      <c r="H169" s="437" t="n">
        <f aca="false">H126*(1+$C$4)</f>
        <v>0</v>
      </c>
      <c r="I169" s="438" t="n">
        <f aca="false">I126</f>
        <v>0.15</v>
      </c>
      <c r="J169" s="438" t="n">
        <f aca="false">J126</f>
        <v>0.702</v>
      </c>
      <c r="K169" s="438" t="n">
        <f aca="false">K126</f>
        <v>0.531</v>
      </c>
      <c r="L169" s="397" t="n">
        <f aca="false">(C169*($H169+($H169*$I169)+($H169*$J169)+($H169*$I169*$K169))*E169/12)</f>
        <v>0</v>
      </c>
      <c r="M169" s="398" t="n">
        <f aca="false">(D169*($H169+($H169*$I169)+($H169*$J169)+($H169*$I169*$K169))*F169/12)</f>
        <v>0</v>
      </c>
    </row>
    <row r="170" customFormat="false" ht="12.75" hidden="false" customHeight="false" outlineLevel="0" collapsed="false">
      <c r="A170" s="435"/>
      <c r="B170" s="194" t="str">
        <f aca="false">B127</f>
        <v>I&amp;C Technician</v>
      </c>
      <c r="C170" s="436" t="n">
        <f aca="false">C127</f>
        <v>0</v>
      </c>
      <c r="D170" s="436" t="n">
        <f aca="false">D127</f>
        <v>1</v>
      </c>
      <c r="E170" s="436" t="n">
        <f aca="false">E127</f>
        <v>0</v>
      </c>
      <c r="F170" s="436" t="n">
        <f aca="false">F127</f>
        <v>12</v>
      </c>
      <c r="G170" s="436" t="n">
        <f aca="false">C170*E170/12+D170*F170/12</f>
        <v>1</v>
      </c>
      <c r="H170" s="437" t="n">
        <f aca="false">H127*(1+$C$4)</f>
        <v>55000</v>
      </c>
      <c r="I170" s="438" t="n">
        <f aca="false">I127</f>
        <v>0.15</v>
      </c>
      <c r="J170" s="438" t="n">
        <f aca="false">J127</f>
        <v>0.702</v>
      </c>
      <c r="K170" s="438" t="n">
        <f aca="false">K127</f>
        <v>0.531</v>
      </c>
      <c r="L170" s="397" t="n">
        <f aca="false">(C170*($H170+($H170*$I170)+($H170*$J170)+($H170*$I170*$K170))*E170/12)</f>
        <v>0</v>
      </c>
      <c r="M170" s="398" t="n">
        <f aca="false">(D170*($H170+($H170*$I170)+($H170*$J170)+($H170*$I170*$K170))*F170/12)</f>
        <v>106240.75</v>
      </c>
    </row>
    <row r="171" customFormat="false" ht="12.75" hidden="false" customHeight="false" outlineLevel="0" collapsed="false">
      <c r="A171" s="435"/>
      <c r="B171" s="194" t="str">
        <f aca="false">B128</f>
        <v>Electrical Technician</v>
      </c>
      <c r="C171" s="436" t="n">
        <f aca="false">C128</f>
        <v>0</v>
      </c>
      <c r="D171" s="436" t="n">
        <f aca="false">D128</f>
        <v>1</v>
      </c>
      <c r="E171" s="436" t="n">
        <f aca="false">E128</f>
        <v>0</v>
      </c>
      <c r="F171" s="436" t="n">
        <f aca="false">F128</f>
        <v>12</v>
      </c>
      <c r="G171" s="436" t="n">
        <f aca="false">C171*E171/12+D171*F171/12</f>
        <v>1</v>
      </c>
      <c r="H171" s="437" t="n">
        <f aca="false">H128*(1+$C$4)</f>
        <v>45000</v>
      </c>
      <c r="I171" s="438" t="n">
        <f aca="false">I128</f>
        <v>0.15</v>
      </c>
      <c r="J171" s="438" t="n">
        <f aca="false">J128</f>
        <v>0.702</v>
      </c>
      <c r="K171" s="438" t="n">
        <f aca="false">K128</f>
        <v>0.531</v>
      </c>
      <c r="L171" s="397" t="n">
        <f aca="false">(C171*($H171+($H171*$I171)+($H171*$J171)+($H171*$I171*$K171))*E171/12)</f>
        <v>0</v>
      </c>
      <c r="M171" s="398" t="n">
        <f aca="false">(D171*($H171+($H171*$I171)+($H171*$J171)+($H171*$I171*$K171))*F171/12)</f>
        <v>86924.25</v>
      </c>
    </row>
    <row r="172" customFormat="false" ht="12.75" hidden="false" customHeight="false" outlineLevel="0" collapsed="false">
      <c r="A172" s="435"/>
      <c r="B172" s="194" t="str">
        <f aca="false">B129</f>
        <v>Other</v>
      </c>
      <c r="C172" s="436" t="n">
        <f aca="false">C129</f>
        <v>0</v>
      </c>
      <c r="D172" s="436" t="n">
        <f aca="false">D129</f>
        <v>0</v>
      </c>
      <c r="E172" s="436" t="n">
        <f aca="false">E129</f>
        <v>0</v>
      </c>
      <c r="F172" s="436" t="n">
        <f aca="false">F129</f>
        <v>0</v>
      </c>
      <c r="G172" s="436" t="n">
        <f aca="false">C172*E172/12+D172*F172/12</f>
        <v>0</v>
      </c>
      <c r="H172" s="437" t="n">
        <f aca="false">H129*(1+$C$4)</f>
        <v>0</v>
      </c>
      <c r="I172" s="438" t="n">
        <f aca="false">I129</f>
        <v>0.15</v>
      </c>
      <c r="J172" s="438" t="n">
        <f aca="false">J129</f>
        <v>0.702</v>
      </c>
      <c r="K172" s="438" t="n">
        <f aca="false">K129</f>
        <v>0.531</v>
      </c>
      <c r="L172" s="397" t="n">
        <f aca="false">(C172*($H172+($H172*$I172)+($H172*$J172)+($H172*$I172*$K172))*E172/12)</f>
        <v>0</v>
      </c>
      <c r="M172" s="398" t="n">
        <f aca="false">(D172*($H172+($H172*$I172)+($H172*$J172)+($H172*$I172*$K172))*F172/12)</f>
        <v>0</v>
      </c>
    </row>
    <row r="173" customFormat="false" ht="12.75" hidden="false" customHeight="false" outlineLevel="0" collapsed="false">
      <c r="A173" s="435"/>
      <c r="B173" s="194" t="str">
        <f aca="false">B130</f>
        <v>Other</v>
      </c>
      <c r="C173" s="436" t="n">
        <f aca="false">C130</f>
        <v>0</v>
      </c>
      <c r="D173" s="436" t="n">
        <f aca="false">D130</f>
        <v>0</v>
      </c>
      <c r="E173" s="436" t="n">
        <f aca="false">E130</f>
        <v>0</v>
      </c>
      <c r="F173" s="436" t="n">
        <f aca="false">F130</f>
        <v>0</v>
      </c>
      <c r="G173" s="436" t="n">
        <f aca="false">C173*E173/12+D173*F173/12</f>
        <v>0</v>
      </c>
      <c r="H173" s="437" t="n">
        <f aca="false">H130*(1+$C$4)</f>
        <v>0</v>
      </c>
      <c r="I173" s="438" t="n">
        <f aca="false">I130</f>
        <v>0.15</v>
      </c>
      <c r="J173" s="438" t="n">
        <f aca="false">J130</f>
        <v>0.702</v>
      </c>
      <c r="K173" s="438" t="n">
        <f aca="false">K130</f>
        <v>0.531</v>
      </c>
      <c r="L173" s="397" t="n">
        <f aca="false">(C173*($H173+($H173*$I173)+($H173*$J173)+($H173*$I173*$K173))*E173/12)</f>
        <v>0</v>
      </c>
      <c r="M173" s="398" t="n">
        <f aca="false">(D173*($H173+($H173*$I173)+($H173*$J173)+($H173*$I173*$K173))*F173/12)</f>
        <v>0</v>
      </c>
    </row>
    <row r="174" customFormat="false" ht="12.75" hidden="false" customHeight="false" outlineLevel="0" collapsed="false">
      <c r="A174" s="435"/>
      <c r="B174" s="194" t="str">
        <f aca="false">B131</f>
        <v>Other</v>
      </c>
      <c r="C174" s="436" t="n">
        <f aca="false">C131</f>
        <v>0</v>
      </c>
      <c r="D174" s="436" t="n">
        <f aca="false">D131</f>
        <v>0</v>
      </c>
      <c r="E174" s="436" t="n">
        <f aca="false">E131</f>
        <v>0</v>
      </c>
      <c r="F174" s="436" t="n">
        <f aca="false">F131</f>
        <v>0</v>
      </c>
      <c r="G174" s="436" t="n">
        <f aca="false">C174*E174/12+D174*F174/12</f>
        <v>0</v>
      </c>
      <c r="H174" s="437" t="n">
        <f aca="false">H131*(1+$C$4)</f>
        <v>0</v>
      </c>
      <c r="I174" s="438" t="n">
        <f aca="false">I131</f>
        <v>0.15</v>
      </c>
      <c r="J174" s="438" t="n">
        <f aca="false">J131</f>
        <v>0.702</v>
      </c>
      <c r="K174" s="438" t="n">
        <f aca="false">K131</f>
        <v>0.531</v>
      </c>
      <c r="L174" s="397" t="n">
        <f aca="false">(C174*($H174+($H174*$I174)+($H174*$J174)+($H174*$I174*$K174))*E174/12)</f>
        <v>0</v>
      </c>
      <c r="M174" s="398" t="n">
        <f aca="false">(D174*($H174+($H174*$I174)+($H174*$J174)+($H174*$I174*$K174))*F174/12)</f>
        <v>0</v>
      </c>
    </row>
    <row r="175" customFormat="false" ht="12.75" hidden="false" customHeight="false" outlineLevel="0" collapsed="false">
      <c r="A175" s="440"/>
      <c r="B175" s="441" t="str">
        <f aca="false">B132</f>
        <v>Other</v>
      </c>
      <c r="C175" s="442" t="n">
        <f aca="false">C132</f>
        <v>0</v>
      </c>
      <c r="D175" s="442" t="n">
        <f aca="false">D132</f>
        <v>0</v>
      </c>
      <c r="E175" s="442" t="n">
        <f aca="false">E132</f>
        <v>0</v>
      </c>
      <c r="F175" s="442" t="n">
        <f aca="false">F132</f>
        <v>0</v>
      </c>
      <c r="G175" s="442" t="n">
        <f aca="false">C175*E175/12+D175*F175/12</f>
        <v>0</v>
      </c>
      <c r="H175" s="437" t="n">
        <f aca="false">H132*(1+$C$4)</f>
        <v>0</v>
      </c>
      <c r="I175" s="444" t="n">
        <f aca="false">I132</f>
        <v>0.15</v>
      </c>
      <c r="J175" s="444" t="n">
        <f aca="false">J132</f>
        <v>0.702</v>
      </c>
      <c r="K175" s="444" t="n">
        <f aca="false">K132</f>
        <v>0.531</v>
      </c>
      <c r="L175" s="417" t="n">
        <f aca="false">(C175*($H175+($H175*$I175)+($H175*$J175)+($H175*$I175*$K175))*E175/12)</f>
        <v>0</v>
      </c>
      <c r="M175" s="418" t="n">
        <f aca="false">(D175*($H175+($H175*$I175)+($H175*$J175)+($H175*$I175*$K175))*F175/12)</f>
        <v>0</v>
      </c>
    </row>
    <row r="176" customFormat="false" ht="15.75" hidden="false" customHeight="false" outlineLevel="0" collapsed="false">
      <c r="A176" s="419" t="s">
        <v>865</v>
      </c>
      <c r="B176" s="420"/>
      <c r="C176" s="421" t="n">
        <f aca="false">SUM(C139:C175)</f>
        <v>0</v>
      </c>
      <c r="D176" s="421" t="n">
        <f aca="false">SUM(D139:D175)</f>
        <v>15</v>
      </c>
      <c r="E176" s="421"/>
      <c r="F176" s="422"/>
      <c r="G176" s="423" t="n">
        <f aca="false">SUM(G139:G175)</f>
        <v>15</v>
      </c>
      <c r="H176" s="424"/>
      <c r="J176" s="446"/>
      <c r="K176" s="446"/>
      <c r="L176" s="425" t="n">
        <f aca="false">SUM(L139:L175)</f>
        <v>0</v>
      </c>
      <c r="M176" s="426" t="n">
        <f aca="false">SUM(M139:M175)</f>
        <v>1451918.666</v>
      </c>
    </row>
    <row r="177" customFormat="false" ht="27.75" hidden="false" customHeight="true" outlineLevel="0" collapsed="false">
      <c r="A177" s="429"/>
      <c r="B177" s="429"/>
      <c r="C177" s="430"/>
      <c r="D177" s="430"/>
      <c r="E177" s="430"/>
      <c r="F177" s="430"/>
      <c r="G177" s="430"/>
      <c r="H177" s="431"/>
      <c r="I177" s="450" t="s">
        <v>870</v>
      </c>
      <c r="J177" s="447"/>
      <c r="K177" s="447"/>
      <c r="L177" s="447"/>
      <c r="M177" s="448" t="n">
        <f aca="false">L176+M176</f>
        <v>1451918.666</v>
      </c>
      <c r="N177" s="427"/>
      <c r="O177" s="427"/>
      <c r="P177" s="427"/>
      <c r="Q177" s="428"/>
      <c r="R177" s="427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&amp;L&amp;D&amp;CPage___&amp;R&amp;F
&amp;A</oddFooter>
  </headerFooter>
  <rowBreaks count="3" manualBreakCount="3">
    <brk id="48" man="true" max="16383" min="0"/>
    <brk id="91" man="true" max="16383" min="0"/>
    <brk id="134" man="true" max="16383" min="0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45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4" ySplit="4" topLeftCell="E44" activePane="bottomRight" state="frozen"/>
      <selection pane="topLeft" activeCell="A1" activeCellId="0" sqref="A1"/>
      <selection pane="topRight" activeCell="E1" activeCellId="0" sqref="E1"/>
      <selection pane="bottomLeft" activeCell="A44" activeCellId="0" sqref="A44"/>
      <selection pane="bottomRight" activeCell="F31" activeCellId="0" sqref="F31"/>
    </sheetView>
  </sheetViews>
  <sheetFormatPr defaultColWidth="9.13671875" defaultRowHeight="15" customHeight="true" zeroHeight="false" outlineLevelRow="0" outlineLevelCol="0"/>
  <cols>
    <col collapsed="false" customWidth="true" hidden="false" outlineLevel="0" max="1" min="1" style="451" width="1.7"/>
    <col collapsed="false" customWidth="true" hidden="false" outlineLevel="0" max="2" min="2" style="452" width="5.71"/>
    <col collapsed="false" customWidth="true" hidden="false" outlineLevel="0" max="3" min="3" style="453" width="38.7"/>
    <col collapsed="false" customWidth="true" hidden="false" outlineLevel="0" max="4" min="4" style="453" width="4.56"/>
    <col collapsed="false" customWidth="true" hidden="false" outlineLevel="0" max="5" min="5" style="454" width="15.56"/>
    <col collapsed="false" customWidth="true" hidden="false" outlineLevel="0" max="10" min="6" style="454" width="13.41"/>
    <col collapsed="false" customWidth="true" hidden="false" outlineLevel="0" max="11" min="11" style="454" width="13.14"/>
    <col collapsed="false" customWidth="true" hidden="false" outlineLevel="0" max="19" min="12" style="453" width="13.14"/>
    <col collapsed="false" customWidth="false" hidden="false" outlineLevel="0" max="22" min="20" style="453" width="9.14"/>
    <col collapsed="false" customWidth="true" hidden="false" outlineLevel="0" max="23" min="23" style="453" width="16.84"/>
    <col collapsed="false" customWidth="false" hidden="false" outlineLevel="0" max="257" min="24" style="453" width="9.14"/>
  </cols>
  <sheetData>
    <row r="1" customFormat="false" ht="15.75" hidden="false" customHeight="false" outlineLevel="0" collapsed="false">
      <c r="B1" s="455" t="s">
        <v>871</v>
      </c>
    </row>
    <row r="2" customFormat="false" ht="15" hidden="false" customHeight="false" outlineLevel="0" collapsed="false">
      <c r="B2" s="456" t="s">
        <v>872</v>
      </c>
    </row>
    <row r="4" customFormat="false" ht="45" hidden="false" customHeight="true" outlineLevel="0" collapsed="false">
      <c r="A4" s="457" t="n">
        <v>1</v>
      </c>
      <c r="B4" s="458"/>
      <c r="C4" s="459"/>
      <c r="D4" s="459"/>
      <c r="E4" s="460" t="s">
        <v>873</v>
      </c>
      <c r="F4" s="460" t="s">
        <v>874</v>
      </c>
      <c r="G4" s="460" t="s">
        <v>875</v>
      </c>
      <c r="H4" s="460" t="s">
        <v>876</v>
      </c>
      <c r="I4" s="460" t="s">
        <v>877</v>
      </c>
      <c r="J4" s="460" t="s">
        <v>878</v>
      </c>
      <c r="K4" s="460" t="s">
        <v>879</v>
      </c>
      <c r="L4" s="460"/>
      <c r="M4" s="460"/>
      <c r="N4" s="460"/>
      <c r="O4" s="460"/>
      <c r="P4" s="460"/>
      <c r="Q4" s="460"/>
      <c r="R4" s="460"/>
      <c r="S4" s="460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  <c r="BY4" s="459"/>
      <c r="BZ4" s="459"/>
      <c r="CA4" s="459"/>
      <c r="CB4" s="459"/>
      <c r="CC4" s="459"/>
      <c r="CD4" s="459"/>
      <c r="CE4" s="459"/>
      <c r="CF4" s="459"/>
      <c r="CG4" s="459"/>
      <c r="CH4" s="459"/>
      <c r="CI4" s="459"/>
      <c r="CJ4" s="459"/>
      <c r="CK4" s="459"/>
      <c r="CL4" s="459"/>
      <c r="CM4" s="459"/>
      <c r="CN4" s="459"/>
      <c r="CO4" s="459"/>
      <c r="CP4" s="459"/>
      <c r="CQ4" s="459"/>
      <c r="CR4" s="459"/>
      <c r="CS4" s="459"/>
      <c r="CT4" s="459"/>
      <c r="CU4" s="459"/>
      <c r="CV4" s="459"/>
      <c r="CW4" s="459"/>
      <c r="CX4" s="459"/>
      <c r="CY4" s="459"/>
      <c r="CZ4" s="459"/>
      <c r="DA4" s="459"/>
      <c r="DB4" s="459"/>
      <c r="DC4" s="459"/>
      <c r="DD4" s="459"/>
      <c r="DE4" s="459"/>
      <c r="DF4" s="459"/>
      <c r="DG4" s="459"/>
      <c r="DH4" s="459"/>
      <c r="DI4" s="459"/>
      <c r="DJ4" s="459"/>
      <c r="DK4" s="459"/>
      <c r="DL4" s="459"/>
      <c r="DM4" s="459"/>
      <c r="DN4" s="459"/>
      <c r="DO4" s="459"/>
      <c r="DP4" s="459"/>
      <c r="DQ4" s="459"/>
      <c r="DR4" s="459"/>
      <c r="DS4" s="459"/>
      <c r="DT4" s="459"/>
      <c r="DU4" s="459"/>
      <c r="DV4" s="459"/>
      <c r="DW4" s="459"/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59"/>
      <c r="EL4" s="459"/>
      <c r="EM4" s="459"/>
      <c r="EN4" s="459"/>
      <c r="EO4" s="459"/>
      <c r="EP4" s="459"/>
      <c r="EQ4" s="459"/>
      <c r="ER4" s="459"/>
      <c r="ES4" s="459"/>
      <c r="ET4" s="459"/>
      <c r="EU4" s="459"/>
      <c r="EV4" s="459"/>
      <c r="EW4" s="459"/>
      <c r="EX4" s="459"/>
      <c r="EY4" s="459"/>
      <c r="EZ4" s="459"/>
      <c r="FA4" s="459"/>
      <c r="FB4" s="459"/>
      <c r="FC4" s="459"/>
      <c r="FD4" s="459"/>
      <c r="FE4" s="459"/>
      <c r="FF4" s="459"/>
      <c r="FG4" s="459"/>
      <c r="FH4" s="459"/>
      <c r="FI4" s="459"/>
      <c r="FJ4" s="459"/>
      <c r="FK4" s="459"/>
      <c r="FL4" s="459"/>
      <c r="FM4" s="459"/>
      <c r="FN4" s="459"/>
      <c r="FO4" s="459"/>
      <c r="FP4" s="459"/>
      <c r="FQ4" s="459"/>
      <c r="FR4" s="459"/>
      <c r="FS4" s="459"/>
      <c r="FT4" s="459"/>
      <c r="FU4" s="459"/>
      <c r="FV4" s="459"/>
      <c r="FW4" s="459"/>
      <c r="FX4" s="459"/>
      <c r="FY4" s="459"/>
      <c r="FZ4" s="459"/>
      <c r="GA4" s="459"/>
      <c r="GB4" s="459"/>
      <c r="GC4" s="459"/>
      <c r="GD4" s="459"/>
      <c r="GE4" s="459"/>
      <c r="GF4" s="459"/>
      <c r="GG4" s="459"/>
      <c r="GH4" s="459"/>
      <c r="GI4" s="459"/>
      <c r="GJ4" s="459"/>
      <c r="GK4" s="459"/>
      <c r="GL4" s="459"/>
      <c r="GM4" s="459"/>
      <c r="GN4" s="459"/>
      <c r="GO4" s="459"/>
      <c r="GP4" s="459"/>
      <c r="GQ4" s="459"/>
      <c r="GR4" s="459"/>
      <c r="GS4" s="459"/>
      <c r="GT4" s="459"/>
      <c r="GU4" s="459"/>
      <c r="GV4" s="459"/>
      <c r="GW4" s="459"/>
      <c r="GX4" s="459"/>
      <c r="GY4" s="459"/>
      <c r="GZ4" s="459"/>
      <c r="HA4" s="459"/>
      <c r="HB4" s="459"/>
      <c r="HC4" s="459"/>
      <c r="HD4" s="459"/>
      <c r="HE4" s="459"/>
      <c r="HF4" s="459"/>
      <c r="HG4" s="459"/>
      <c r="HH4" s="459"/>
      <c r="HI4" s="459"/>
      <c r="HJ4" s="459"/>
      <c r="HK4" s="459"/>
      <c r="HL4" s="459"/>
      <c r="HM4" s="459"/>
      <c r="HN4" s="459"/>
      <c r="HO4" s="459"/>
      <c r="HP4" s="459"/>
      <c r="HQ4" s="459"/>
      <c r="HR4" s="459"/>
      <c r="HS4" s="459"/>
      <c r="HT4" s="459"/>
      <c r="HU4" s="459"/>
      <c r="HV4" s="459"/>
      <c r="HW4" s="459"/>
      <c r="HX4" s="459"/>
      <c r="HY4" s="459"/>
      <c r="HZ4" s="459"/>
      <c r="IA4" s="459"/>
      <c r="IB4" s="459"/>
      <c r="IC4" s="459"/>
      <c r="ID4" s="459"/>
      <c r="IE4" s="459"/>
      <c r="IF4" s="459"/>
      <c r="IG4" s="459"/>
      <c r="IH4" s="459"/>
      <c r="II4" s="459"/>
      <c r="IJ4" s="459"/>
      <c r="IK4" s="459"/>
      <c r="IL4" s="459"/>
      <c r="IM4" s="459"/>
      <c r="IN4" s="459"/>
      <c r="IO4" s="459"/>
      <c r="IP4" s="459"/>
      <c r="IQ4" s="459"/>
      <c r="IR4" s="459"/>
      <c r="IS4" s="459"/>
      <c r="IT4" s="459"/>
      <c r="IU4" s="459"/>
      <c r="IV4" s="459"/>
      <c r="IW4" s="459"/>
    </row>
    <row r="5" customFormat="false" ht="19.5" hidden="false" customHeight="true" outlineLevel="0" collapsed="false">
      <c r="A5" s="461" t="n">
        <f aca="false">A4+1</f>
        <v>2</v>
      </c>
      <c r="B5" s="462" t="s">
        <v>880</v>
      </c>
      <c r="C5" s="463"/>
      <c r="D5" s="463"/>
      <c r="E5" s="464"/>
      <c r="F5" s="464"/>
      <c r="G5" s="464"/>
      <c r="H5" s="464"/>
      <c r="I5" s="464"/>
      <c r="J5" s="464"/>
      <c r="K5" s="464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3"/>
      <c r="AG5" s="463"/>
      <c r="AH5" s="463"/>
      <c r="AI5" s="463"/>
      <c r="AJ5" s="463"/>
      <c r="AK5" s="463"/>
      <c r="AL5" s="463"/>
      <c r="AM5" s="463"/>
      <c r="AN5" s="463"/>
      <c r="AO5" s="463"/>
      <c r="AP5" s="463"/>
      <c r="AQ5" s="463"/>
      <c r="AR5" s="463"/>
      <c r="AS5" s="463"/>
      <c r="AT5" s="463"/>
      <c r="AU5" s="463"/>
      <c r="AV5" s="463"/>
      <c r="AW5" s="463"/>
      <c r="AX5" s="463"/>
      <c r="AY5" s="463"/>
      <c r="AZ5" s="463"/>
      <c r="BA5" s="463"/>
      <c r="BB5" s="463"/>
      <c r="BC5" s="463"/>
      <c r="BD5" s="463"/>
      <c r="BE5" s="463"/>
      <c r="BF5" s="463"/>
      <c r="BG5" s="463"/>
      <c r="BH5" s="463"/>
      <c r="BI5" s="463"/>
      <c r="BJ5" s="463"/>
      <c r="BK5" s="463"/>
      <c r="BL5" s="463"/>
      <c r="BM5" s="463"/>
      <c r="BN5" s="463"/>
      <c r="BO5" s="463"/>
      <c r="BP5" s="463"/>
      <c r="BQ5" s="463"/>
      <c r="BR5" s="463"/>
      <c r="BS5" s="463"/>
      <c r="BT5" s="463"/>
      <c r="BU5" s="463"/>
      <c r="BV5" s="463"/>
      <c r="BW5" s="463"/>
      <c r="BX5" s="463"/>
      <c r="BY5" s="463"/>
      <c r="BZ5" s="463"/>
      <c r="CA5" s="463"/>
      <c r="CB5" s="463"/>
      <c r="CC5" s="463"/>
      <c r="CD5" s="463"/>
      <c r="CE5" s="463"/>
      <c r="CF5" s="463"/>
      <c r="CG5" s="463"/>
      <c r="CH5" s="463"/>
      <c r="CI5" s="463"/>
      <c r="CJ5" s="463"/>
      <c r="CK5" s="463"/>
      <c r="CL5" s="463"/>
      <c r="CM5" s="463"/>
      <c r="CN5" s="463"/>
      <c r="CO5" s="463"/>
      <c r="CP5" s="463"/>
      <c r="CQ5" s="463"/>
      <c r="CR5" s="463"/>
      <c r="CS5" s="463"/>
      <c r="CT5" s="463"/>
      <c r="CU5" s="463"/>
      <c r="CV5" s="463"/>
      <c r="CW5" s="463"/>
      <c r="CX5" s="463"/>
      <c r="CY5" s="463"/>
      <c r="CZ5" s="463"/>
      <c r="DA5" s="463"/>
      <c r="DB5" s="463"/>
      <c r="DC5" s="463"/>
      <c r="DD5" s="463"/>
      <c r="DE5" s="463"/>
      <c r="DF5" s="463"/>
      <c r="DG5" s="463"/>
      <c r="DH5" s="463"/>
      <c r="DI5" s="463"/>
      <c r="DJ5" s="463"/>
      <c r="DK5" s="463"/>
      <c r="DL5" s="463"/>
      <c r="DM5" s="463"/>
      <c r="DN5" s="463"/>
      <c r="DO5" s="463"/>
      <c r="DP5" s="463"/>
      <c r="DQ5" s="463"/>
      <c r="DR5" s="463"/>
      <c r="DS5" s="463"/>
      <c r="DT5" s="463"/>
      <c r="DU5" s="463"/>
      <c r="DV5" s="463"/>
      <c r="DW5" s="463"/>
      <c r="DX5" s="463"/>
      <c r="DY5" s="463"/>
      <c r="DZ5" s="463"/>
      <c r="EA5" s="463"/>
      <c r="EB5" s="463"/>
      <c r="EC5" s="463"/>
      <c r="ED5" s="463"/>
      <c r="EE5" s="463"/>
      <c r="EF5" s="463"/>
      <c r="EG5" s="463"/>
      <c r="EH5" s="463"/>
      <c r="EI5" s="463"/>
      <c r="EJ5" s="463"/>
      <c r="EK5" s="463"/>
      <c r="EL5" s="463"/>
      <c r="EM5" s="463"/>
      <c r="EN5" s="463"/>
      <c r="EO5" s="463"/>
      <c r="EP5" s="463"/>
      <c r="EQ5" s="463"/>
      <c r="ER5" s="463"/>
      <c r="ES5" s="463"/>
      <c r="ET5" s="463"/>
      <c r="EU5" s="463"/>
      <c r="EV5" s="463"/>
      <c r="EW5" s="463"/>
      <c r="EX5" s="463"/>
      <c r="EY5" s="463"/>
      <c r="EZ5" s="463"/>
      <c r="FA5" s="463"/>
      <c r="FB5" s="463"/>
      <c r="FC5" s="463"/>
      <c r="FD5" s="463"/>
      <c r="FE5" s="463"/>
      <c r="FF5" s="463"/>
      <c r="FG5" s="463"/>
      <c r="FH5" s="463"/>
      <c r="FI5" s="463"/>
      <c r="FJ5" s="463"/>
      <c r="FK5" s="463"/>
      <c r="FL5" s="463"/>
      <c r="FM5" s="463"/>
      <c r="FN5" s="463"/>
      <c r="FO5" s="463"/>
      <c r="FP5" s="463"/>
      <c r="FQ5" s="463"/>
      <c r="FR5" s="463"/>
      <c r="FS5" s="463"/>
      <c r="FT5" s="463"/>
      <c r="FU5" s="463"/>
      <c r="FV5" s="463"/>
      <c r="FW5" s="463"/>
      <c r="FX5" s="463"/>
      <c r="FY5" s="463"/>
      <c r="FZ5" s="463"/>
      <c r="GA5" s="463"/>
      <c r="GB5" s="463"/>
      <c r="GC5" s="463"/>
      <c r="GD5" s="463"/>
      <c r="GE5" s="463"/>
      <c r="GF5" s="463"/>
      <c r="GG5" s="463"/>
      <c r="GH5" s="463"/>
      <c r="GI5" s="463"/>
      <c r="GJ5" s="463"/>
      <c r="GK5" s="463"/>
      <c r="GL5" s="463"/>
      <c r="GM5" s="463"/>
      <c r="GN5" s="463"/>
      <c r="GO5" s="463"/>
      <c r="GP5" s="463"/>
      <c r="GQ5" s="463"/>
      <c r="GR5" s="463"/>
      <c r="GS5" s="463"/>
      <c r="GT5" s="463"/>
      <c r="GU5" s="463"/>
      <c r="GV5" s="463"/>
      <c r="GW5" s="463"/>
      <c r="GX5" s="463"/>
      <c r="GY5" s="463"/>
      <c r="GZ5" s="463"/>
      <c r="HA5" s="463"/>
      <c r="HB5" s="463"/>
      <c r="HC5" s="463"/>
      <c r="HD5" s="463"/>
      <c r="HE5" s="463"/>
      <c r="HF5" s="463"/>
      <c r="HG5" s="463"/>
      <c r="HH5" s="463"/>
      <c r="HI5" s="463"/>
      <c r="HJ5" s="463"/>
      <c r="HK5" s="463"/>
      <c r="HL5" s="463"/>
      <c r="HM5" s="463"/>
      <c r="HN5" s="463"/>
      <c r="HO5" s="463"/>
      <c r="HP5" s="463"/>
      <c r="HQ5" s="463"/>
      <c r="HR5" s="463"/>
      <c r="HS5" s="463"/>
      <c r="HT5" s="463"/>
      <c r="HU5" s="463"/>
      <c r="HV5" s="463"/>
      <c r="HW5" s="463"/>
      <c r="HX5" s="463"/>
      <c r="HY5" s="463"/>
      <c r="HZ5" s="463"/>
      <c r="IA5" s="463"/>
      <c r="IB5" s="463"/>
      <c r="IC5" s="463"/>
      <c r="ID5" s="463"/>
      <c r="IE5" s="463"/>
      <c r="IF5" s="463"/>
      <c r="IG5" s="463"/>
      <c r="IH5" s="463"/>
      <c r="II5" s="463"/>
      <c r="IJ5" s="463"/>
      <c r="IK5" s="463"/>
      <c r="IL5" s="463"/>
      <c r="IM5" s="463"/>
      <c r="IN5" s="463"/>
      <c r="IO5" s="463"/>
      <c r="IP5" s="463"/>
      <c r="IQ5" s="463"/>
      <c r="IR5" s="463"/>
      <c r="IS5" s="463"/>
      <c r="IT5" s="463"/>
      <c r="IU5" s="463"/>
      <c r="IV5" s="463"/>
      <c r="IW5" s="463"/>
    </row>
    <row r="6" customFormat="false" ht="15.75" hidden="false" customHeight="true" outlineLevel="0" collapsed="false">
      <c r="A6" s="461" t="n">
        <f aca="false">A5+1</f>
        <v>3</v>
      </c>
      <c r="B6" s="465"/>
      <c r="C6" s="463"/>
      <c r="D6" s="463"/>
      <c r="E6" s="464"/>
      <c r="F6" s="464"/>
      <c r="G6" s="464"/>
      <c r="H6" s="464"/>
      <c r="I6" s="464"/>
      <c r="J6" s="464"/>
      <c r="K6" s="464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63"/>
      <c r="AJ6" s="463"/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  <c r="BB6" s="463"/>
      <c r="BC6" s="463"/>
      <c r="BD6" s="463"/>
      <c r="BE6" s="463"/>
      <c r="BF6" s="463"/>
      <c r="BG6" s="463"/>
      <c r="BH6" s="463"/>
      <c r="BI6" s="463"/>
      <c r="BJ6" s="463"/>
      <c r="BK6" s="463"/>
      <c r="BL6" s="463"/>
      <c r="BM6" s="463"/>
      <c r="BN6" s="463"/>
      <c r="BO6" s="463"/>
      <c r="BP6" s="463"/>
      <c r="BQ6" s="463"/>
      <c r="BR6" s="463"/>
      <c r="BS6" s="463"/>
      <c r="BT6" s="463"/>
      <c r="BU6" s="463"/>
      <c r="BV6" s="463"/>
      <c r="BW6" s="463"/>
      <c r="BX6" s="463"/>
      <c r="BY6" s="463"/>
      <c r="BZ6" s="463"/>
      <c r="CA6" s="463"/>
      <c r="CB6" s="463"/>
      <c r="CC6" s="463"/>
      <c r="CD6" s="463"/>
      <c r="CE6" s="463"/>
      <c r="CF6" s="463"/>
      <c r="CG6" s="463"/>
      <c r="CH6" s="463"/>
      <c r="CI6" s="463"/>
      <c r="CJ6" s="463"/>
      <c r="CK6" s="463"/>
      <c r="CL6" s="463"/>
      <c r="CM6" s="463"/>
      <c r="CN6" s="463"/>
      <c r="CO6" s="463"/>
      <c r="CP6" s="463"/>
      <c r="CQ6" s="463"/>
      <c r="CR6" s="463"/>
      <c r="CS6" s="463"/>
      <c r="CT6" s="463"/>
      <c r="CU6" s="463"/>
      <c r="CV6" s="463"/>
      <c r="CW6" s="463"/>
      <c r="CX6" s="463"/>
      <c r="CY6" s="463"/>
      <c r="CZ6" s="463"/>
      <c r="DA6" s="463"/>
      <c r="DB6" s="463"/>
      <c r="DC6" s="463"/>
      <c r="DD6" s="463"/>
      <c r="DE6" s="463"/>
      <c r="DF6" s="463"/>
      <c r="DG6" s="463"/>
      <c r="DH6" s="463"/>
      <c r="DI6" s="463"/>
      <c r="DJ6" s="463"/>
      <c r="DK6" s="463"/>
      <c r="DL6" s="463"/>
      <c r="DM6" s="463"/>
      <c r="DN6" s="463"/>
      <c r="DO6" s="463"/>
      <c r="DP6" s="463"/>
      <c r="DQ6" s="463"/>
      <c r="DR6" s="463"/>
      <c r="DS6" s="463"/>
      <c r="DT6" s="463"/>
      <c r="DU6" s="463"/>
      <c r="DV6" s="463"/>
      <c r="DW6" s="463"/>
      <c r="DX6" s="463"/>
      <c r="DY6" s="463"/>
      <c r="DZ6" s="463"/>
      <c r="EA6" s="463"/>
      <c r="EB6" s="463"/>
      <c r="EC6" s="463"/>
      <c r="ED6" s="463"/>
      <c r="EE6" s="463"/>
      <c r="EF6" s="463"/>
      <c r="EG6" s="463"/>
      <c r="EH6" s="463"/>
      <c r="EI6" s="463"/>
      <c r="EJ6" s="463"/>
      <c r="EK6" s="463"/>
      <c r="EL6" s="463"/>
      <c r="EM6" s="463"/>
      <c r="EN6" s="463"/>
      <c r="EO6" s="463"/>
      <c r="EP6" s="463"/>
      <c r="EQ6" s="463"/>
      <c r="ER6" s="463"/>
      <c r="ES6" s="463"/>
      <c r="ET6" s="463"/>
      <c r="EU6" s="463"/>
      <c r="EV6" s="463"/>
      <c r="EW6" s="463"/>
      <c r="EX6" s="463"/>
      <c r="EY6" s="463"/>
      <c r="EZ6" s="463"/>
      <c r="FA6" s="463"/>
      <c r="FB6" s="463"/>
      <c r="FC6" s="463"/>
      <c r="FD6" s="463"/>
      <c r="FE6" s="463"/>
      <c r="FF6" s="463"/>
      <c r="FG6" s="463"/>
      <c r="FH6" s="463"/>
      <c r="FI6" s="463"/>
      <c r="FJ6" s="463"/>
      <c r="FK6" s="463"/>
      <c r="FL6" s="463"/>
      <c r="FM6" s="463"/>
      <c r="FN6" s="463"/>
      <c r="FO6" s="463"/>
      <c r="FP6" s="463"/>
      <c r="FQ6" s="463"/>
      <c r="FR6" s="463"/>
      <c r="FS6" s="463"/>
      <c r="FT6" s="463"/>
      <c r="FU6" s="463"/>
      <c r="FV6" s="463"/>
      <c r="FW6" s="463"/>
      <c r="FX6" s="463"/>
      <c r="FY6" s="463"/>
      <c r="FZ6" s="463"/>
      <c r="GA6" s="463"/>
      <c r="GB6" s="463"/>
      <c r="GC6" s="463"/>
      <c r="GD6" s="463"/>
      <c r="GE6" s="463"/>
      <c r="GF6" s="463"/>
      <c r="GG6" s="463"/>
      <c r="GH6" s="463"/>
      <c r="GI6" s="463"/>
      <c r="GJ6" s="463"/>
      <c r="GK6" s="463"/>
      <c r="GL6" s="463"/>
      <c r="GM6" s="463"/>
      <c r="GN6" s="463"/>
      <c r="GO6" s="463"/>
      <c r="GP6" s="463"/>
      <c r="GQ6" s="463"/>
      <c r="GR6" s="463"/>
      <c r="GS6" s="463"/>
      <c r="GT6" s="463"/>
      <c r="GU6" s="463"/>
      <c r="GV6" s="463"/>
      <c r="GW6" s="463"/>
      <c r="GX6" s="463"/>
      <c r="GY6" s="463"/>
      <c r="GZ6" s="463"/>
      <c r="HA6" s="463"/>
      <c r="HB6" s="463"/>
      <c r="HC6" s="463"/>
      <c r="HD6" s="463"/>
      <c r="HE6" s="463"/>
      <c r="HF6" s="463"/>
      <c r="HG6" s="463"/>
      <c r="HH6" s="463"/>
      <c r="HI6" s="463"/>
      <c r="HJ6" s="463"/>
      <c r="HK6" s="463"/>
      <c r="HL6" s="463"/>
      <c r="HM6" s="463"/>
      <c r="HN6" s="463"/>
      <c r="HO6" s="463"/>
      <c r="HP6" s="463"/>
      <c r="HQ6" s="463"/>
      <c r="HR6" s="463"/>
      <c r="HS6" s="463"/>
      <c r="HT6" s="463"/>
      <c r="HU6" s="463"/>
      <c r="HV6" s="463"/>
      <c r="HW6" s="463"/>
      <c r="HX6" s="463"/>
      <c r="HY6" s="463"/>
      <c r="HZ6" s="463"/>
      <c r="IA6" s="463"/>
      <c r="IB6" s="463"/>
      <c r="IC6" s="463"/>
      <c r="ID6" s="463"/>
      <c r="IE6" s="463"/>
      <c r="IF6" s="463"/>
      <c r="IG6" s="463"/>
      <c r="IH6" s="463"/>
      <c r="II6" s="463"/>
      <c r="IJ6" s="463"/>
      <c r="IK6" s="463"/>
      <c r="IL6" s="463"/>
      <c r="IM6" s="463"/>
      <c r="IN6" s="463"/>
      <c r="IO6" s="463"/>
      <c r="IP6" s="463"/>
      <c r="IQ6" s="463"/>
      <c r="IR6" s="463"/>
      <c r="IS6" s="463"/>
      <c r="IT6" s="463"/>
      <c r="IU6" s="463"/>
      <c r="IV6" s="463"/>
      <c r="IW6" s="463"/>
    </row>
    <row r="7" customFormat="false" ht="12.75" hidden="false" customHeight="false" outlineLevel="0" collapsed="false">
      <c r="A7" s="461" t="n">
        <f aca="false">A6+1</f>
        <v>4</v>
      </c>
      <c r="B7" s="466" t="str">
        <f aca="false">'Plant Configuration'!B12</f>
        <v>Administration Staff</v>
      </c>
      <c r="C7" s="449"/>
      <c r="D7" s="449"/>
      <c r="E7" s="20"/>
      <c r="F7" s="20"/>
      <c r="G7" s="20"/>
      <c r="H7" s="20"/>
      <c r="I7" s="20"/>
      <c r="J7" s="20"/>
      <c r="K7" s="20"/>
      <c r="L7" s="20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49"/>
      <c r="Y7" s="449"/>
      <c r="Z7" s="449"/>
      <c r="AA7" s="449"/>
      <c r="AB7" s="449"/>
      <c r="AC7" s="449"/>
      <c r="AD7" s="449"/>
      <c r="AE7" s="449"/>
      <c r="AF7" s="449"/>
      <c r="AG7" s="449"/>
      <c r="AH7" s="449"/>
      <c r="AI7" s="449"/>
      <c r="AJ7" s="449"/>
      <c r="AK7" s="449"/>
      <c r="AL7" s="449"/>
      <c r="AM7" s="449"/>
      <c r="AN7" s="449"/>
      <c r="AO7" s="449"/>
      <c r="AP7" s="449"/>
      <c r="AQ7" s="449"/>
      <c r="AR7" s="449"/>
      <c r="AS7" s="449"/>
      <c r="AT7" s="449"/>
      <c r="AU7" s="449"/>
      <c r="AV7" s="449"/>
      <c r="AW7" s="449"/>
      <c r="AX7" s="449"/>
      <c r="AY7" s="449"/>
      <c r="AZ7" s="449"/>
      <c r="BA7" s="449"/>
      <c r="BB7" s="449"/>
      <c r="BC7" s="449"/>
      <c r="BD7" s="449"/>
      <c r="BE7" s="449"/>
      <c r="BF7" s="449"/>
      <c r="BG7" s="449"/>
      <c r="BH7" s="449"/>
      <c r="BI7" s="449"/>
      <c r="BJ7" s="449"/>
      <c r="BK7" s="449"/>
      <c r="BL7" s="449"/>
      <c r="BM7" s="449"/>
      <c r="BN7" s="449"/>
      <c r="BO7" s="449"/>
      <c r="BP7" s="449"/>
      <c r="BQ7" s="449"/>
      <c r="BR7" s="449"/>
      <c r="BS7" s="449"/>
      <c r="BT7" s="449"/>
      <c r="BU7" s="449"/>
      <c r="BV7" s="449"/>
      <c r="BW7" s="449"/>
      <c r="BX7" s="449"/>
      <c r="BY7" s="449"/>
      <c r="BZ7" s="449"/>
      <c r="CA7" s="449"/>
      <c r="CB7" s="449"/>
      <c r="CC7" s="449"/>
      <c r="CD7" s="449"/>
      <c r="CE7" s="449"/>
      <c r="CF7" s="449"/>
      <c r="CG7" s="449"/>
      <c r="CH7" s="449"/>
      <c r="CI7" s="449"/>
      <c r="CJ7" s="449"/>
      <c r="CK7" s="449"/>
      <c r="CL7" s="449"/>
      <c r="CM7" s="449"/>
      <c r="CN7" s="449"/>
      <c r="CO7" s="449"/>
      <c r="CP7" s="449"/>
      <c r="CQ7" s="449"/>
      <c r="CR7" s="449"/>
      <c r="CS7" s="449"/>
      <c r="CT7" s="449"/>
      <c r="CU7" s="449"/>
      <c r="CV7" s="449"/>
      <c r="CW7" s="449"/>
      <c r="CX7" s="449"/>
      <c r="CY7" s="449"/>
      <c r="CZ7" s="449"/>
      <c r="DA7" s="449"/>
      <c r="DB7" s="449"/>
      <c r="DC7" s="449"/>
      <c r="DD7" s="449"/>
      <c r="DE7" s="449"/>
      <c r="DF7" s="449"/>
      <c r="DG7" s="449"/>
      <c r="DH7" s="449"/>
      <c r="DI7" s="449"/>
      <c r="DJ7" s="449"/>
      <c r="DK7" s="449"/>
      <c r="DL7" s="449"/>
      <c r="DM7" s="449"/>
      <c r="DN7" s="449"/>
      <c r="DO7" s="449"/>
      <c r="DP7" s="449"/>
      <c r="DQ7" s="449"/>
      <c r="DR7" s="449"/>
      <c r="DS7" s="449"/>
      <c r="DT7" s="449"/>
      <c r="DU7" s="449"/>
      <c r="DV7" s="449"/>
      <c r="DW7" s="449"/>
      <c r="DX7" s="449"/>
      <c r="DY7" s="449"/>
      <c r="DZ7" s="449"/>
      <c r="EA7" s="449"/>
      <c r="EB7" s="449"/>
      <c r="EC7" s="449"/>
      <c r="ED7" s="449"/>
      <c r="EE7" s="449"/>
      <c r="EF7" s="449"/>
      <c r="EG7" s="449"/>
      <c r="EH7" s="449"/>
      <c r="EI7" s="449"/>
      <c r="EJ7" s="449"/>
      <c r="EK7" s="449"/>
      <c r="EL7" s="449"/>
      <c r="EM7" s="449"/>
      <c r="EN7" s="449"/>
      <c r="EO7" s="449"/>
      <c r="EP7" s="449"/>
      <c r="EQ7" s="449"/>
      <c r="ER7" s="449"/>
      <c r="ES7" s="449"/>
      <c r="ET7" s="449"/>
      <c r="EU7" s="449"/>
      <c r="EV7" s="449"/>
      <c r="EW7" s="449"/>
      <c r="EX7" s="449"/>
      <c r="EY7" s="449"/>
      <c r="EZ7" s="449"/>
      <c r="FA7" s="449"/>
      <c r="FB7" s="449"/>
      <c r="FC7" s="449"/>
      <c r="FD7" s="449"/>
      <c r="FE7" s="449"/>
      <c r="FF7" s="449"/>
      <c r="FG7" s="449"/>
      <c r="FH7" s="449"/>
      <c r="FI7" s="449"/>
      <c r="FJ7" s="449"/>
      <c r="FK7" s="449"/>
      <c r="FL7" s="449"/>
      <c r="FM7" s="449"/>
      <c r="FN7" s="449"/>
      <c r="FO7" s="449"/>
      <c r="FP7" s="449"/>
      <c r="FQ7" s="449"/>
      <c r="FR7" s="449"/>
      <c r="FS7" s="449"/>
      <c r="FT7" s="449"/>
      <c r="FU7" s="449"/>
      <c r="FV7" s="449"/>
      <c r="FW7" s="449"/>
      <c r="FX7" s="449"/>
      <c r="FY7" s="449"/>
      <c r="FZ7" s="449"/>
      <c r="GA7" s="449"/>
      <c r="GB7" s="449"/>
      <c r="GC7" s="449"/>
      <c r="GD7" s="449"/>
      <c r="GE7" s="449"/>
      <c r="GF7" s="449"/>
      <c r="GG7" s="449"/>
      <c r="GH7" s="449"/>
      <c r="GI7" s="449"/>
      <c r="GJ7" s="449"/>
      <c r="GK7" s="449"/>
      <c r="GL7" s="449"/>
      <c r="GM7" s="449"/>
      <c r="GN7" s="449"/>
      <c r="GO7" s="449"/>
      <c r="GP7" s="449"/>
      <c r="GQ7" s="449"/>
      <c r="GR7" s="449"/>
      <c r="GS7" s="449"/>
      <c r="GT7" s="449"/>
      <c r="GU7" s="449"/>
      <c r="GV7" s="449"/>
      <c r="GW7" s="449"/>
      <c r="GX7" s="449"/>
      <c r="GY7" s="449"/>
      <c r="GZ7" s="449"/>
      <c r="HA7" s="449"/>
      <c r="HB7" s="449"/>
      <c r="HC7" s="449"/>
      <c r="HD7" s="449"/>
      <c r="HE7" s="449"/>
      <c r="HF7" s="449"/>
      <c r="HG7" s="449"/>
      <c r="HH7" s="449"/>
      <c r="HI7" s="449"/>
      <c r="HJ7" s="449"/>
      <c r="HK7" s="449"/>
      <c r="HL7" s="449"/>
      <c r="HM7" s="449"/>
      <c r="HN7" s="449"/>
      <c r="HO7" s="449"/>
      <c r="HP7" s="449"/>
      <c r="HQ7" s="449"/>
      <c r="HR7" s="449"/>
      <c r="HS7" s="449"/>
      <c r="HT7" s="449"/>
      <c r="HU7" s="449"/>
      <c r="HV7" s="449"/>
      <c r="HW7" s="449"/>
      <c r="HX7" s="449"/>
      <c r="HY7" s="449"/>
      <c r="HZ7" s="449"/>
      <c r="IA7" s="449"/>
      <c r="IB7" s="449"/>
      <c r="IC7" s="449"/>
      <c r="ID7" s="449"/>
      <c r="IE7" s="449"/>
      <c r="IF7" s="449"/>
      <c r="IG7" s="449"/>
      <c r="IH7" s="449"/>
      <c r="II7" s="449"/>
      <c r="IJ7" s="449"/>
      <c r="IK7" s="449"/>
      <c r="IL7" s="449"/>
      <c r="IM7" s="449"/>
      <c r="IN7" s="449"/>
      <c r="IO7" s="449"/>
      <c r="IP7" s="449"/>
      <c r="IQ7" s="449"/>
      <c r="IR7" s="449"/>
      <c r="IS7" s="449"/>
      <c r="IT7" s="449"/>
      <c r="IU7" s="449"/>
      <c r="IV7" s="449"/>
      <c r="IW7" s="449"/>
    </row>
    <row r="8" customFormat="false" ht="12.75" hidden="false" customHeight="false" outlineLevel="0" collapsed="false">
      <c r="A8" s="461" t="n">
        <f aca="false">A7+1</f>
        <v>5</v>
      </c>
      <c r="B8" s="466"/>
      <c r="C8" s="467" t="str">
        <f aca="false">'Plant Configuration'!C13</f>
        <v>Plant Manager</v>
      </c>
      <c r="D8" s="449"/>
      <c r="E8" s="468" t="n">
        <v>87000</v>
      </c>
      <c r="F8" s="468" t="n">
        <v>87000</v>
      </c>
      <c r="G8" s="468" t="n">
        <v>87000</v>
      </c>
      <c r="H8" s="468" t="n">
        <v>87000</v>
      </c>
      <c r="I8" s="468" t="n">
        <v>87000</v>
      </c>
      <c r="J8" s="468" t="n">
        <v>87000</v>
      </c>
      <c r="K8" s="468"/>
      <c r="L8" s="468"/>
      <c r="M8" s="468"/>
      <c r="N8" s="468"/>
      <c r="O8" s="468"/>
      <c r="P8" s="468"/>
      <c r="Q8" s="468"/>
      <c r="R8" s="468"/>
      <c r="S8" s="468"/>
      <c r="T8" s="449"/>
      <c r="U8" s="449"/>
      <c r="V8" s="449"/>
      <c r="W8" s="449"/>
      <c r="X8" s="449"/>
      <c r="Y8" s="449"/>
      <c r="Z8" s="449"/>
      <c r="AA8" s="449"/>
      <c r="AB8" s="449"/>
      <c r="AC8" s="449"/>
      <c r="AD8" s="449"/>
      <c r="AE8" s="449"/>
      <c r="AF8" s="449"/>
      <c r="AG8" s="449"/>
      <c r="AH8" s="449"/>
      <c r="AI8" s="449"/>
      <c r="AJ8" s="449"/>
      <c r="AK8" s="449"/>
      <c r="AL8" s="449"/>
      <c r="AM8" s="449"/>
      <c r="AN8" s="449"/>
      <c r="AO8" s="449"/>
      <c r="AP8" s="449"/>
      <c r="AQ8" s="449"/>
      <c r="AR8" s="449"/>
      <c r="AS8" s="449"/>
      <c r="AT8" s="449"/>
      <c r="AU8" s="449"/>
      <c r="AV8" s="449"/>
      <c r="AW8" s="449"/>
      <c r="AX8" s="449"/>
      <c r="AY8" s="449"/>
      <c r="AZ8" s="449"/>
      <c r="BA8" s="449"/>
      <c r="BB8" s="449"/>
      <c r="BC8" s="449"/>
      <c r="BD8" s="449"/>
      <c r="BE8" s="449"/>
      <c r="BF8" s="449"/>
      <c r="BG8" s="449"/>
      <c r="BH8" s="449"/>
      <c r="BI8" s="449"/>
      <c r="BJ8" s="449"/>
      <c r="BK8" s="449"/>
      <c r="BL8" s="449"/>
      <c r="BM8" s="449"/>
      <c r="BN8" s="449"/>
      <c r="BO8" s="449"/>
      <c r="BP8" s="449"/>
      <c r="BQ8" s="449"/>
      <c r="BR8" s="449"/>
      <c r="BS8" s="449"/>
      <c r="BT8" s="449"/>
      <c r="BU8" s="449"/>
      <c r="BV8" s="449"/>
      <c r="BW8" s="449"/>
      <c r="BX8" s="449"/>
      <c r="BY8" s="449"/>
      <c r="BZ8" s="449"/>
      <c r="CA8" s="449"/>
      <c r="CB8" s="449"/>
      <c r="CC8" s="449"/>
      <c r="CD8" s="449"/>
      <c r="CE8" s="449"/>
      <c r="CF8" s="449"/>
      <c r="CG8" s="449"/>
      <c r="CH8" s="449"/>
      <c r="CI8" s="449"/>
      <c r="CJ8" s="449"/>
      <c r="CK8" s="449"/>
      <c r="CL8" s="449"/>
      <c r="CM8" s="449"/>
      <c r="CN8" s="449"/>
      <c r="CO8" s="449"/>
      <c r="CP8" s="449"/>
      <c r="CQ8" s="449"/>
      <c r="CR8" s="449"/>
      <c r="CS8" s="449"/>
      <c r="CT8" s="449"/>
      <c r="CU8" s="449"/>
      <c r="CV8" s="449"/>
      <c r="CW8" s="449"/>
      <c r="CX8" s="449"/>
      <c r="CY8" s="449"/>
      <c r="CZ8" s="449"/>
      <c r="DA8" s="449"/>
      <c r="DB8" s="449"/>
      <c r="DC8" s="449"/>
      <c r="DD8" s="449"/>
      <c r="DE8" s="449"/>
      <c r="DF8" s="449"/>
      <c r="DG8" s="449"/>
      <c r="DH8" s="449"/>
      <c r="DI8" s="449"/>
      <c r="DJ8" s="449"/>
      <c r="DK8" s="449"/>
      <c r="DL8" s="449"/>
      <c r="DM8" s="449"/>
      <c r="DN8" s="449"/>
      <c r="DO8" s="449"/>
      <c r="DP8" s="449"/>
      <c r="DQ8" s="449"/>
      <c r="DR8" s="449"/>
      <c r="DS8" s="449"/>
      <c r="DT8" s="449"/>
      <c r="DU8" s="449"/>
      <c r="DV8" s="449"/>
      <c r="DW8" s="449"/>
      <c r="DX8" s="449"/>
      <c r="DY8" s="449"/>
      <c r="DZ8" s="449"/>
      <c r="EA8" s="449"/>
      <c r="EB8" s="449"/>
      <c r="EC8" s="449"/>
      <c r="ED8" s="449"/>
      <c r="EE8" s="449"/>
      <c r="EF8" s="449"/>
      <c r="EG8" s="449"/>
      <c r="EH8" s="449"/>
      <c r="EI8" s="449"/>
      <c r="EJ8" s="449"/>
      <c r="EK8" s="449"/>
      <c r="EL8" s="449"/>
      <c r="EM8" s="449"/>
      <c r="EN8" s="449"/>
      <c r="EO8" s="449"/>
      <c r="EP8" s="449"/>
      <c r="EQ8" s="449"/>
      <c r="ER8" s="449"/>
      <c r="ES8" s="449"/>
      <c r="ET8" s="449"/>
      <c r="EU8" s="449"/>
      <c r="EV8" s="449"/>
      <c r="EW8" s="449"/>
      <c r="EX8" s="449"/>
      <c r="EY8" s="449"/>
      <c r="EZ8" s="449"/>
      <c r="FA8" s="449"/>
      <c r="FB8" s="449"/>
      <c r="FC8" s="449"/>
      <c r="FD8" s="449"/>
      <c r="FE8" s="449"/>
      <c r="FF8" s="449"/>
      <c r="FG8" s="449"/>
      <c r="FH8" s="449"/>
      <c r="FI8" s="449"/>
      <c r="FJ8" s="449"/>
      <c r="FK8" s="449"/>
      <c r="FL8" s="449"/>
      <c r="FM8" s="449"/>
      <c r="FN8" s="449"/>
      <c r="FO8" s="449"/>
      <c r="FP8" s="449"/>
      <c r="FQ8" s="449"/>
      <c r="FR8" s="449"/>
      <c r="FS8" s="449"/>
      <c r="FT8" s="449"/>
      <c r="FU8" s="449"/>
      <c r="FV8" s="449"/>
      <c r="FW8" s="449"/>
      <c r="FX8" s="449"/>
      <c r="FY8" s="449"/>
      <c r="FZ8" s="449"/>
      <c r="GA8" s="449"/>
      <c r="GB8" s="449"/>
      <c r="GC8" s="449"/>
      <c r="GD8" s="449"/>
      <c r="GE8" s="449"/>
      <c r="GF8" s="449"/>
      <c r="GG8" s="449"/>
      <c r="GH8" s="449"/>
      <c r="GI8" s="449"/>
      <c r="GJ8" s="449"/>
      <c r="GK8" s="449"/>
      <c r="GL8" s="449"/>
      <c r="GM8" s="449"/>
      <c r="GN8" s="449"/>
      <c r="GO8" s="449"/>
      <c r="GP8" s="449"/>
      <c r="GQ8" s="449"/>
      <c r="GR8" s="449"/>
      <c r="GS8" s="449"/>
      <c r="GT8" s="449"/>
      <c r="GU8" s="449"/>
      <c r="GV8" s="449"/>
      <c r="GW8" s="449"/>
      <c r="GX8" s="449"/>
      <c r="GY8" s="449"/>
      <c r="GZ8" s="449"/>
      <c r="HA8" s="449"/>
      <c r="HB8" s="449"/>
      <c r="HC8" s="449"/>
      <c r="HD8" s="449"/>
      <c r="HE8" s="449"/>
      <c r="HF8" s="449"/>
      <c r="HG8" s="449"/>
      <c r="HH8" s="449"/>
      <c r="HI8" s="449"/>
      <c r="HJ8" s="449"/>
      <c r="HK8" s="449"/>
      <c r="HL8" s="449"/>
      <c r="HM8" s="449"/>
      <c r="HN8" s="449"/>
      <c r="HO8" s="449"/>
      <c r="HP8" s="449"/>
      <c r="HQ8" s="449"/>
      <c r="HR8" s="449"/>
      <c r="HS8" s="449"/>
      <c r="HT8" s="449"/>
      <c r="HU8" s="449"/>
      <c r="HV8" s="449"/>
      <c r="HW8" s="449"/>
      <c r="HX8" s="449"/>
      <c r="HY8" s="449"/>
      <c r="HZ8" s="449"/>
      <c r="IA8" s="449"/>
      <c r="IB8" s="449"/>
      <c r="IC8" s="449"/>
      <c r="ID8" s="449"/>
      <c r="IE8" s="449"/>
      <c r="IF8" s="449"/>
      <c r="IG8" s="449"/>
      <c r="IH8" s="449"/>
      <c r="II8" s="449"/>
      <c r="IJ8" s="449"/>
      <c r="IK8" s="449"/>
      <c r="IL8" s="449"/>
      <c r="IM8" s="449"/>
      <c r="IN8" s="449"/>
      <c r="IO8" s="449"/>
      <c r="IP8" s="449"/>
      <c r="IQ8" s="449"/>
      <c r="IR8" s="449"/>
      <c r="IS8" s="449"/>
      <c r="IT8" s="449"/>
      <c r="IU8" s="449"/>
      <c r="IV8" s="449"/>
      <c r="IW8" s="449"/>
    </row>
    <row r="9" customFormat="false" ht="12.75" hidden="false" customHeight="false" outlineLevel="0" collapsed="false">
      <c r="A9" s="461" t="n">
        <f aca="false">A8+1</f>
        <v>6</v>
      </c>
      <c r="B9" s="466"/>
      <c r="C9" s="467" t="str">
        <f aca="false">'Plant Configuration'!C14</f>
        <v>Assistant Plant Manager</v>
      </c>
      <c r="D9" s="449"/>
      <c r="E9" s="468" t="n">
        <v>75000</v>
      </c>
      <c r="F9" s="468" t="n">
        <v>75000</v>
      </c>
      <c r="G9" s="468" t="n">
        <v>75000</v>
      </c>
      <c r="H9" s="468" t="n">
        <v>75000</v>
      </c>
      <c r="I9" s="468" t="n">
        <v>75000</v>
      </c>
      <c r="J9" s="468" t="n">
        <v>75000</v>
      </c>
      <c r="K9" s="468"/>
      <c r="L9" s="468"/>
      <c r="M9" s="468"/>
      <c r="N9" s="468"/>
      <c r="O9" s="468"/>
      <c r="P9" s="468"/>
      <c r="Q9" s="468"/>
      <c r="R9" s="468"/>
      <c r="S9" s="468"/>
      <c r="T9" s="449"/>
      <c r="U9" s="449"/>
      <c r="V9" s="449"/>
      <c r="W9" s="449"/>
      <c r="X9" s="449"/>
      <c r="Y9" s="449"/>
      <c r="Z9" s="449"/>
      <c r="AA9" s="449"/>
      <c r="AB9" s="449"/>
      <c r="AC9" s="449"/>
      <c r="AD9" s="449"/>
      <c r="AE9" s="449"/>
      <c r="AF9" s="449"/>
      <c r="AG9" s="449"/>
      <c r="AH9" s="449"/>
      <c r="AI9" s="449"/>
      <c r="AJ9" s="449"/>
      <c r="AK9" s="449"/>
      <c r="AL9" s="449"/>
      <c r="AM9" s="449"/>
      <c r="AN9" s="449"/>
      <c r="AO9" s="449"/>
      <c r="AP9" s="449"/>
      <c r="AQ9" s="449"/>
      <c r="AR9" s="449"/>
      <c r="AS9" s="449"/>
      <c r="AT9" s="449"/>
      <c r="AU9" s="449"/>
      <c r="AV9" s="449"/>
      <c r="AW9" s="449"/>
      <c r="AX9" s="449"/>
      <c r="AY9" s="449"/>
      <c r="AZ9" s="449"/>
      <c r="BA9" s="449"/>
      <c r="BB9" s="449"/>
      <c r="BC9" s="449"/>
      <c r="BD9" s="449"/>
      <c r="BE9" s="449"/>
      <c r="BF9" s="449"/>
      <c r="BG9" s="449"/>
      <c r="BH9" s="449"/>
      <c r="BI9" s="449"/>
      <c r="BJ9" s="449"/>
      <c r="BK9" s="449"/>
      <c r="BL9" s="449"/>
      <c r="BM9" s="449"/>
      <c r="BN9" s="449"/>
      <c r="BO9" s="449"/>
      <c r="BP9" s="449"/>
      <c r="BQ9" s="449"/>
      <c r="BR9" s="449"/>
      <c r="BS9" s="449"/>
      <c r="BT9" s="449"/>
      <c r="BU9" s="449"/>
      <c r="BV9" s="449"/>
      <c r="BW9" s="449"/>
      <c r="BX9" s="449"/>
      <c r="BY9" s="449"/>
      <c r="BZ9" s="449"/>
      <c r="CA9" s="449"/>
      <c r="CB9" s="449"/>
      <c r="CC9" s="449"/>
      <c r="CD9" s="449"/>
      <c r="CE9" s="449"/>
      <c r="CF9" s="449"/>
      <c r="CG9" s="449"/>
      <c r="CH9" s="449"/>
      <c r="CI9" s="449"/>
      <c r="CJ9" s="449"/>
      <c r="CK9" s="449"/>
      <c r="CL9" s="449"/>
      <c r="CM9" s="449"/>
      <c r="CN9" s="449"/>
      <c r="CO9" s="449"/>
      <c r="CP9" s="449"/>
      <c r="CQ9" s="449"/>
      <c r="CR9" s="449"/>
      <c r="CS9" s="449"/>
      <c r="CT9" s="449"/>
      <c r="CU9" s="449"/>
      <c r="CV9" s="449"/>
      <c r="CW9" s="449"/>
      <c r="CX9" s="449"/>
      <c r="CY9" s="449"/>
      <c r="CZ9" s="449"/>
      <c r="DA9" s="449"/>
      <c r="DB9" s="449"/>
      <c r="DC9" s="449"/>
      <c r="DD9" s="449"/>
      <c r="DE9" s="449"/>
      <c r="DF9" s="449"/>
      <c r="DG9" s="449"/>
      <c r="DH9" s="449"/>
      <c r="DI9" s="449"/>
      <c r="DJ9" s="449"/>
      <c r="DK9" s="449"/>
      <c r="DL9" s="449"/>
      <c r="DM9" s="449"/>
      <c r="DN9" s="449"/>
      <c r="DO9" s="449"/>
      <c r="DP9" s="449"/>
      <c r="DQ9" s="449"/>
      <c r="DR9" s="449"/>
      <c r="DS9" s="449"/>
      <c r="DT9" s="449"/>
      <c r="DU9" s="449"/>
      <c r="DV9" s="449"/>
      <c r="DW9" s="449"/>
      <c r="DX9" s="449"/>
      <c r="DY9" s="449"/>
      <c r="DZ9" s="449"/>
      <c r="EA9" s="449"/>
      <c r="EB9" s="449"/>
      <c r="EC9" s="449"/>
      <c r="ED9" s="449"/>
      <c r="EE9" s="449"/>
      <c r="EF9" s="449"/>
      <c r="EG9" s="449"/>
      <c r="EH9" s="449"/>
      <c r="EI9" s="449"/>
      <c r="EJ9" s="449"/>
      <c r="EK9" s="449"/>
      <c r="EL9" s="449"/>
      <c r="EM9" s="449"/>
      <c r="EN9" s="449"/>
      <c r="EO9" s="449"/>
      <c r="EP9" s="449"/>
      <c r="EQ9" s="449"/>
      <c r="ER9" s="449"/>
      <c r="ES9" s="449"/>
      <c r="ET9" s="449"/>
      <c r="EU9" s="449"/>
      <c r="EV9" s="449"/>
      <c r="EW9" s="449"/>
      <c r="EX9" s="449"/>
      <c r="EY9" s="449"/>
      <c r="EZ9" s="449"/>
      <c r="FA9" s="449"/>
      <c r="FB9" s="449"/>
      <c r="FC9" s="449"/>
      <c r="FD9" s="449"/>
      <c r="FE9" s="449"/>
      <c r="FF9" s="449"/>
      <c r="FG9" s="449"/>
      <c r="FH9" s="449"/>
      <c r="FI9" s="449"/>
      <c r="FJ9" s="449"/>
      <c r="FK9" s="449"/>
      <c r="FL9" s="449"/>
      <c r="FM9" s="449"/>
      <c r="FN9" s="449"/>
      <c r="FO9" s="449"/>
      <c r="FP9" s="449"/>
      <c r="FQ9" s="449"/>
      <c r="FR9" s="449"/>
      <c r="FS9" s="449"/>
      <c r="FT9" s="449"/>
      <c r="FU9" s="449"/>
      <c r="FV9" s="449"/>
      <c r="FW9" s="449"/>
      <c r="FX9" s="449"/>
      <c r="FY9" s="449"/>
      <c r="FZ9" s="449"/>
      <c r="GA9" s="449"/>
      <c r="GB9" s="449"/>
      <c r="GC9" s="449"/>
      <c r="GD9" s="449"/>
      <c r="GE9" s="449"/>
      <c r="GF9" s="449"/>
      <c r="GG9" s="449"/>
      <c r="GH9" s="449"/>
      <c r="GI9" s="449"/>
      <c r="GJ9" s="449"/>
      <c r="GK9" s="449"/>
      <c r="GL9" s="449"/>
      <c r="GM9" s="449"/>
      <c r="GN9" s="449"/>
      <c r="GO9" s="449"/>
      <c r="GP9" s="449"/>
      <c r="GQ9" s="449"/>
      <c r="GR9" s="449"/>
      <c r="GS9" s="449"/>
      <c r="GT9" s="449"/>
      <c r="GU9" s="449"/>
      <c r="GV9" s="449"/>
      <c r="GW9" s="449"/>
      <c r="GX9" s="449"/>
      <c r="GY9" s="449"/>
      <c r="GZ9" s="449"/>
      <c r="HA9" s="449"/>
      <c r="HB9" s="449"/>
      <c r="HC9" s="449"/>
      <c r="HD9" s="449"/>
      <c r="HE9" s="449"/>
      <c r="HF9" s="449"/>
      <c r="HG9" s="449"/>
      <c r="HH9" s="449"/>
      <c r="HI9" s="449"/>
      <c r="HJ9" s="449"/>
      <c r="HK9" s="449"/>
      <c r="HL9" s="449"/>
      <c r="HM9" s="449"/>
      <c r="HN9" s="449"/>
      <c r="HO9" s="449"/>
      <c r="HP9" s="449"/>
      <c r="HQ9" s="449"/>
      <c r="HR9" s="449"/>
      <c r="HS9" s="449"/>
      <c r="HT9" s="449"/>
      <c r="HU9" s="449"/>
      <c r="HV9" s="449"/>
      <c r="HW9" s="449"/>
      <c r="HX9" s="449"/>
      <c r="HY9" s="449"/>
      <c r="HZ9" s="449"/>
      <c r="IA9" s="449"/>
      <c r="IB9" s="449"/>
      <c r="IC9" s="449"/>
      <c r="ID9" s="449"/>
      <c r="IE9" s="449"/>
      <c r="IF9" s="449"/>
      <c r="IG9" s="449"/>
      <c r="IH9" s="449"/>
      <c r="II9" s="449"/>
      <c r="IJ9" s="449"/>
      <c r="IK9" s="449"/>
      <c r="IL9" s="449"/>
      <c r="IM9" s="449"/>
      <c r="IN9" s="449"/>
      <c r="IO9" s="449"/>
      <c r="IP9" s="449"/>
      <c r="IQ9" s="449"/>
      <c r="IR9" s="449"/>
      <c r="IS9" s="449"/>
      <c r="IT9" s="449"/>
      <c r="IU9" s="449"/>
      <c r="IV9" s="449"/>
      <c r="IW9" s="449"/>
    </row>
    <row r="10" customFormat="false" ht="12.75" hidden="false" customHeight="false" outlineLevel="0" collapsed="false">
      <c r="A10" s="461" t="n">
        <f aca="false">A9+1</f>
        <v>7</v>
      </c>
      <c r="B10" s="466"/>
      <c r="C10" s="467" t="str">
        <f aca="false">'Plant Configuration'!C15</f>
        <v>Plant Engineer</v>
      </c>
      <c r="D10" s="449"/>
      <c r="E10" s="468" t="n">
        <v>65000</v>
      </c>
      <c r="F10" s="468" t="n">
        <v>65000</v>
      </c>
      <c r="G10" s="468" t="n">
        <v>65000</v>
      </c>
      <c r="H10" s="468" t="n">
        <v>65000</v>
      </c>
      <c r="I10" s="468" t="n">
        <v>65000</v>
      </c>
      <c r="J10" s="468" t="n">
        <v>65000</v>
      </c>
      <c r="K10" s="468"/>
      <c r="L10" s="468"/>
      <c r="M10" s="468"/>
      <c r="N10" s="468"/>
      <c r="O10" s="468"/>
      <c r="P10" s="468"/>
      <c r="Q10" s="468"/>
      <c r="R10" s="468"/>
      <c r="S10" s="468"/>
      <c r="T10" s="449"/>
      <c r="U10" s="449"/>
      <c r="V10" s="449"/>
      <c r="W10" s="449"/>
      <c r="X10" s="449"/>
      <c r="Y10" s="449"/>
      <c r="Z10" s="449"/>
      <c r="AA10" s="449"/>
      <c r="AB10" s="449"/>
      <c r="AC10" s="449"/>
      <c r="AD10" s="449"/>
      <c r="AE10" s="449"/>
      <c r="AF10" s="449"/>
      <c r="AG10" s="449"/>
      <c r="AH10" s="449"/>
      <c r="AI10" s="449"/>
      <c r="AJ10" s="449"/>
      <c r="AK10" s="449"/>
      <c r="AL10" s="449"/>
      <c r="AM10" s="449"/>
      <c r="AN10" s="449"/>
      <c r="AO10" s="449"/>
      <c r="AP10" s="449"/>
      <c r="AQ10" s="449"/>
      <c r="AR10" s="449"/>
      <c r="AS10" s="449"/>
      <c r="AT10" s="449"/>
      <c r="AU10" s="449"/>
      <c r="AV10" s="449"/>
      <c r="AW10" s="449"/>
      <c r="AX10" s="449"/>
      <c r="AY10" s="449"/>
      <c r="AZ10" s="449"/>
      <c r="BA10" s="449"/>
      <c r="BB10" s="449"/>
      <c r="BC10" s="449"/>
      <c r="BD10" s="449"/>
      <c r="BE10" s="449"/>
      <c r="BF10" s="449"/>
      <c r="BG10" s="449"/>
      <c r="BH10" s="449"/>
      <c r="BI10" s="449"/>
      <c r="BJ10" s="449"/>
      <c r="BK10" s="449"/>
      <c r="BL10" s="449"/>
      <c r="BM10" s="449"/>
      <c r="BN10" s="449"/>
      <c r="BO10" s="449"/>
      <c r="BP10" s="449"/>
      <c r="BQ10" s="449"/>
      <c r="BR10" s="449"/>
      <c r="BS10" s="449"/>
      <c r="BT10" s="449"/>
      <c r="BU10" s="449"/>
      <c r="BV10" s="449"/>
      <c r="BW10" s="449"/>
      <c r="BX10" s="449"/>
      <c r="BY10" s="449"/>
      <c r="BZ10" s="449"/>
      <c r="CA10" s="449"/>
      <c r="CB10" s="449"/>
      <c r="CC10" s="449"/>
      <c r="CD10" s="449"/>
      <c r="CE10" s="449"/>
      <c r="CF10" s="449"/>
      <c r="CG10" s="449"/>
      <c r="CH10" s="449"/>
      <c r="CI10" s="449"/>
      <c r="CJ10" s="449"/>
      <c r="CK10" s="449"/>
      <c r="CL10" s="449"/>
      <c r="CM10" s="449"/>
      <c r="CN10" s="449"/>
      <c r="CO10" s="449"/>
      <c r="CP10" s="449"/>
      <c r="CQ10" s="449"/>
      <c r="CR10" s="449"/>
      <c r="CS10" s="449"/>
      <c r="CT10" s="449"/>
      <c r="CU10" s="449"/>
      <c r="CV10" s="449"/>
      <c r="CW10" s="449"/>
      <c r="CX10" s="449"/>
      <c r="CY10" s="449"/>
      <c r="CZ10" s="449"/>
      <c r="DA10" s="449"/>
      <c r="DB10" s="449"/>
      <c r="DC10" s="449"/>
      <c r="DD10" s="449"/>
      <c r="DE10" s="449"/>
      <c r="DF10" s="449"/>
      <c r="DG10" s="449"/>
      <c r="DH10" s="449"/>
      <c r="DI10" s="449"/>
      <c r="DJ10" s="449"/>
      <c r="DK10" s="449"/>
      <c r="DL10" s="449"/>
      <c r="DM10" s="449"/>
      <c r="DN10" s="449"/>
      <c r="DO10" s="449"/>
      <c r="DP10" s="449"/>
      <c r="DQ10" s="449"/>
      <c r="DR10" s="449"/>
      <c r="DS10" s="449"/>
      <c r="DT10" s="449"/>
      <c r="DU10" s="449"/>
      <c r="DV10" s="449"/>
      <c r="DW10" s="449"/>
      <c r="DX10" s="449"/>
      <c r="DY10" s="449"/>
      <c r="DZ10" s="449"/>
      <c r="EA10" s="449"/>
      <c r="EB10" s="449"/>
      <c r="EC10" s="449"/>
      <c r="ED10" s="449"/>
      <c r="EE10" s="449"/>
      <c r="EF10" s="449"/>
      <c r="EG10" s="449"/>
      <c r="EH10" s="449"/>
      <c r="EI10" s="449"/>
      <c r="EJ10" s="449"/>
      <c r="EK10" s="449"/>
      <c r="EL10" s="449"/>
      <c r="EM10" s="449"/>
      <c r="EN10" s="449"/>
      <c r="EO10" s="449"/>
      <c r="EP10" s="449"/>
      <c r="EQ10" s="449"/>
      <c r="ER10" s="449"/>
      <c r="ES10" s="449"/>
      <c r="ET10" s="449"/>
      <c r="EU10" s="449"/>
      <c r="EV10" s="449"/>
      <c r="EW10" s="449"/>
      <c r="EX10" s="449"/>
      <c r="EY10" s="449"/>
      <c r="EZ10" s="449"/>
      <c r="FA10" s="449"/>
      <c r="FB10" s="449"/>
      <c r="FC10" s="449"/>
      <c r="FD10" s="449"/>
      <c r="FE10" s="449"/>
      <c r="FF10" s="449"/>
      <c r="FG10" s="449"/>
      <c r="FH10" s="449"/>
      <c r="FI10" s="449"/>
      <c r="FJ10" s="449"/>
      <c r="FK10" s="449"/>
      <c r="FL10" s="449"/>
      <c r="FM10" s="449"/>
      <c r="FN10" s="449"/>
      <c r="FO10" s="449"/>
      <c r="FP10" s="449"/>
      <c r="FQ10" s="449"/>
      <c r="FR10" s="449"/>
      <c r="FS10" s="449"/>
      <c r="FT10" s="449"/>
      <c r="FU10" s="449"/>
      <c r="FV10" s="449"/>
      <c r="FW10" s="449"/>
      <c r="FX10" s="449"/>
      <c r="FY10" s="449"/>
      <c r="FZ10" s="449"/>
      <c r="GA10" s="449"/>
      <c r="GB10" s="449"/>
      <c r="GC10" s="449"/>
      <c r="GD10" s="449"/>
      <c r="GE10" s="449"/>
      <c r="GF10" s="449"/>
      <c r="GG10" s="449"/>
      <c r="GH10" s="449"/>
      <c r="GI10" s="449"/>
      <c r="GJ10" s="449"/>
      <c r="GK10" s="449"/>
      <c r="GL10" s="449"/>
      <c r="GM10" s="449"/>
      <c r="GN10" s="449"/>
      <c r="GO10" s="449"/>
      <c r="GP10" s="449"/>
      <c r="GQ10" s="449"/>
      <c r="GR10" s="449"/>
      <c r="GS10" s="449"/>
      <c r="GT10" s="449"/>
      <c r="GU10" s="449"/>
      <c r="GV10" s="449"/>
      <c r="GW10" s="449"/>
      <c r="GX10" s="449"/>
      <c r="GY10" s="449"/>
      <c r="GZ10" s="449"/>
      <c r="HA10" s="449"/>
      <c r="HB10" s="449"/>
      <c r="HC10" s="449"/>
      <c r="HD10" s="449"/>
      <c r="HE10" s="449"/>
      <c r="HF10" s="449"/>
      <c r="HG10" s="449"/>
      <c r="HH10" s="449"/>
      <c r="HI10" s="449"/>
      <c r="HJ10" s="449"/>
      <c r="HK10" s="449"/>
      <c r="HL10" s="449"/>
      <c r="HM10" s="449"/>
      <c r="HN10" s="449"/>
      <c r="HO10" s="449"/>
      <c r="HP10" s="449"/>
      <c r="HQ10" s="449"/>
      <c r="HR10" s="449"/>
      <c r="HS10" s="449"/>
      <c r="HT10" s="449"/>
      <c r="HU10" s="449"/>
      <c r="HV10" s="449"/>
      <c r="HW10" s="449"/>
      <c r="HX10" s="449"/>
      <c r="HY10" s="449"/>
      <c r="HZ10" s="449"/>
      <c r="IA10" s="449"/>
      <c r="IB10" s="449"/>
      <c r="IC10" s="449"/>
      <c r="ID10" s="449"/>
      <c r="IE10" s="449"/>
      <c r="IF10" s="449"/>
      <c r="IG10" s="449"/>
      <c r="IH10" s="449"/>
      <c r="II10" s="449"/>
      <c r="IJ10" s="449"/>
      <c r="IK10" s="449"/>
      <c r="IL10" s="449"/>
      <c r="IM10" s="449"/>
      <c r="IN10" s="449"/>
      <c r="IO10" s="449"/>
      <c r="IP10" s="449"/>
      <c r="IQ10" s="449"/>
      <c r="IR10" s="449"/>
      <c r="IS10" s="449"/>
      <c r="IT10" s="449"/>
      <c r="IU10" s="449"/>
      <c r="IV10" s="449"/>
      <c r="IW10" s="449"/>
    </row>
    <row r="11" customFormat="false" ht="12.75" hidden="false" customHeight="false" outlineLevel="0" collapsed="false">
      <c r="A11" s="461" t="n">
        <f aca="false">A10+1</f>
        <v>8</v>
      </c>
      <c r="B11" s="466"/>
      <c r="C11" s="467" t="str">
        <f aca="false">'Plant Configuration'!C16</f>
        <v>Administration Manager</v>
      </c>
      <c r="D11" s="449"/>
      <c r="E11" s="468" t="n">
        <v>60000</v>
      </c>
      <c r="F11" s="468" t="n">
        <v>60000</v>
      </c>
      <c r="G11" s="468" t="n">
        <v>60000</v>
      </c>
      <c r="H11" s="468" t="n">
        <v>60000</v>
      </c>
      <c r="I11" s="468" t="n">
        <v>60000</v>
      </c>
      <c r="J11" s="468" t="n">
        <v>60000</v>
      </c>
      <c r="K11" s="468"/>
      <c r="L11" s="468"/>
      <c r="M11" s="468"/>
      <c r="N11" s="468"/>
      <c r="O11" s="468"/>
      <c r="P11" s="468"/>
      <c r="Q11" s="468"/>
      <c r="R11" s="468"/>
      <c r="S11" s="468"/>
      <c r="T11" s="449"/>
      <c r="U11" s="449"/>
      <c r="V11" s="449"/>
      <c r="W11" s="449"/>
      <c r="X11" s="449"/>
      <c r="Y11" s="449"/>
      <c r="Z11" s="449"/>
      <c r="AA11" s="449"/>
      <c r="AB11" s="449"/>
      <c r="AC11" s="449"/>
      <c r="AD11" s="449"/>
      <c r="AE11" s="449"/>
      <c r="AF11" s="449"/>
      <c r="AG11" s="449"/>
      <c r="AH11" s="449"/>
      <c r="AI11" s="449"/>
      <c r="AJ11" s="449"/>
      <c r="AK11" s="449"/>
      <c r="AL11" s="449"/>
      <c r="AM11" s="449"/>
      <c r="AN11" s="449"/>
      <c r="AO11" s="449"/>
      <c r="AP11" s="449"/>
      <c r="AQ11" s="449"/>
      <c r="AR11" s="449"/>
      <c r="AS11" s="449"/>
      <c r="AT11" s="449"/>
      <c r="AU11" s="449"/>
      <c r="AV11" s="449"/>
      <c r="AW11" s="449"/>
      <c r="AX11" s="449"/>
      <c r="AY11" s="449"/>
      <c r="AZ11" s="449"/>
      <c r="BA11" s="449"/>
      <c r="BB11" s="449"/>
      <c r="BC11" s="449"/>
      <c r="BD11" s="449"/>
      <c r="BE11" s="449"/>
      <c r="BF11" s="449"/>
      <c r="BG11" s="449"/>
      <c r="BH11" s="449"/>
      <c r="BI11" s="449"/>
      <c r="BJ11" s="449"/>
      <c r="BK11" s="449"/>
      <c r="BL11" s="449"/>
      <c r="BM11" s="449"/>
      <c r="BN11" s="449"/>
      <c r="BO11" s="449"/>
      <c r="BP11" s="449"/>
      <c r="BQ11" s="449"/>
      <c r="BR11" s="449"/>
      <c r="BS11" s="449"/>
      <c r="BT11" s="449"/>
      <c r="BU11" s="449"/>
      <c r="BV11" s="449"/>
      <c r="BW11" s="449"/>
      <c r="BX11" s="449"/>
      <c r="BY11" s="449"/>
      <c r="BZ11" s="449"/>
      <c r="CA11" s="449"/>
      <c r="CB11" s="449"/>
      <c r="CC11" s="449"/>
      <c r="CD11" s="449"/>
      <c r="CE11" s="449"/>
      <c r="CF11" s="449"/>
      <c r="CG11" s="449"/>
      <c r="CH11" s="449"/>
      <c r="CI11" s="449"/>
      <c r="CJ11" s="449"/>
      <c r="CK11" s="449"/>
      <c r="CL11" s="449"/>
      <c r="CM11" s="449"/>
      <c r="CN11" s="449"/>
      <c r="CO11" s="449"/>
      <c r="CP11" s="449"/>
      <c r="CQ11" s="449"/>
      <c r="CR11" s="449"/>
      <c r="CS11" s="449"/>
      <c r="CT11" s="449"/>
      <c r="CU11" s="449"/>
      <c r="CV11" s="449"/>
      <c r="CW11" s="449"/>
      <c r="CX11" s="449"/>
      <c r="CY11" s="449"/>
      <c r="CZ11" s="449"/>
      <c r="DA11" s="449"/>
      <c r="DB11" s="449"/>
      <c r="DC11" s="449"/>
      <c r="DD11" s="449"/>
      <c r="DE11" s="449"/>
      <c r="DF11" s="44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449"/>
      <c r="EM11" s="449"/>
      <c r="EN11" s="449"/>
      <c r="EO11" s="449"/>
      <c r="EP11" s="449"/>
      <c r="EQ11" s="449"/>
      <c r="ER11" s="449"/>
      <c r="ES11" s="449"/>
      <c r="ET11" s="449"/>
      <c r="EU11" s="449"/>
      <c r="EV11" s="449"/>
      <c r="EW11" s="449"/>
      <c r="EX11" s="449"/>
      <c r="EY11" s="449"/>
      <c r="EZ11" s="449"/>
      <c r="FA11" s="449"/>
      <c r="FB11" s="449"/>
      <c r="FC11" s="449"/>
      <c r="FD11" s="449"/>
      <c r="FE11" s="449"/>
      <c r="FF11" s="449"/>
      <c r="FG11" s="449"/>
      <c r="FH11" s="449"/>
      <c r="FI11" s="449"/>
      <c r="FJ11" s="449"/>
      <c r="FK11" s="449"/>
      <c r="FL11" s="449"/>
      <c r="FM11" s="449"/>
      <c r="FN11" s="449"/>
      <c r="FO11" s="449"/>
      <c r="FP11" s="449"/>
      <c r="FQ11" s="449"/>
      <c r="FR11" s="449"/>
      <c r="FS11" s="449"/>
      <c r="FT11" s="449"/>
      <c r="FU11" s="449"/>
      <c r="FV11" s="449"/>
      <c r="FW11" s="449"/>
      <c r="FX11" s="449"/>
      <c r="FY11" s="449"/>
      <c r="FZ11" s="449"/>
      <c r="GA11" s="449"/>
      <c r="GB11" s="449"/>
      <c r="GC11" s="449"/>
      <c r="GD11" s="449"/>
      <c r="GE11" s="449"/>
      <c r="GF11" s="449"/>
      <c r="GG11" s="449"/>
      <c r="GH11" s="449"/>
      <c r="GI11" s="449"/>
      <c r="GJ11" s="449"/>
      <c r="GK11" s="449"/>
      <c r="GL11" s="449"/>
      <c r="GM11" s="449"/>
      <c r="GN11" s="449"/>
      <c r="GO11" s="449"/>
      <c r="GP11" s="449"/>
      <c r="GQ11" s="449"/>
      <c r="GR11" s="449"/>
      <c r="GS11" s="449"/>
      <c r="GT11" s="449"/>
      <c r="GU11" s="449"/>
      <c r="GV11" s="449"/>
      <c r="GW11" s="449"/>
      <c r="GX11" s="449"/>
      <c r="GY11" s="449"/>
      <c r="GZ11" s="449"/>
      <c r="HA11" s="449"/>
      <c r="HB11" s="449"/>
      <c r="HC11" s="449"/>
      <c r="HD11" s="449"/>
      <c r="HE11" s="449"/>
      <c r="HF11" s="449"/>
      <c r="HG11" s="449"/>
      <c r="HH11" s="449"/>
      <c r="HI11" s="449"/>
      <c r="HJ11" s="449"/>
      <c r="HK11" s="449"/>
      <c r="HL11" s="449"/>
      <c r="HM11" s="449"/>
      <c r="HN11" s="449"/>
      <c r="HO11" s="449"/>
      <c r="HP11" s="449"/>
      <c r="HQ11" s="449"/>
      <c r="HR11" s="449"/>
      <c r="HS11" s="449"/>
      <c r="HT11" s="449"/>
      <c r="HU11" s="449"/>
      <c r="HV11" s="449"/>
      <c r="HW11" s="449"/>
      <c r="HX11" s="449"/>
      <c r="HY11" s="449"/>
      <c r="HZ11" s="449"/>
      <c r="IA11" s="449"/>
      <c r="IB11" s="449"/>
      <c r="IC11" s="449"/>
      <c r="ID11" s="449"/>
      <c r="IE11" s="449"/>
      <c r="IF11" s="449"/>
      <c r="IG11" s="449"/>
      <c r="IH11" s="449"/>
      <c r="II11" s="449"/>
      <c r="IJ11" s="449"/>
      <c r="IK11" s="449"/>
      <c r="IL11" s="449"/>
      <c r="IM11" s="449"/>
      <c r="IN11" s="449"/>
      <c r="IO11" s="449"/>
      <c r="IP11" s="449"/>
      <c r="IQ11" s="449"/>
      <c r="IR11" s="449"/>
      <c r="IS11" s="449"/>
      <c r="IT11" s="449"/>
      <c r="IU11" s="449"/>
      <c r="IV11" s="449"/>
      <c r="IW11" s="449"/>
    </row>
    <row r="12" customFormat="false" ht="12.75" hidden="false" customHeight="false" outlineLevel="0" collapsed="false">
      <c r="A12" s="461" t="n">
        <f aca="false">A11+1</f>
        <v>9</v>
      </c>
      <c r="B12" s="466"/>
      <c r="C12" s="467" t="str">
        <f aca="false">'Plant Configuration'!C17</f>
        <v>Controller</v>
      </c>
      <c r="D12" s="449"/>
      <c r="E12" s="468" t="n">
        <v>45000</v>
      </c>
      <c r="F12" s="468" t="n">
        <v>45000</v>
      </c>
      <c r="G12" s="468" t="n">
        <v>45000</v>
      </c>
      <c r="H12" s="468" t="n">
        <v>45000</v>
      </c>
      <c r="I12" s="468" t="n">
        <v>45000</v>
      </c>
      <c r="J12" s="468" t="n">
        <v>45000</v>
      </c>
      <c r="K12" s="468"/>
      <c r="L12" s="468"/>
      <c r="M12" s="468"/>
      <c r="N12" s="468"/>
      <c r="O12" s="468"/>
      <c r="P12" s="468"/>
      <c r="Q12" s="468"/>
      <c r="R12" s="468"/>
      <c r="S12" s="468"/>
      <c r="T12" s="449"/>
      <c r="U12" s="449"/>
      <c r="V12" s="449"/>
      <c r="W12" s="449"/>
      <c r="X12" s="449"/>
      <c r="Y12" s="449"/>
      <c r="Z12" s="449"/>
      <c r="AA12" s="449"/>
      <c r="AB12" s="449"/>
      <c r="AC12" s="449"/>
      <c r="AD12" s="449"/>
      <c r="AE12" s="449"/>
      <c r="AF12" s="449"/>
      <c r="AG12" s="449"/>
      <c r="AH12" s="449"/>
      <c r="AI12" s="449"/>
      <c r="AJ12" s="449"/>
      <c r="AK12" s="449"/>
      <c r="AL12" s="449"/>
      <c r="AM12" s="449"/>
      <c r="AN12" s="449"/>
      <c r="AO12" s="449"/>
      <c r="AP12" s="449"/>
      <c r="AQ12" s="449"/>
      <c r="AR12" s="449"/>
      <c r="AS12" s="449"/>
      <c r="AT12" s="449"/>
      <c r="AU12" s="449"/>
      <c r="AV12" s="449"/>
      <c r="AW12" s="449"/>
      <c r="AX12" s="449"/>
      <c r="AY12" s="449"/>
      <c r="AZ12" s="449"/>
      <c r="BA12" s="449"/>
      <c r="BB12" s="449"/>
      <c r="BC12" s="449"/>
      <c r="BD12" s="449"/>
      <c r="BE12" s="449"/>
      <c r="BF12" s="449"/>
      <c r="BG12" s="449"/>
      <c r="BH12" s="449"/>
      <c r="BI12" s="449"/>
      <c r="BJ12" s="449"/>
      <c r="BK12" s="449"/>
      <c r="BL12" s="449"/>
      <c r="BM12" s="449"/>
      <c r="BN12" s="449"/>
      <c r="BO12" s="449"/>
      <c r="BP12" s="449"/>
      <c r="BQ12" s="449"/>
      <c r="BR12" s="449"/>
      <c r="BS12" s="449"/>
      <c r="BT12" s="449"/>
      <c r="BU12" s="449"/>
      <c r="BV12" s="449"/>
      <c r="BW12" s="449"/>
      <c r="BX12" s="449"/>
      <c r="BY12" s="449"/>
      <c r="BZ12" s="449"/>
      <c r="CA12" s="449"/>
      <c r="CB12" s="449"/>
      <c r="CC12" s="449"/>
      <c r="CD12" s="449"/>
      <c r="CE12" s="449"/>
      <c r="CF12" s="449"/>
      <c r="CG12" s="449"/>
      <c r="CH12" s="449"/>
      <c r="CI12" s="449"/>
      <c r="CJ12" s="449"/>
      <c r="CK12" s="449"/>
      <c r="CL12" s="449"/>
      <c r="CM12" s="449"/>
      <c r="CN12" s="449"/>
      <c r="CO12" s="449"/>
      <c r="CP12" s="449"/>
      <c r="CQ12" s="449"/>
      <c r="CR12" s="449"/>
      <c r="CS12" s="449"/>
      <c r="CT12" s="449"/>
      <c r="CU12" s="449"/>
      <c r="CV12" s="449"/>
      <c r="CW12" s="449"/>
      <c r="CX12" s="449"/>
      <c r="CY12" s="449"/>
      <c r="CZ12" s="449"/>
      <c r="DA12" s="449"/>
      <c r="DB12" s="449"/>
      <c r="DC12" s="449"/>
      <c r="DD12" s="449"/>
      <c r="DE12" s="449"/>
      <c r="DF12" s="449"/>
      <c r="DG12" s="449"/>
      <c r="DH12" s="449"/>
      <c r="DI12" s="449"/>
      <c r="DJ12" s="449"/>
      <c r="DK12" s="449"/>
      <c r="DL12" s="449"/>
      <c r="DM12" s="449"/>
      <c r="DN12" s="449"/>
      <c r="DO12" s="449"/>
      <c r="DP12" s="449"/>
      <c r="DQ12" s="449"/>
      <c r="DR12" s="449"/>
      <c r="DS12" s="449"/>
      <c r="DT12" s="449"/>
      <c r="DU12" s="449"/>
      <c r="DV12" s="449"/>
      <c r="DW12" s="449"/>
      <c r="DX12" s="449"/>
      <c r="DY12" s="449"/>
      <c r="DZ12" s="449"/>
      <c r="EA12" s="449"/>
      <c r="EB12" s="449"/>
      <c r="EC12" s="449"/>
      <c r="ED12" s="449"/>
      <c r="EE12" s="449"/>
      <c r="EF12" s="449"/>
      <c r="EG12" s="449"/>
      <c r="EH12" s="449"/>
      <c r="EI12" s="449"/>
      <c r="EJ12" s="449"/>
      <c r="EK12" s="449"/>
      <c r="EL12" s="449"/>
      <c r="EM12" s="449"/>
      <c r="EN12" s="449"/>
      <c r="EO12" s="449"/>
      <c r="EP12" s="449"/>
      <c r="EQ12" s="449"/>
      <c r="ER12" s="449"/>
      <c r="ES12" s="449"/>
      <c r="ET12" s="449"/>
      <c r="EU12" s="449"/>
      <c r="EV12" s="449"/>
      <c r="EW12" s="449"/>
      <c r="EX12" s="449"/>
      <c r="EY12" s="449"/>
      <c r="EZ12" s="449"/>
      <c r="FA12" s="449"/>
      <c r="FB12" s="449"/>
      <c r="FC12" s="449"/>
      <c r="FD12" s="449"/>
      <c r="FE12" s="449"/>
      <c r="FF12" s="449"/>
      <c r="FG12" s="449"/>
      <c r="FH12" s="449"/>
      <c r="FI12" s="449"/>
      <c r="FJ12" s="449"/>
      <c r="FK12" s="449"/>
      <c r="FL12" s="449"/>
      <c r="FM12" s="449"/>
      <c r="FN12" s="449"/>
      <c r="FO12" s="449"/>
      <c r="FP12" s="449"/>
      <c r="FQ12" s="449"/>
      <c r="FR12" s="449"/>
      <c r="FS12" s="449"/>
      <c r="FT12" s="449"/>
      <c r="FU12" s="449"/>
      <c r="FV12" s="449"/>
      <c r="FW12" s="449"/>
      <c r="FX12" s="449"/>
      <c r="FY12" s="449"/>
      <c r="FZ12" s="449"/>
      <c r="GA12" s="449"/>
      <c r="GB12" s="449"/>
      <c r="GC12" s="449"/>
      <c r="GD12" s="449"/>
      <c r="GE12" s="449"/>
      <c r="GF12" s="449"/>
      <c r="GG12" s="449"/>
      <c r="GH12" s="449"/>
      <c r="GI12" s="449"/>
      <c r="GJ12" s="449"/>
      <c r="GK12" s="449"/>
      <c r="GL12" s="449"/>
      <c r="GM12" s="449"/>
      <c r="GN12" s="449"/>
      <c r="GO12" s="449"/>
      <c r="GP12" s="449"/>
      <c r="GQ12" s="449"/>
      <c r="GR12" s="449"/>
      <c r="GS12" s="449"/>
      <c r="GT12" s="449"/>
      <c r="GU12" s="449"/>
      <c r="GV12" s="449"/>
      <c r="GW12" s="449"/>
      <c r="GX12" s="449"/>
      <c r="GY12" s="449"/>
      <c r="GZ12" s="449"/>
      <c r="HA12" s="449"/>
      <c r="HB12" s="449"/>
      <c r="HC12" s="449"/>
      <c r="HD12" s="449"/>
      <c r="HE12" s="449"/>
      <c r="HF12" s="449"/>
      <c r="HG12" s="449"/>
      <c r="HH12" s="449"/>
      <c r="HI12" s="449"/>
      <c r="HJ12" s="449"/>
      <c r="HK12" s="449"/>
      <c r="HL12" s="449"/>
      <c r="HM12" s="449"/>
      <c r="HN12" s="449"/>
      <c r="HO12" s="449"/>
      <c r="HP12" s="449"/>
      <c r="HQ12" s="449"/>
      <c r="HR12" s="449"/>
      <c r="HS12" s="449"/>
      <c r="HT12" s="449"/>
      <c r="HU12" s="449"/>
      <c r="HV12" s="449"/>
      <c r="HW12" s="449"/>
      <c r="HX12" s="449"/>
      <c r="HY12" s="449"/>
      <c r="HZ12" s="449"/>
      <c r="IA12" s="449"/>
      <c r="IB12" s="449"/>
      <c r="IC12" s="449"/>
      <c r="ID12" s="449"/>
      <c r="IE12" s="449"/>
      <c r="IF12" s="449"/>
      <c r="IG12" s="449"/>
      <c r="IH12" s="449"/>
      <c r="II12" s="449"/>
      <c r="IJ12" s="449"/>
      <c r="IK12" s="449"/>
      <c r="IL12" s="449"/>
      <c r="IM12" s="449"/>
      <c r="IN12" s="449"/>
      <c r="IO12" s="449"/>
      <c r="IP12" s="449"/>
      <c r="IQ12" s="449"/>
      <c r="IR12" s="449"/>
      <c r="IS12" s="449"/>
      <c r="IT12" s="449"/>
      <c r="IU12" s="449"/>
      <c r="IV12" s="449"/>
      <c r="IW12" s="449"/>
    </row>
    <row r="13" customFormat="false" ht="12.75" hidden="false" customHeight="false" outlineLevel="0" collapsed="false">
      <c r="A13" s="461" t="n">
        <f aca="false">A12+1</f>
        <v>10</v>
      </c>
      <c r="B13" s="466"/>
      <c r="C13" s="467" t="str">
        <f aca="false">'Plant Configuration'!C18</f>
        <v>Accountant</v>
      </c>
      <c r="D13" s="449"/>
      <c r="E13" s="468" t="n">
        <v>40000</v>
      </c>
      <c r="F13" s="468" t="n">
        <v>40000</v>
      </c>
      <c r="G13" s="468" t="n">
        <v>40000</v>
      </c>
      <c r="H13" s="468" t="n">
        <v>40000</v>
      </c>
      <c r="I13" s="468" t="n">
        <v>40000</v>
      </c>
      <c r="J13" s="468" t="n">
        <v>40000</v>
      </c>
      <c r="K13" s="468"/>
      <c r="L13" s="468"/>
      <c r="M13" s="468"/>
      <c r="N13" s="468"/>
      <c r="O13" s="468"/>
      <c r="P13" s="468"/>
      <c r="Q13" s="468"/>
      <c r="R13" s="468"/>
      <c r="S13" s="468"/>
      <c r="T13" s="449"/>
      <c r="U13" s="449"/>
      <c r="V13" s="449"/>
      <c r="W13" s="449"/>
      <c r="X13" s="449"/>
      <c r="Y13" s="449"/>
      <c r="Z13" s="449"/>
      <c r="AA13" s="449"/>
      <c r="AB13" s="449"/>
      <c r="AC13" s="449"/>
      <c r="AD13" s="449"/>
      <c r="AE13" s="449"/>
      <c r="AF13" s="449"/>
      <c r="AG13" s="449"/>
      <c r="AH13" s="449"/>
      <c r="AI13" s="449"/>
      <c r="AJ13" s="449"/>
      <c r="AK13" s="449"/>
      <c r="AL13" s="449"/>
      <c r="AM13" s="449"/>
      <c r="AN13" s="449"/>
      <c r="AO13" s="449"/>
      <c r="AP13" s="449"/>
      <c r="AQ13" s="449"/>
      <c r="AR13" s="449"/>
      <c r="AS13" s="449"/>
      <c r="AT13" s="449"/>
      <c r="AU13" s="449"/>
      <c r="AV13" s="449"/>
      <c r="AW13" s="449"/>
      <c r="AX13" s="449"/>
      <c r="AY13" s="449"/>
      <c r="AZ13" s="449"/>
      <c r="BA13" s="449"/>
      <c r="BB13" s="449"/>
      <c r="BC13" s="449"/>
      <c r="BD13" s="449"/>
      <c r="BE13" s="449"/>
      <c r="BF13" s="449"/>
      <c r="BG13" s="449"/>
      <c r="BH13" s="449"/>
      <c r="BI13" s="449"/>
      <c r="BJ13" s="449"/>
      <c r="BK13" s="449"/>
      <c r="BL13" s="449"/>
      <c r="BM13" s="449"/>
      <c r="BN13" s="449"/>
      <c r="BO13" s="449"/>
      <c r="BP13" s="449"/>
      <c r="BQ13" s="449"/>
      <c r="BR13" s="449"/>
      <c r="BS13" s="449"/>
      <c r="BT13" s="449"/>
      <c r="BU13" s="449"/>
      <c r="BV13" s="449"/>
      <c r="BW13" s="449"/>
      <c r="BX13" s="449"/>
      <c r="BY13" s="449"/>
      <c r="BZ13" s="449"/>
      <c r="CA13" s="449"/>
      <c r="CB13" s="449"/>
      <c r="CC13" s="449"/>
      <c r="CD13" s="449"/>
      <c r="CE13" s="449"/>
      <c r="CF13" s="449"/>
      <c r="CG13" s="449"/>
      <c r="CH13" s="449"/>
      <c r="CI13" s="449"/>
      <c r="CJ13" s="449"/>
      <c r="CK13" s="449"/>
      <c r="CL13" s="449"/>
      <c r="CM13" s="449"/>
      <c r="CN13" s="449"/>
      <c r="CO13" s="449"/>
      <c r="CP13" s="449"/>
      <c r="CQ13" s="449"/>
      <c r="CR13" s="449"/>
      <c r="CS13" s="449"/>
      <c r="CT13" s="449"/>
      <c r="CU13" s="449"/>
      <c r="CV13" s="449"/>
      <c r="CW13" s="449"/>
      <c r="CX13" s="449"/>
      <c r="CY13" s="449"/>
      <c r="CZ13" s="449"/>
      <c r="DA13" s="449"/>
      <c r="DB13" s="449"/>
      <c r="DC13" s="449"/>
      <c r="DD13" s="449"/>
      <c r="DE13" s="449"/>
      <c r="DF13" s="449"/>
      <c r="DG13" s="449"/>
      <c r="DH13" s="449"/>
      <c r="DI13" s="449"/>
      <c r="DJ13" s="449"/>
      <c r="DK13" s="449"/>
      <c r="DL13" s="449"/>
      <c r="DM13" s="449"/>
      <c r="DN13" s="449"/>
      <c r="DO13" s="449"/>
      <c r="DP13" s="449"/>
      <c r="DQ13" s="449"/>
      <c r="DR13" s="449"/>
      <c r="DS13" s="449"/>
      <c r="DT13" s="449"/>
      <c r="DU13" s="449"/>
      <c r="DV13" s="449"/>
      <c r="DW13" s="449"/>
      <c r="DX13" s="449"/>
      <c r="DY13" s="449"/>
      <c r="DZ13" s="449"/>
      <c r="EA13" s="449"/>
      <c r="EB13" s="449"/>
      <c r="EC13" s="449"/>
      <c r="ED13" s="449"/>
      <c r="EE13" s="449"/>
      <c r="EF13" s="449"/>
      <c r="EG13" s="449"/>
      <c r="EH13" s="449"/>
      <c r="EI13" s="449"/>
      <c r="EJ13" s="449"/>
      <c r="EK13" s="449"/>
      <c r="EL13" s="449"/>
      <c r="EM13" s="449"/>
      <c r="EN13" s="449"/>
      <c r="EO13" s="449"/>
      <c r="EP13" s="449"/>
      <c r="EQ13" s="449"/>
      <c r="ER13" s="449"/>
      <c r="ES13" s="449"/>
      <c r="ET13" s="449"/>
      <c r="EU13" s="449"/>
      <c r="EV13" s="449"/>
      <c r="EW13" s="449"/>
      <c r="EX13" s="449"/>
      <c r="EY13" s="449"/>
      <c r="EZ13" s="449"/>
      <c r="FA13" s="449"/>
      <c r="FB13" s="449"/>
      <c r="FC13" s="449"/>
      <c r="FD13" s="449"/>
      <c r="FE13" s="449"/>
      <c r="FF13" s="449"/>
      <c r="FG13" s="449"/>
      <c r="FH13" s="449"/>
      <c r="FI13" s="449"/>
      <c r="FJ13" s="449"/>
      <c r="FK13" s="449"/>
      <c r="FL13" s="449"/>
      <c r="FM13" s="449"/>
      <c r="FN13" s="449"/>
      <c r="FO13" s="449"/>
      <c r="FP13" s="449"/>
      <c r="FQ13" s="449"/>
      <c r="FR13" s="449"/>
      <c r="FS13" s="449"/>
      <c r="FT13" s="449"/>
      <c r="FU13" s="449"/>
      <c r="FV13" s="449"/>
      <c r="FW13" s="449"/>
      <c r="FX13" s="449"/>
      <c r="FY13" s="449"/>
      <c r="FZ13" s="449"/>
      <c r="GA13" s="449"/>
      <c r="GB13" s="449"/>
      <c r="GC13" s="449"/>
      <c r="GD13" s="449"/>
      <c r="GE13" s="449"/>
      <c r="GF13" s="449"/>
      <c r="GG13" s="449"/>
      <c r="GH13" s="449"/>
      <c r="GI13" s="449"/>
      <c r="GJ13" s="449"/>
      <c r="GK13" s="449"/>
      <c r="GL13" s="449"/>
      <c r="GM13" s="449"/>
      <c r="GN13" s="449"/>
      <c r="GO13" s="449"/>
      <c r="GP13" s="449"/>
      <c r="GQ13" s="449"/>
      <c r="GR13" s="449"/>
      <c r="GS13" s="449"/>
      <c r="GT13" s="449"/>
      <c r="GU13" s="449"/>
      <c r="GV13" s="449"/>
      <c r="GW13" s="449"/>
      <c r="GX13" s="449"/>
      <c r="GY13" s="449"/>
      <c r="GZ13" s="449"/>
      <c r="HA13" s="449"/>
      <c r="HB13" s="449"/>
      <c r="HC13" s="449"/>
      <c r="HD13" s="449"/>
      <c r="HE13" s="449"/>
      <c r="HF13" s="449"/>
      <c r="HG13" s="449"/>
      <c r="HH13" s="449"/>
      <c r="HI13" s="449"/>
      <c r="HJ13" s="449"/>
      <c r="HK13" s="449"/>
      <c r="HL13" s="449"/>
      <c r="HM13" s="449"/>
      <c r="HN13" s="449"/>
      <c r="HO13" s="449"/>
      <c r="HP13" s="449"/>
      <c r="HQ13" s="449"/>
      <c r="HR13" s="449"/>
      <c r="HS13" s="449"/>
      <c r="HT13" s="449"/>
      <c r="HU13" s="449"/>
      <c r="HV13" s="449"/>
      <c r="HW13" s="449"/>
      <c r="HX13" s="449"/>
      <c r="HY13" s="449"/>
      <c r="HZ13" s="449"/>
      <c r="IA13" s="449"/>
      <c r="IB13" s="449"/>
      <c r="IC13" s="449"/>
      <c r="ID13" s="449"/>
      <c r="IE13" s="449"/>
      <c r="IF13" s="449"/>
      <c r="IG13" s="449"/>
      <c r="IH13" s="449"/>
      <c r="II13" s="449"/>
      <c r="IJ13" s="449"/>
      <c r="IK13" s="449"/>
      <c r="IL13" s="449"/>
      <c r="IM13" s="449"/>
      <c r="IN13" s="449"/>
      <c r="IO13" s="449"/>
      <c r="IP13" s="449"/>
      <c r="IQ13" s="449"/>
      <c r="IR13" s="449"/>
      <c r="IS13" s="449"/>
      <c r="IT13" s="449"/>
      <c r="IU13" s="449"/>
      <c r="IV13" s="449"/>
      <c r="IW13" s="449"/>
    </row>
    <row r="14" customFormat="false" ht="12.75" hidden="false" customHeight="false" outlineLevel="0" collapsed="false">
      <c r="A14" s="461" t="n">
        <f aca="false">A13+1</f>
        <v>11</v>
      </c>
      <c r="B14" s="466"/>
      <c r="C14" s="467" t="str">
        <f aca="false">'Plant Configuration'!C19</f>
        <v>Administrative Assistant</v>
      </c>
      <c r="D14" s="449"/>
      <c r="E14" s="468" t="n">
        <v>27000</v>
      </c>
      <c r="F14" s="468" t="n">
        <v>27000</v>
      </c>
      <c r="G14" s="468" t="n">
        <v>27000</v>
      </c>
      <c r="H14" s="468" t="n">
        <v>27000</v>
      </c>
      <c r="I14" s="468" t="n">
        <v>27000</v>
      </c>
      <c r="J14" s="468" t="n">
        <v>27000</v>
      </c>
      <c r="K14" s="468"/>
      <c r="L14" s="468"/>
      <c r="M14" s="468"/>
      <c r="N14" s="468"/>
      <c r="O14" s="468"/>
      <c r="P14" s="468"/>
      <c r="Q14" s="468"/>
      <c r="R14" s="468"/>
      <c r="S14" s="468"/>
      <c r="T14" s="449"/>
      <c r="U14" s="449"/>
      <c r="V14" s="449"/>
      <c r="W14" s="449"/>
      <c r="X14" s="449"/>
      <c r="Y14" s="449"/>
      <c r="Z14" s="449"/>
      <c r="AA14" s="449"/>
      <c r="AB14" s="449"/>
      <c r="AC14" s="449"/>
      <c r="AD14" s="449"/>
      <c r="AE14" s="449"/>
      <c r="AF14" s="449"/>
      <c r="AG14" s="449"/>
      <c r="AH14" s="449"/>
      <c r="AI14" s="449"/>
      <c r="AJ14" s="449"/>
      <c r="AK14" s="449"/>
      <c r="AL14" s="449"/>
      <c r="AM14" s="449"/>
      <c r="AN14" s="449"/>
      <c r="AO14" s="449"/>
      <c r="AP14" s="449"/>
      <c r="AQ14" s="449"/>
      <c r="AR14" s="449"/>
      <c r="AS14" s="449"/>
      <c r="AT14" s="449"/>
      <c r="AU14" s="449"/>
      <c r="AV14" s="449"/>
      <c r="AW14" s="449"/>
      <c r="AX14" s="449"/>
      <c r="AY14" s="449"/>
      <c r="AZ14" s="449"/>
      <c r="BA14" s="449"/>
      <c r="BB14" s="449"/>
      <c r="BC14" s="449"/>
      <c r="BD14" s="449"/>
      <c r="BE14" s="449"/>
      <c r="BF14" s="449"/>
      <c r="BG14" s="449"/>
      <c r="BH14" s="449"/>
      <c r="BI14" s="449"/>
      <c r="BJ14" s="449"/>
      <c r="BK14" s="449"/>
      <c r="BL14" s="449"/>
      <c r="BM14" s="449"/>
      <c r="BN14" s="449"/>
      <c r="BO14" s="449"/>
      <c r="BP14" s="449"/>
      <c r="BQ14" s="449"/>
      <c r="BR14" s="449"/>
      <c r="BS14" s="449"/>
      <c r="BT14" s="449"/>
      <c r="BU14" s="449"/>
      <c r="BV14" s="449"/>
      <c r="BW14" s="449"/>
      <c r="BX14" s="449"/>
      <c r="BY14" s="449"/>
      <c r="BZ14" s="449"/>
      <c r="CA14" s="449"/>
      <c r="CB14" s="449"/>
      <c r="CC14" s="449"/>
      <c r="CD14" s="449"/>
      <c r="CE14" s="449"/>
      <c r="CF14" s="449"/>
      <c r="CG14" s="449"/>
      <c r="CH14" s="449"/>
      <c r="CI14" s="449"/>
      <c r="CJ14" s="449"/>
      <c r="CK14" s="449"/>
      <c r="CL14" s="449"/>
      <c r="CM14" s="449"/>
      <c r="CN14" s="449"/>
      <c r="CO14" s="449"/>
      <c r="CP14" s="449"/>
      <c r="CQ14" s="449"/>
      <c r="CR14" s="449"/>
      <c r="CS14" s="449"/>
      <c r="CT14" s="449"/>
      <c r="CU14" s="449"/>
      <c r="CV14" s="449"/>
      <c r="CW14" s="449"/>
      <c r="CX14" s="449"/>
      <c r="CY14" s="449"/>
      <c r="CZ14" s="449"/>
      <c r="DA14" s="449"/>
      <c r="DB14" s="449"/>
      <c r="DC14" s="449"/>
      <c r="DD14" s="449"/>
      <c r="DE14" s="449"/>
      <c r="DF14" s="449"/>
      <c r="DG14" s="449"/>
      <c r="DH14" s="449"/>
      <c r="DI14" s="449"/>
      <c r="DJ14" s="449"/>
      <c r="DK14" s="449"/>
      <c r="DL14" s="449"/>
      <c r="DM14" s="449"/>
      <c r="DN14" s="449"/>
      <c r="DO14" s="449"/>
      <c r="DP14" s="449"/>
      <c r="DQ14" s="449"/>
      <c r="DR14" s="449"/>
      <c r="DS14" s="449"/>
      <c r="DT14" s="449"/>
      <c r="DU14" s="449"/>
      <c r="DV14" s="449"/>
      <c r="DW14" s="449"/>
      <c r="DX14" s="449"/>
      <c r="DY14" s="449"/>
      <c r="DZ14" s="449"/>
      <c r="EA14" s="449"/>
      <c r="EB14" s="449"/>
      <c r="EC14" s="449"/>
      <c r="ED14" s="449"/>
      <c r="EE14" s="449"/>
      <c r="EF14" s="449"/>
      <c r="EG14" s="449"/>
      <c r="EH14" s="449"/>
      <c r="EI14" s="449"/>
      <c r="EJ14" s="449"/>
      <c r="EK14" s="449"/>
      <c r="EL14" s="449"/>
      <c r="EM14" s="449"/>
      <c r="EN14" s="449"/>
      <c r="EO14" s="449"/>
      <c r="EP14" s="449"/>
      <c r="EQ14" s="449"/>
      <c r="ER14" s="449"/>
      <c r="ES14" s="449"/>
      <c r="ET14" s="449"/>
      <c r="EU14" s="449"/>
      <c r="EV14" s="449"/>
      <c r="EW14" s="449"/>
      <c r="EX14" s="449"/>
      <c r="EY14" s="449"/>
      <c r="EZ14" s="449"/>
      <c r="FA14" s="449"/>
      <c r="FB14" s="449"/>
      <c r="FC14" s="449"/>
      <c r="FD14" s="449"/>
      <c r="FE14" s="449"/>
      <c r="FF14" s="449"/>
      <c r="FG14" s="449"/>
      <c r="FH14" s="449"/>
      <c r="FI14" s="449"/>
      <c r="FJ14" s="449"/>
      <c r="FK14" s="449"/>
      <c r="FL14" s="449"/>
      <c r="FM14" s="449"/>
      <c r="FN14" s="449"/>
      <c r="FO14" s="449"/>
      <c r="FP14" s="449"/>
      <c r="FQ14" s="449"/>
      <c r="FR14" s="449"/>
      <c r="FS14" s="449"/>
      <c r="FT14" s="449"/>
      <c r="FU14" s="449"/>
      <c r="FV14" s="449"/>
      <c r="FW14" s="449"/>
      <c r="FX14" s="449"/>
      <c r="FY14" s="449"/>
      <c r="FZ14" s="449"/>
      <c r="GA14" s="449"/>
      <c r="GB14" s="449"/>
      <c r="GC14" s="449"/>
      <c r="GD14" s="449"/>
      <c r="GE14" s="449"/>
      <c r="GF14" s="449"/>
      <c r="GG14" s="449"/>
      <c r="GH14" s="449"/>
      <c r="GI14" s="449"/>
      <c r="GJ14" s="449"/>
      <c r="GK14" s="449"/>
      <c r="GL14" s="449"/>
      <c r="GM14" s="449"/>
      <c r="GN14" s="449"/>
      <c r="GO14" s="449"/>
      <c r="GP14" s="449"/>
      <c r="GQ14" s="449"/>
      <c r="GR14" s="449"/>
      <c r="GS14" s="449"/>
      <c r="GT14" s="449"/>
      <c r="GU14" s="449"/>
      <c r="GV14" s="449"/>
      <c r="GW14" s="449"/>
      <c r="GX14" s="449"/>
      <c r="GY14" s="449"/>
      <c r="GZ14" s="449"/>
      <c r="HA14" s="449"/>
      <c r="HB14" s="449"/>
      <c r="HC14" s="449"/>
      <c r="HD14" s="449"/>
      <c r="HE14" s="449"/>
      <c r="HF14" s="449"/>
      <c r="HG14" s="449"/>
      <c r="HH14" s="449"/>
      <c r="HI14" s="449"/>
      <c r="HJ14" s="449"/>
      <c r="HK14" s="449"/>
      <c r="HL14" s="449"/>
      <c r="HM14" s="449"/>
      <c r="HN14" s="449"/>
      <c r="HO14" s="449"/>
      <c r="HP14" s="449"/>
      <c r="HQ14" s="449"/>
      <c r="HR14" s="449"/>
      <c r="HS14" s="449"/>
      <c r="HT14" s="449"/>
      <c r="HU14" s="449"/>
      <c r="HV14" s="449"/>
      <c r="HW14" s="449"/>
      <c r="HX14" s="449"/>
      <c r="HY14" s="449"/>
      <c r="HZ14" s="449"/>
      <c r="IA14" s="449"/>
      <c r="IB14" s="449"/>
      <c r="IC14" s="449"/>
      <c r="ID14" s="449"/>
      <c r="IE14" s="449"/>
      <c r="IF14" s="449"/>
      <c r="IG14" s="449"/>
      <c r="IH14" s="449"/>
      <c r="II14" s="449"/>
      <c r="IJ14" s="449"/>
      <c r="IK14" s="449"/>
      <c r="IL14" s="449"/>
      <c r="IM14" s="449"/>
      <c r="IN14" s="449"/>
      <c r="IO14" s="449"/>
      <c r="IP14" s="449"/>
      <c r="IQ14" s="449"/>
      <c r="IR14" s="449"/>
      <c r="IS14" s="449"/>
      <c r="IT14" s="449"/>
      <c r="IU14" s="449"/>
      <c r="IV14" s="449"/>
      <c r="IW14" s="449"/>
    </row>
    <row r="15" customFormat="false" ht="12.75" hidden="false" customHeight="false" outlineLevel="0" collapsed="false">
      <c r="A15" s="461" t="n">
        <f aca="false">A14+1</f>
        <v>12</v>
      </c>
      <c r="B15" s="466"/>
      <c r="C15" s="467" t="str">
        <f aca="false">'Plant Configuration'!C20</f>
        <v>Warehouse Supervisor</v>
      </c>
      <c r="D15" s="449"/>
      <c r="E15" s="468" t="n">
        <v>30000</v>
      </c>
      <c r="F15" s="468" t="n">
        <v>30000</v>
      </c>
      <c r="G15" s="468" t="n">
        <v>30000</v>
      </c>
      <c r="H15" s="468" t="n">
        <v>30000</v>
      </c>
      <c r="I15" s="468" t="n">
        <v>30000</v>
      </c>
      <c r="J15" s="468" t="n">
        <v>30000</v>
      </c>
      <c r="K15" s="468"/>
      <c r="L15" s="468"/>
      <c r="M15" s="468"/>
      <c r="N15" s="468"/>
      <c r="O15" s="468"/>
      <c r="P15" s="468"/>
      <c r="Q15" s="468"/>
      <c r="R15" s="468"/>
      <c r="S15" s="468"/>
      <c r="T15" s="449"/>
      <c r="U15" s="449"/>
      <c r="V15" s="449"/>
      <c r="W15" s="449"/>
      <c r="X15" s="449"/>
      <c r="Y15" s="449"/>
      <c r="Z15" s="449"/>
      <c r="AA15" s="449"/>
      <c r="AB15" s="449"/>
      <c r="AC15" s="449"/>
      <c r="AD15" s="449"/>
      <c r="AE15" s="449"/>
      <c r="AF15" s="449"/>
      <c r="AG15" s="449"/>
      <c r="AH15" s="449"/>
      <c r="AI15" s="449"/>
      <c r="AJ15" s="449"/>
      <c r="AK15" s="449"/>
      <c r="AL15" s="449"/>
      <c r="AM15" s="449"/>
      <c r="AN15" s="449"/>
      <c r="AO15" s="449"/>
      <c r="AP15" s="449"/>
      <c r="AQ15" s="449"/>
      <c r="AR15" s="449"/>
      <c r="AS15" s="449"/>
      <c r="AT15" s="449"/>
      <c r="AU15" s="449"/>
      <c r="AV15" s="449"/>
      <c r="AW15" s="449"/>
      <c r="AX15" s="449"/>
      <c r="AY15" s="449"/>
      <c r="AZ15" s="449"/>
      <c r="BA15" s="449"/>
      <c r="BB15" s="449"/>
      <c r="BC15" s="449"/>
      <c r="BD15" s="449"/>
      <c r="BE15" s="449"/>
      <c r="BF15" s="449"/>
      <c r="BG15" s="449"/>
      <c r="BH15" s="449"/>
      <c r="BI15" s="449"/>
      <c r="BJ15" s="449"/>
      <c r="BK15" s="449"/>
      <c r="BL15" s="449"/>
      <c r="BM15" s="449"/>
      <c r="BN15" s="449"/>
      <c r="BO15" s="449"/>
      <c r="BP15" s="449"/>
      <c r="BQ15" s="449"/>
      <c r="BR15" s="449"/>
      <c r="BS15" s="449"/>
      <c r="BT15" s="449"/>
      <c r="BU15" s="449"/>
      <c r="BV15" s="449"/>
      <c r="BW15" s="449"/>
      <c r="BX15" s="449"/>
      <c r="BY15" s="449"/>
      <c r="BZ15" s="449"/>
      <c r="CA15" s="449"/>
      <c r="CB15" s="449"/>
      <c r="CC15" s="449"/>
      <c r="CD15" s="449"/>
      <c r="CE15" s="449"/>
      <c r="CF15" s="449"/>
      <c r="CG15" s="449"/>
      <c r="CH15" s="449"/>
      <c r="CI15" s="449"/>
      <c r="CJ15" s="449"/>
      <c r="CK15" s="449"/>
      <c r="CL15" s="449"/>
      <c r="CM15" s="449"/>
      <c r="CN15" s="449"/>
      <c r="CO15" s="449"/>
      <c r="CP15" s="449"/>
      <c r="CQ15" s="449"/>
      <c r="CR15" s="449"/>
      <c r="CS15" s="449"/>
      <c r="CT15" s="449"/>
      <c r="CU15" s="449"/>
      <c r="CV15" s="449"/>
      <c r="CW15" s="449"/>
      <c r="CX15" s="449"/>
      <c r="CY15" s="449"/>
      <c r="CZ15" s="449"/>
      <c r="DA15" s="449"/>
      <c r="DB15" s="449"/>
      <c r="DC15" s="449"/>
      <c r="DD15" s="449"/>
      <c r="DE15" s="449"/>
      <c r="DF15" s="449"/>
      <c r="DG15" s="449"/>
      <c r="DH15" s="449"/>
      <c r="DI15" s="449"/>
      <c r="DJ15" s="449"/>
      <c r="DK15" s="449"/>
      <c r="DL15" s="449"/>
      <c r="DM15" s="449"/>
      <c r="DN15" s="449"/>
      <c r="DO15" s="449"/>
      <c r="DP15" s="449"/>
      <c r="DQ15" s="449"/>
      <c r="DR15" s="449"/>
      <c r="DS15" s="449"/>
      <c r="DT15" s="449"/>
      <c r="DU15" s="449"/>
      <c r="DV15" s="449"/>
      <c r="DW15" s="449"/>
      <c r="DX15" s="449"/>
      <c r="DY15" s="449"/>
      <c r="DZ15" s="449"/>
      <c r="EA15" s="449"/>
      <c r="EB15" s="449"/>
      <c r="EC15" s="449"/>
      <c r="ED15" s="449"/>
      <c r="EE15" s="449"/>
      <c r="EF15" s="449"/>
      <c r="EG15" s="449"/>
      <c r="EH15" s="449"/>
      <c r="EI15" s="449"/>
      <c r="EJ15" s="449"/>
      <c r="EK15" s="449"/>
      <c r="EL15" s="449"/>
      <c r="EM15" s="449"/>
      <c r="EN15" s="449"/>
      <c r="EO15" s="449"/>
      <c r="EP15" s="449"/>
      <c r="EQ15" s="449"/>
      <c r="ER15" s="449"/>
      <c r="ES15" s="449"/>
      <c r="ET15" s="449"/>
      <c r="EU15" s="449"/>
      <c r="EV15" s="449"/>
      <c r="EW15" s="449"/>
      <c r="EX15" s="449"/>
      <c r="EY15" s="449"/>
      <c r="EZ15" s="449"/>
      <c r="FA15" s="449"/>
      <c r="FB15" s="449"/>
      <c r="FC15" s="449"/>
      <c r="FD15" s="449"/>
      <c r="FE15" s="449"/>
      <c r="FF15" s="449"/>
      <c r="FG15" s="449"/>
      <c r="FH15" s="449"/>
      <c r="FI15" s="449"/>
      <c r="FJ15" s="449"/>
      <c r="FK15" s="449"/>
      <c r="FL15" s="449"/>
      <c r="FM15" s="449"/>
      <c r="FN15" s="449"/>
      <c r="FO15" s="449"/>
      <c r="FP15" s="449"/>
      <c r="FQ15" s="449"/>
      <c r="FR15" s="449"/>
      <c r="FS15" s="449"/>
      <c r="FT15" s="449"/>
      <c r="FU15" s="449"/>
      <c r="FV15" s="449"/>
      <c r="FW15" s="449"/>
      <c r="FX15" s="449"/>
      <c r="FY15" s="449"/>
      <c r="FZ15" s="449"/>
      <c r="GA15" s="449"/>
      <c r="GB15" s="449"/>
      <c r="GC15" s="449"/>
      <c r="GD15" s="449"/>
      <c r="GE15" s="449"/>
      <c r="GF15" s="449"/>
      <c r="GG15" s="449"/>
      <c r="GH15" s="449"/>
      <c r="GI15" s="449"/>
      <c r="GJ15" s="449"/>
      <c r="GK15" s="449"/>
      <c r="GL15" s="449"/>
      <c r="GM15" s="449"/>
      <c r="GN15" s="449"/>
      <c r="GO15" s="449"/>
      <c r="GP15" s="449"/>
      <c r="GQ15" s="449"/>
      <c r="GR15" s="449"/>
      <c r="GS15" s="449"/>
      <c r="GT15" s="449"/>
      <c r="GU15" s="449"/>
      <c r="GV15" s="449"/>
      <c r="GW15" s="449"/>
      <c r="GX15" s="449"/>
      <c r="GY15" s="449"/>
      <c r="GZ15" s="449"/>
      <c r="HA15" s="449"/>
      <c r="HB15" s="449"/>
      <c r="HC15" s="449"/>
      <c r="HD15" s="449"/>
      <c r="HE15" s="449"/>
      <c r="HF15" s="449"/>
      <c r="HG15" s="449"/>
      <c r="HH15" s="449"/>
      <c r="HI15" s="449"/>
      <c r="HJ15" s="449"/>
      <c r="HK15" s="449"/>
      <c r="HL15" s="449"/>
      <c r="HM15" s="449"/>
      <c r="HN15" s="449"/>
      <c r="HO15" s="449"/>
      <c r="HP15" s="449"/>
      <c r="HQ15" s="449"/>
      <c r="HR15" s="449"/>
      <c r="HS15" s="449"/>
      <c r="HT15" s="449"/>
      <c r="HU15" s="449"/>
      <c r="HV15" s="449"/>
      <c r="HW15" s="449"/>
      <c r="HX15" s="449"/>
      <c r="HY15" s="449"/>
      <c r="HZ15" s="449"/>
      <c r="IA15" s="449"/>
      <c r="IB15" s="449"/>
      <c r="IC15" s="449"/>
      <c r="ID15" s="449"/>
      <c r="IE15" s="449"/>
      <c r="IF15" s="449"/>
      <c r="IG15" s="449"/>
      <c r="IH15" s="449"/>
      <c r="II15" s="449"/>
      <c r="IJ15" s="449"/>
      <c r="IK15" s="449"/>
      <c r="IL15" s="449"/>
      <c r="IM15" s="449"/>
      <c r="IN15" s="449"/>
      <c r="IO15" s="449"/>
      <c r="IP15" s="449"/>
      <c r="IQ15" s="449"/>
      <c r="IR15" s="449"/>
      <c r="IS15" s="449"/>
      <c r="IT15" s="449"/>
      <c r="IU15" s="449"/>
      <c r="IV15" s="449"/>
      <c r="IW15" s="449"/>
    </row>
    <row r="16" customFormat="false" ht="12.75" hidden="false" customHeight="false" outlineLevel="0" collapsed="false">
      <c r="A16" s="461" t="n">
        <f aca="false">A15+1</f>
        <v>13</v>
      </c>
      <c r="B16" s="466"/>
      <c r="C16" s="467" t="str">
        <f aca="false">'Plant Configuration'!C21</f>
        <v>Other</v>
      </c>
      <c r="D16" s="449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49"/>
      <c r="U16" s="449"/>
      <c r="V16" s="449"/>
      <c r="W16" s="449"/>
      <c r="X16" s="449"/>
      <c r="Y16" s="449"/>
      <c r="Z16" s="449"/>
      <c r="AA16" s="449"/>
      <c r="AB16" s="449"/>
      <c r="AC16" s="449"/>
      <c r="AD16" s="449"/>
      <c r="AE16" s="449"/>
      <c r="AF16" s="449"/>
      <c r="AG16" s="449"/>
      <c r="AH16" s="449"/>
      <c r="AI16" s="449"/>
      <c r="AJ16" s="449"/>
      <c r="AK16" s="449"/>
      <c r="AL16" s="449"/>
      <c r="AM16" s="449"/>
      <c r="AN16" s="449"/>
      <c r="AO16" s="449"/>
      <c r="AP16" s="449"/>
      <c r="AQ16" s="449"/>
      <c r="AR16" s="449"/>
      <c r="AS16" s="449"/>
      <c r="AT16" s="449"/>
      <c r="AU16" s="449"/>
      <c r="AV16" s="449"/>
      <c r="AW16" s="449"/>
      <c r="AX16" s="449"/>
      <c r="AY16" s="449"/>
      <c r="AZ16" s="449"/>
      <c r="BA16" s="449"/>
      <c r="BB16" s="449"/>
      <c r="BC16" s="449"/>
      <c r="BD16" s="449"/>
      <c r="BE16" s="449"/>
      <c r="BF16" s="449"/>
      <c r="BG16" s="449"/>
      <c r="BH16" s="449"/>
      <c r="BI16" s="449"/>
      <c r="BJ16" s="449"/>
      <c r="BK16" s="449"/>
      <c r="BL16" s="449"/>
      <c r="BM16" s="449"/>
      <c r="BN16" s="449"/>
      <c r="BO16" s="449"/>
      <c r="BP16" s="449"/>
      <c r="BQ16" s="449"/>
      <c r="BR16" s="449"/>
      <c r="BS16" s="449"/>
      <c r="BT16" s="449"/>
      <c r="BU16" s="449"/>
      <c r="BV16" s="449"/>
      <c r="BW16" s="449"/>
      <c r="BX16" s="449"/>
      <c r="BY16" s="449"/>
      <c r="BZ16" s="449"/>
      <c r="CA16" s="449"/>
      <c r="CB16" s="449"/>
      <c r="CC16" s="449"/>
      <c r="CD16" s="449"/>
      <c r="CE16" s="449"/>
      <c r="CF16" s="449"/>
      <c r="CG16" s="449"/>
      <c r="CH16" s="449"/>
      <c r="CI16" s="449"/>
      <c r="CJ16" s="449"/>
      <c r="CK16" s="449"/>
      <c r="CL16" s="449"/>
      <c r="CM16" s="449"/>
      <c r="CN16" s="449"/>
      <c r="CO16" s="449"/>
      <c r="CP16" s="449"/>
      <c r="CQ16" s="449"/>
      <c r="CR16" s="449"/>
      <c r="CS16" s="449"/>
      <c r="CT16" s="449"/>
      <c r="CU16" s="449"/>
      <c r="CV16" s="449"/>
      <c r="CW16" s="449"/>
      <c r="CX16" s="449"/>
      <c r="CY16" s="449"/>
      <c r="CZ16" s="449"/>
      <c r="DA16" s="449"/>
      <c r="DB16" s="449"/>
      <c r="DC16" s="449"/>
      <c r="DD16" s="449"/>
      <c r="DE16" s="449"/>
      <c r="DF16" s="449"/>
      <c r="DG16" s="449"/>
      <c r="DH16" s="449"/>
      <c r="DI16" s="449"/>
      <c r="DJ16" s="449"/>
      <c r="DK16" s="449"/>
      <c r="DL16" s="449"/>
      <c r="DM16" s="449"/>
      <c r="DN16" s="449"/>
      <c r="DO16" s="449"/>
      <c r="DP16" s="449"/>
      <c r="DQ16" s="449"/>
      <c r="DR16" s="449"/>
      <c r="DS16" s="449"/>
      <c r="DT16" s="449"/>
      <c r="DU16" s="449"/>
      <c r="DV16" s="449"/>
      <c r="DW16" s="449"/>
      <c r="DX16" s="449"/>
      <c r="DY16" s="449"/>
      <c r="DZ16" s="449"/>
      <c r="EA16" s="449"/>
      <c r="EB16" s="449"/>
      <c r="EC16" s="449"/>
      <c r="ED16" s="449"/>
      <c r="EE16" s="449"/>
      <c r="EF16" s="449"/>
      <c r="EG16" s="449"/>
      <c r="EH16" s="449"/>
      <c r="EI16" s="449"/>
      <c r="EJ16" s="449"/>
      <c r="EK16" s="449"/>
      <c r="EL16" s="449"/>
      <c r="EM16" s="449"/>
      <c r="EN16" s="449"/>
      <c r="EO16" s="449"/>
      <c r="EP16" s="449"/>
      <c r="EQ16" s="449"/>
      <c r="ER16" s="449"/>
      <c r="ES16" s="449"/>
      <c r="ET16" s="449"/>
      <c r="EU16" s="449"/>
      <c r="EV16" s="449"/>
      <c r="EW16" s="449"/>
      <c r="EX16" s="449"/>
      <c r="EY16" s="449"/>
      <c r="EZ16" s="449"/>
      <c r="FA16" s="449"/>
      <c r="FB16" s="449"/>
      <c r="FC16" s="449"/>
      <c r="FD16" s="449"/>
      <c r="FE16" s="449"/>
      <c r="FF16" s="449"/>
      <c r="FG16" s="449"/>
      <c r="FH16" s="449"/>
      <c r="FI16" s="449"/>
      <c r="FJ16" s="449"/>
      <c r="FK16" s="449"/>
      <c r="FL16" s="449"/>
      <c r="FM16" s="449"/>
      <c r="FN16" s="449"/>
      <c r="FO16" s="449"/>
      <c r="FP16" s="449"/>
      <c r="FQ16" s="449"/>
      <c r="FR16" s="449"/>
      <c r="FS16" s="449"/>
      <c r="FT16" s="449"/>
      <c r="FU16" s="449"/>
      <c r="FV16" s="449"/>
      <c r="FW16" s="449"/>
      <c r="FX16" s="449"/>
      <c r="FY16" s="449"/>
      <c r="FZ16" s="449"/>
      <c r="GA16" s="449"/>
      <c r="GB16" s="449"/>
      <c r="GC16" s="449"/>
      <c r="GD16" s="449"/>
      <c r="GE16" s="449"/>
      <c r="GF16" s="449"/>
      <c r="GG16" s="449"/>
      <c r="GH16" s="449"/>
      <c r="GI16" s="449"/>
      <c r="GJ16" s="449"/>
      <c r="GK16" s="449"/>
      <c r="GL16" s="449"/>
      <c r="GM16" s="449"/>
      <c r="GN16" s="449"/>
      <c r="GO16" s="449"/>
      <c r="GP16" s="449"/>
      <c r="GQ16" s="449"/>
      <c r="GR16" s="449"/>
      <c r="GS16" s="449"/>
      <c r="GT16" s="449"/>
      <c r="GU16" s="449"/>
      <c r="GV16" s="449"/>
      <c r="GW16" s="449"/>
      <c r="GX16" s="449"/>
      <c r="GY16" s="449"/>
      <c r="GZ16" s="449"/>
      <c r="HA16" s="449"/>
      <c r="HB16" s="449"/>
      <c r="HC16" s="449"/>
      <c r="HD16" s="449"/>
      <c r="HE16" s="449"/>
      <c r="HF16" s="449"/>
      <c r="HG16" s="449"/>
      <c r="HH16" s="449"/>
      <c r="HI16" s="449"/>
      <c r="HJ16" s="449"/>
      <c r="HK16" s="449"/>
      <c r="HL16" s="449"/>
      <c r="HM16" s="449"/>
      <c r="HN16" s="449"/>
      <c r="HO16" s="449"/>
      <c r="HP16" s="449"/>
      <c r="HQ16" s="449"/>
      <c r="HR16" s="449"/>
      <c r="HS16" s="449"/>
      <c r="HT16" s="449"/>
      <c r="HU16" s="449"/>
      <c r="HV16" s="449"/>
      <c r="HW16" s="449"/>
      <c r="HX16" s="449"/>
      <c r="HY16" s="449"/>
      <c r="HZ16" s="449"/>
      <c r="IA16" s="449"/>
      <c r="IB16" s="449"/>
      <c r="IC16" s="449"/>
      <c r="ID16" s="449"/>
      <c r="IE16" s="449"/>
      <c r="IF16" s="449"/>
      <c r="IG16" s="449"/>
      <c r="IH16" s="449"/>
      <c r="II16" s="449"/>
      <c r="IJ16" s="449"/>
      <c r="IK16" s="449"/>
      <c r="IL16" s="449"/>
      <c r="IM16" s="449"/>
      <c r="IN16" s="449"/>
      <c r="IO16" s="449"/>
      <c r="IP16" s="449"/>
      <c r="IQ16" s="449"/>
      <c r="IR16" s="449"/>
      <c r="IS16" s="449"/>
      <c r="IT16" s="449"/>
      <c r="IU16" s="449"/>
      <c r="IV16" s="449"/>
      <c r="IW16" s="449"/>
    </row>
    <row r="17" customFormat="false" ht="12.75" hidden="false" customHeight="false" outlineLevel="0" collapsed="false">
      <c r="A17" s="461" t="n">
        <f aca="false">A16+1</f>
        <v>14</v>
      </c>
      <c r="B17" s="466"/>
      <c r="C17" s="467" t="str">
        <f aca="false">'Plant Configuration'!C22</f>
        <v>Other</v>
      </c>
      <c r="D17" s="449"/>
      <c r="E17" s="468"/>
      <c r="F17" s="468"/>
      <c r="G17" s="468"/>
      <c r="H17" s="468"/>
      <c r="I17" s="468"/>
      <c r="J17" s="468"/>
      <c r="K17" s="468"/>
      <c r="L17" s="468"/>
      <c r="M17" s="468"/>
      <c r="N17" s="468"/>
      <c r="O17" s="468"/>
      <c r="P17" s="468"/>
      <c r="Q17" s="468"/>
      <c r="R17" s="468"/>
      <c r="S17" s="468"/>
      <c r="T17" s="449"/>
      <c r="U17" s="449"/>
      <c r="V17" s="449"/>
      <c r="W17" s="449"/>
      <c r="X17" s="449"/>
      <c r="Y17" s="449"/>
      <c r="Z17" s="449"/>
      <c r="AA17" s="449"/>
      <c r="AB17" s="449"/>
      <c r="AC17" s="449"/>
      <c r="AD17" s="449"/>
      <c r="AE17" s="449"/>
      <c r="AF17" s="449"/>
      <c r="AG17" s="449"/>
      <c r="AH17" s="449"/>
      <c r="AI17" s="449"/>
      <c r="AJ17" s="449"/>
      <c r="AK17" s="449"/>
      <c r="AL17" s="449"/>
      <c r="AM17" s="449"/>
      <c r="AN17" s="449"/>
      <c r="AO17" s="449"/>
      <c r="AP17" s="449"/>
      <c r="AQ17" s="449"/>
      <c r="AR17" s="449"/>
      <c r="AS17" s="449"/>
      <c r="AT17" s="449"/>
      <c r="AU17" s="449"/>
      <c r="AV17" s="449"/>
      <c r="AW17" s="449"/>
      <c r="AX17" s="449"/>
      <c r="AY17" s="449"/>
      <c r="AZ17" s="449"/>
      <c r="BA17" s="449"/>
      <c r="BB17" s="449"/>
      <c r="BC17" s="449"/>
      <c r="BD17" s="449"/>
      <c r="BE17" s="449"/>
      <c r="BF17" s="449"/>
      <c r="BG17" s="449"/>
      <c r="BH17" s="449"/>
      <c r="BI17" s="449"/>
      <c r="BJ17" s="449"/>
      <c r="BK17" s="449"/>
      <c r="BL17" s="449"/>
      <c r="BM17" s="449"/>
      <c r="BN17" s="449"/>
      <c r="BO17" s="449"/>
      <c r="BP17" s="449"/>
      <c r="BQ17" s="449"/>
      <c r="BR17" s="449"/>
      <c r="BS17" s="449"/>
      <c r="BT17" s="449"/>
      <c r="BU17" s="449"/>
      <c r="BV17" s="449"/>
      <c r="BW17" s="449"/>
      <c r="BX17" s="449"/>
      <c r="BY17" s="449"/>
      <c r="BZ17" s="449"/>
      <c r="CA17" s="449"/>
      <c r="CB17" s="449"/>
      <c r="CC17" s="449"/>
      <c r="CD17" s="449"/>
      <c r="CE17" s="449"/>
      <c r="CF17" s="449"/>
      <c r="CG17" s="449"/>
      <c r="CH17" s="449"/>
      <c r="CI17" s="449"/>
      <c r="CJ17" s="449"/>
      <c r="CK17" s="449"/>
      <c r="CL17" s="449"/>
      <c r="CM17" s="449"/>
      <c r="CN17" s="449"/>
      <c r="CO17" s="449"/>
      <c r="CP17" s="449"/>
      <c r="CQ17" s="449"/>
      <c r="CR17" s="449"/>
      <c r="CS17" s="449"/>
      <c r="CT17" s="449"/>
      <c r="CU17" s="449"/>
      <c r="CV17" s="449"/>
      <c r="CW17" s="449"/>
      <c r="CX17" s="449"/>
      <c r="CY17" s="449"/>
      <c r="CZ17" s="449"/>
      <c r="DA17" s="449"/>
      <c r="DB17" s="449"/>
      <c r="DC17" s="449"/>
      <c r="DD17" s="449"/>
      <c r="DE17" s="449"/>
      <c r="DF17" s="449"/>
      <c r="DG17" s="449"/>
      <c r="DH17" s="449"/>
      <c r="DI17" s="449"/>
      <c r="DJ17" s="449"/>
      <c r="DK17" s="449"/>
      <c r="DL17" s="449"/>
      <c r="DM17" s="449"/>
      <c r="DN17" s="449"/>
      <c r="DO17" s="449"/>
      <c r="DP17" s="449"/>
      <c r="DQ17" s="449"/>
      <c r="DR17" s="449"/>
      <c r="DS17" s="449"/>
      <c r="DT17" s="449"/>
      <c r="DU17" s="449"/>
      <c r="DV17" s="449"/>
      <c r="DW17" s="449"/>
      <c r="DX17" s="449"/>
      <c r="DY17" s="449"/>
      <c r="DZ17" s="449"/>
      <c r="EA17" s="449"/>
      <c r="EB17" s="449"/>
      <c r="EC17" s="449"/>
      <c r="ED17" s="449"/>
      <c r="EE17" s="449"/>
      <c r="EF17" s="449"/>
      <c r="EG17" s="449"/>
      <c r="EH17" s="449"/>
      <c r="EI17" s="449"/>
      <c r="EJ17" s="449"/>
      <c r="EK17" s="449"/>
      <c r="EL17" s="449"/>
      <c r="EM17" s="449"/>
      <c r="EN17" s="449"/>
      <c r="EO17" s="449"/>
      <c r="EP17" s="449"/>
      <c r="EQ17" s="449"/>
      <c r="ER17" s="449"/>
      <c r="ES17" s="449"/>
      <c r="ET17" s="449"/>
      <c r="EU17" s="449"/>
      <c r="EV17" s="449"/>
      <c r="EW17" s="449"/>
      <c r="EX17" s="449"/>
      <c r="EY17" s="449"/>
      <c r="EZ17" s="449"/>
      <c r="FA17" s="449"/>
      <c r="FB17" s="449"/>
      <c r="FC17" s="449"/>
      <c r="FD17" s="449"/>
      <c r="FE17" s="449"/>
      <c r="FF17" s="449"/>
      <c r="FG17" s="449"/>
      <c r="FH17" s="449"/>
      <c r="FI17" s="449"/>
      <c r="FJ17" s="449"/>
      <c r="FK17" s="449"/>
      <c r="FL17" s="449"/>
      <c r="FM17" s="449"/>
      <c r="FN17" s="449"/>
      <c r="FO17" s="449"/>
      <c r="FP17" s="449"/>
      <c r="FQ17" s="449"/>
      <c r="FR17" s="449"/>
      <c r="FS17" s="449"/>
      <c r="FT17" s="449"/>
      <c r="FU17" s="449"/>
      <c r="FV17" s="449"/>
      <c r="FW17" s="449"/>
      <c r="FX17" s="449"/>
      <c r="FY17" s="449"/>
      <c r="FZ17" s="449"/>
      <c r="GA17" s="449"/>
      <c r="GB17" s="449"/>
      <c r="GC17" s="449"/>
      <c r="GD17" s="449"/>
      <c r="GE17" s="449"/>
      <c r="GF17" s="449"/>
      <c r="GG17" s="449"/>
      <c r="GH17" s="449"/>
      <c r="GI17" s="449"/>
      <c r="GJ17" s="449"/>
      <c r="GK17" s="449"/>
      <c r="GL17" s="449"/>
      <c r="GM17" s="449"/>
      <c r="GN17" s="449"/>
      <c r="GO17" s="449"/>
      <c r="GP17" s="449"/>
      <c r="GQ17" s="449"/>
      <c r="GR17" s="449"/>
      <c r="GS17" s="449"/>
      <c r="GT17" s="449"/>
      <c r="GU17" s="449"/>
      <c r="GV17" s="449"/>
      <c r="GW17" s="449"/>
      <c r="GX17" s="449"/>
      <c r="GY17" s="449"/>
      <c r="GZ17" s="449"/>
      <c r="HA17" s="449"/>
      <c r="HB17" s="449"/>
      <c r="HC17" s="449"/>
      <c r="HD17" s="449"/>
      <c r="HE17" s="449"/>
      <c r="HF17" s="449"/>
      <c r="HG17" s="449"/>
      <c r="HH17" s="449"/>
      <c r="HI17" s="449"/>
      <c r="HJ17" s="449"/>
      <c r="HK17" s="449"/>
      <c r="HL17" s="449"/>
      <c r="HM17" s="449"/>
      <c r="HN17" s="449"/>
      <c r="HO17" s="449"/>
      <c r="HP17" s="449"/>
      <c r="HQ17" s="449"/>
      <c r="HR17" s="449"/>
      <c r="HS17" s="449"/>
      <c r="HT17" s="449"/>
      <c r="HU17" s="449"/>
      <c r="HV17" s="449"/>
      <c r="HW17" s="449"/>
      <c r="HX17" s="449"/>
      <c r="HY17" s="449"/>
      <c r="HZ17" s="449"/>
      <c r="IA17" s="449"/>
      <c r="IB17" s="449"/>
      <c r="IC17" s="449"/>
      <c r="ID17" s="449"/>
      <c r="IE17" s="449"/>
      <c r="IF17" s="449"/>
      <c r="IG17" s="449"/>
      <c r="IH17" s="449"/>
      <c r="II17" s="449"/>
      <c r="IJ17" s="449"/>
      <c r="IK17" s="449"/>
      <c r="IL17" s="449"/>
      <c r="IM17" s="449"/>
      <c r="IN17" s="449"/>
      <c r="IO17" s="449"/>
      <c r="IP17" s="449"/>
      <c r="IQ17" s="449"/>
      <c r="IR17" s="449"/>
      <c r="IS17" s="449"/>
      <c r="IT17" s="449"/>
      <c r="IU17" s="449"/>
      <c r="IV17" s="449"/>
      <c r="IW17" s="449"/>
    </row>
    <row r="18" customFormat="false" ht="12.75" hidden="false" customHeight="false" outlineLevel="0" collapsed="false">
      <c r="A18" s="461" t="n">
        <f aca="false">A17+1</f>
        <v>15</v>
      </c>
      <c r="B18" s="466"/>
      <c r="C18" s="467" t="str">
        <f aca="false">'Plant Configuration'!C23</f>
        <v>Other</v>
      </c>
      <c r="D18" s="449"/>
      <c r="E18" s="468"/>
      <c r="F18" s="468"/>
      <c r="G18" s="468"/>
      <c r="H18" s="468"/>
      <c r="I18" s="468"/>
      <c r="J18" s="468"/>
      <c r="K18" s="468"/>
      <c r="L18" s="468"/>
      <c r="M18" s="468"/>
      <c r="N18" s="468"/>
      <c r="O18" s="468"/>
      <c r="P18" s="468"/>
      <c r="Q18" s="468"/>
      <c r="R18" s="468"/>
      <c r="S18" s="468"/>
      <c r="T18" s="449"/>
      <c r="U18" s="449"/>
      <c r="V18" s="449"/>
      <c r="W18" s="449"/>
      <c r="X18" s="449"/>
      <c r="Y18" s="449"/>
      <c r="Z18" s="449"/>
      <c r="AA18" s="449"/>
      <c r="AB18" s="449"/>
      <c r="AC18" s="449"/>
      <c r="AD18" s="449"/>
      <c r="AE18" s="449"/>
      <c r="AF18" s="449"/>
      <c r="AG18" s="449"/>
      <c r="AH18" s="449"/>
      <c r="AI18" s="449"/>
      <c r="AJ18" s="449"/>
      <c r="AK18" s="449"/>
      <c r="AL18" s="449"/>
      <c r="AM18" s="449"/>
      <c r="AN18" s="449"/>
      <c r="AO18" s="449"/>
      <c r="AP18" s="449"/>
      <c r="AQ18" s="449"/>
      <c r="AR18" s="449"/>
      <c r="AS18" s="449"/>
      <c r="AT18" s="449"/>
      <c r="AU18" s="449"/>
      <c r="AV18" s="449"/>
      <c r="AW18" s="449"/>
      <c r="AX18" s="449"/>
      <c r="AY18" s="449"/>
      <c r="AZ18" s="449"/>
      <c r="BA18" s="449"/>
      <c r="BB18" s="449"/>
      <c r="BC18" s="449"/>
      <c r="BD18" s="449"/>
      <c r="BE18" s="449"/>
      <c r="BF18" s="449"/>
      <c r="BG18" s="449"/>
      <c r="BH18" s="449"/>
      <c r="BI18" s="449"/>
      <c r="BJ18" s="449"/>
      <c r="BK18" s="449"/>
      <c r="BL18" s="449"/>
      <c r="BM18" s="449"/>
      <c r="BN18" s="449"/>
      <c r="BO18" s="449"/>
      <c r="BP18" s="449"/>
      <c r="BQ18" s="449"/>
      <c r="BR18" s="449"/>
      <c r="BS18" s="449"/>
      <c r="BT18" s="449"/>
      <c r="BU18" s="449"/>
      <c r="BV18" s="449"/>
      <c r="BW18" s="449"/>
      <c r="BX18" s="449"/>
      <c r="BY18" s="449"/>
      <c r="BZ18" s="449"/>
      <c r="CA18" s="449"/>
      <c r="CB18" s="449"/>
      <c r="CC18" s="449"/>
      <c r="CD18" s="449"/>
      <c r="CE18" s="449"/>
      <c r="CF18" s="449"/>
      <c r="CG18" s="449"/>
      <c r="CH18" s="449"/>
      <c r="CI18" s="449"/>
      <c r="CJ18" s="449"/>
      <c r="CK18" s="449"/>
      <c r="CL18" s="449"/>
      <c r="CM18" s="449"/>
      <c r="CN18" s="449"/>
      <c r="CO18" s="449"/>
      <c r="CP18" s="449"/>
      <c r="CQ18" s="449"/>
      <c r="CR18" s="449"/>
      <c r="CS18" s="449"/>
      <c r="CT18" s="449"/>
      <c r="CU18" s="449"/>
      <c r="CV18" s="449"/>
      <c r="CW18" s="449"/>
      <c r="CX18" s="449"/>
      <c r="CY18" s="449"/>
      <c r="CZ18" s="449"/>
      <c r="DA18" s="449"/>
      <c r="DB18" s="449"/>
      <c r="DC18" s="449"/>
      <c r="DD18" s="449"/>
      <c r="DE18" s="449"/>
      <c r="DF18" s="449"/>
      <c r="DG18" s="449"/>
      <c r="DH18" s="449"/>
      <c r="DI18" s="449"/>
      <c r="DJ18" s="449"/>
      <c r="DK18" s="449"/>
      <c r="DL18" s="449"/>
      <c r="DM18" s="449"/>
      <c r="DN18" s="449"/>
      <c r="DO18" s="449"/>
      <c r="DP18" s="449"/>
      <c r="DQ18" s="449"/>
      <c r="DR18" s="449"/>
      <c r="DS18" s="449"/>
      <c r="DT18" s="449"/>
      <c r="DU18" s="449"/>
      <c r="DV18" s="449"/>
      <c r="DW18" s="449"/>
      <c r="DX18" s="449"/>
      <c r="DY18" s="449"/>
      <c r="DZ18" s="449"/>
      <c r="EA18" s="449"/>
      <c r="EB18" s="449"/>
      <c r="EC18" s="449"/>
      <c r="ED18" s="449"/>
      <c r="EE18" s="449"/>
      <c r="EF18" s="449"/>
      <c r="EG18" s="449"/>
      <c r="EH18" s="449"/>
      <c r="EI18" s="449"/>
      <c r="EJ18" s="449"/>
      <c r="EK18" s="449"/>
      <c r="EL18" s="449"/>
      <c r="EM18" s="449"/>
      <c r="EN18" s="449"/>
      <c r="EO18" s="449"/>
      <c r="EP18" s="449"/>
      <c r="EQ18" s="449"/>
      <c r="ER18" s="449"/>
      <c r="ES18" s="449"/>
      <c r="ET18" s="449"/>
      <c r="EU18" s="449"/>
      <c r="EV18" s="449"/>
      <c r="EW18" s="449"/>
      <c r="EX18" s="449"/>
      <c r="EY18" s="449"/>
      <c r="EZ18" s="449"/>
      <c r="FA18" s="449"/>
      <c r="FB18" s="449"/>
      <c r="FC18" s="449"/>
      <c r="FD18" s="449"/>
      <c r="FE18" s="449"/>
      <c r="FF18" s="449"/>
      <c r="FG18" s="449"/>
      <c r="FH18" s="449"/>
      <c r="FI18" s="449"/>
      <c r="FJ18" s="449"/>
      <c r="FK18" s="449"/>
      <c r="FL18" s="449"/>
      <c r="FM18" s="449"/>
      <c r="FN18" s="449"/>
      <c r="FO18" s="449"/>
      <c r="FP18" s="449"/>
      <c r="FQ18" s="449"/>
      <c r="FR18" s="449"/>
      <c r="FS18" s="449"/>
      <c r="FT18" s="449"/>
      <c r="FU18" s="449"/>
      <c r="FV18" s="449"/>
      <c r="FW18" s="449"/>
      <c r="FX18" s="449"/>
      <c r="FY18" s="449"/>
      <c r="FZ18" s="449"/>
      <c r="GA18" s="449"/>
      <c r="GB18" s="449"/>
      <c r="GC18" s="449"/>
      <c r="GD18" s="449"/>
      <c r="GE18" s="449"/>
      <c r="GF18" s="449"/>
      <c r="GG18" s="449"/>
      <c r="GH18" s="449"/>
      <c r="GI18" s="449"/>
      <c r="GJ18" s="449"/>
      <c r="GK18" s="449"/>
      <c r="GL18" s="449"/>
      <c r="GM18" s="449"/>
      <c r="GN18" s="449"/>
      <c r="GO18" s="449"/>
      <c r="GP18" s="449"/>
      <c r="GQ18" s="449"/>
      <c r="GR18" s="449"/>
      <c r="GS18" s="449"/>
      <c r="GT18" s="449"/>
      <c r="GU18" s="449"/>
      <c r="GV18" s="449"/>
      <c r="GW18" s="449"/>
      <c r="GX18" s="449"/>
      <c r="GY18" s="449"/>
      <c r="GZ18" s="449"/>
      <c r="HA18" s="449"/>
      <c r="HB18" s="449"/>
      <c r="HC18" s="449"/>
      <c r="HD18" s="449"/>
      <c r="HE18" s="449"/>
      <c r="HF18" s="449"/>
      <c r="HG18" s="449"/>
      <c r="HH18" s="449"/>
      <c r="HI18" s="449"/>
      <c r="HJ18" s="449"/>
      <c r="HK18" s="449"/>
      <c r="HL18" s="449"/>
      <c r="HM18" s="449"/>
      <c r="HN18" s="449"/>
      <c r="HO18" s="449"/>
      <c r="HP18" s="449"/>
      <c r="HQ18" s="449"/>
      <c r="HR18" s="449"/>
      <c r="HS18" s="449"/>
      <c r="HT18" s="449"/>
      <c r="HU18" s="449"/>
      <c r="HV18" s="449"/>
      <c r="HW18" s="449"/>
      <c r="HX18" s="449"/>
      <c r="HY18" s="449"/>
      <c r="HZ18" s="449"/>
      <c r="IA18" s="449"/>
      <c r="IB18" s="449"/>
      <c r="IC18" s="449"/>
      <c r="ID18" s="449"/>
      <c r="IE18" s="449"/>
      <c r="IF18" s="449"/>
      <c r="IG18" s="449"/>
      <c r="IH18" s="449"/>
      <c r="II18" s="449"/>
      <c r="IJ18" s="449"/>
      <c r="IK18" s="449"/>
      <c r="IL18" s="449"/>
      <c r="IM18" s="449"/>
      <c r="IN18" s="449"/>
      <c r="IO18" s="449"/>
      <c r="IP18" s="449"/>
      <c r="IQ18" s="449"/>
      <c r="IR18" s="449"/>
      <c r="IS18" s="449"/>
      <c r="IT18" s="449"/>
      <c r="IU18" s="449"/>
      <c r="IV18" s="449"/>
      <c r="IW18" s="449"/>
    </row>
    <row r="19" customFormat="false" ht="12.75" hidden="false" customHeight="false" outlineLevel="0" collapsed="false">
      <c r="A19" s="461" t="n">
        <f aca="false">A18+1</f>
        <v>16</v>
      </c>
      <c r="B19" s="466"/>
      <c r="C19" s="467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</row>
    <row r="20" customFormat="false" ht="12.75" hidden="false" customHeight="false" outlineLevel="0" collapsed="false">
      <c r="A20" s="461" t="n">
        <f aca="false">A19+1</f>
        <v>17</v>
      </c>
      <c r="B20" s="466" t="str">
        <f aca="false">'Plant Configuration'!B25</f>
        <v>Operations Staff</v>
      </c>
      <c r="C20" s="467"/>
      <c r="D20" s="449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449"/>
      <c r="U20" s="449"/>
      <c r="V20" s="449"/>
      <c r="W20" s="449"/>
      <c r="X20" s="449"/>
      <c r="Y20" s="449"/>
      <c r="Z20" s="449"/>
      <c r="AA20" s="449"/>
      <c r="AB20" s="449"/>
      <c r="AC20" s="449"/>
      <c r="AD20" s="449"/>
      <c r="AE20" s="449"/>
      <c r="AF20" s="449"/>
      <c r="AG20" s="449"/>
      <c r="AH20" s="449"/>
      <c r="AI20" s="449"/>
      <c r="AJ20" s="449"/>
      <c r="AK20" s="449"/>
      <c r="AL20" s="449"/>
      <c r="AM20" s="449"/>
      <c r="AN20" s="449"/>
      <c r="AO20" s="449"/>
      <c r="AP20" s="449"/>
      <c r="AQ20" s="449"/>
      <c r="AR20" s="449"/>
      <c r="AS20" s="449"/>
      <c r="AT20" s="449"/>
      <c r="AU20" s="449"/>
      <c r="AV20" s="449"/>
      <c r="AW20" s="449"/>
      <c r="AX20" s="449"/>
      <c r="AY20" s="449"/>
      <c r="AZ20" s="449"/>
      <c r="BA20" s="449"/>
      <c r="BB20" s="449"/>
      <c r="BC20" s="449"/>
      <c r="BD20" s="449"/>
      <c r="BE20" s="449"/>
      <c r="BF20" s="449"/>
      <c r="BG20" s="449"/>
      <c r="BH20" s="449"/>
      <c r="BI20" s="449"/>
      <c r="BJ20" s="449"/>
      <c r="BK20" s="449"/>
      <c r="BL20" s="449"/>
      <c r="BM20" s="449"/>
      <c r="BN20" s="449"/>
      <c r="BO20" s="449"/>
      <c r="BP20" s="449"/>
      <c r="BQ20" s="449"/>
      <c r="BR20" s="449"/>
      <c r="BS20" s="449"/>
      <c r="BT20" s="449"/>
      <c r="BU20" s="449"/>
      <c r="BV20" s="449"/>
      <c r="BW20" s="449"/>
      <c r="BX20" s="449"/>
      <c r="BY20" s="449"/>
      <c r="BZ20" s="449"/>
      <c r="CA20" s="449"/>
      <c r="CB20" s="449"/>
      <c r="CC20" s="449"/>
      <c r="CD20" s="449"/>
      <c r="CE20" s="449"/>
      <c r="CF20" s="449"/>
      <c r="CG20" s="449"/>
      <c r="CH20" s="449"/>
      <c r="CI20" s="449"/>
      <c r="CJ20" s="449"/>
      <c r="CK20" s="449"/>
      <c r="CL20" s="449"/>
      <c r="CM20" s="449"/>
      <c r="CN20" s="449"/>
      <c r="CO20" s="449"/>
      <c r="CP20" s="449"/>
      <c r="CQ20" s="449"/>
      <c r="CR20" s="449"/>
      <c r="CS20" s="449"/>
      <c r="CT20" s="449"/>
      <c r="CU20" s="449"/>
      <c r="CV20" s="449"/>
      <c r="CW20" s="449"/>
      <c r="CX20" s="449"/>
      <c r="CY20" s="449"/>
      <c r="CZ20" s="449"/>
      <c r="DA20" s="449"/>
      <c r="DB20" s="449"/>
      <c r="DC20" s="449"/>
      <c r="DD20" s="449"/>
      <c r="DE20" s="449"/>
      <c r="DF20" s="449"/>
      <c r="DG20" s="449"/>
      <c r="DH20" s="449"/>
      <c r="DI20" s="449"/>
      <c r="DJ20" s="449"/>
      <c r="DK20" s="449"/>
      <c r="DL20" s="449"/>
      <c r="DM20" s="449"/>
      <c r="DN20" s="449"/>
      <c r="DO20" s="449"/>
      <c r="DP20" s="449"/>
      <c r="DQ20" s="449"/>
      <c r="DR20" s="449"/>
      <c r="DS20" s="449"/>
      <c r="DT20" s="449"/>
      <c r="DU20" s="449"/>
      <c r="DV20" s="449"/>
      <c r="DW20" s="449"/>
      <c r="DX20" s="449"/>
      <c r="DY20" s="449"/>
      <c r="DZ20" s="449"/>
      <c r="EA20" s="449"/>
      <c r="EB20" s="449"/>
      <c r="EC20" s="449"/>
      <c r="ED20" s="449"/>
      <c r="EE20" s="449"/>
      <c r="EF20" s="449"/>
      <c r="EG20" s="449"/>
      <c r="EH20" s="449"/>
      <c r="EI20" s="449"/>
      <c r="EJ20" s="449"/>
      <c r="EK20" s="449"/>
      <c r="EL20" s="449"/>
      <c r="EM20" s="449"/>
      <c r="EN20" s="449"/>
      <c r="EO20" s="449"/>
      <c r="EP20" s="449"/>
      <c r="EQ20" s="449"/>
      <c r="ER20" s="449"/>
      <c r="ES20" s="449"/>
      <c r="ET20" s="449"/>
      <c r="EU20" s="449"/>
      <c r="EV20" s="449"/>
      <c r="EW20" s="449"/>
      <c r="EX20" s="449"/>
      <c r="EY20" s="449"/>
      <c r="EZ20" s="449"/>
      <c r="FA20" s="449"/>
      <c r="FB20" s="449"/>
      <c r="FC20" s="449"/>
      <c r="FD20" s="449"/>
      <c r="FE20" s="449"/>
      <c r="FF20" s="449"/>
      <c r="FG20" s="449"/>
      <c r="FH20" s="449"/>
      <c r="FI20" s="449"/>
      <c r="FJ20" s="449"/>
      <c r="FK20" s="449"/>
      <c r="FL20" s="449"/>
      <c r="FM20" s="449"/>
      <c r="FN20" s="449"/>
      <c r="FO20" s="449"/>
      <c r="FP20" s="449"/>
      <c r="FQ20" s="449"/>
      <c r="FR20" s="449"/>
      <c r="FS20" s="449"/>
      <c r="FT20" s="449"/>
      <c r="FU20" s="449"/>
      <c r="FV20" s="449"/>
      <c r="FW20" s="449"/>
      <c r="FX20" s="449"/>
      <c r="FY20" s="449"/>
      <c r="FZ20" s="449"/>
      <c r="GA20" s="449"/>
      <c r="GB20" s="449"/>
      <c r="GC20" s="449"/>
      <c r="GD20" s="449"/>
      <c r="GE20" s="449"/>
      <c r="GF20" s="449"/>
      <c r="GG20" s="449"/>
      <c r="GH20" s="449"/>
      <c r="GI20" s="449"/>
      <c r="GJ20" s="449"/>
      <c r="GK20" s="449"/>
      <c r="GL20" s="449"/>
      <c r="GM20" s="449"/>
      <c r="GN20" s="449"/>
      <c r="GO20" s="449"/>
      <c r="GP20" s="449"/>
      <c r="GQ20" s="449"/>
      <c r="GR20" s="449"/>
      <c r="GS20" s="449"/>
      <c r="GT20" s="449"/>
      <c r="GU20" s="449"/>
      <c r="GV20" s="449"/>
      <c r="GW20" s="449"/>
      <c r="GX20" s="449"/>
      <c r="GY20" s="449"/>
      <c r="GZ20" s="449"/>
      <c r="HA20" s="449"/>
      <c r="HB20" s="449"/>
      <c r="HC20" s="449"/>
      <c r="HD20" s="449"/>
      <c r="HE20" s="449"/>
      <c r="HF20" s="449"/>
      <c r="HG20" s="449"/>
      <c r="HH20" s="449"/>
      <c r="HI20" s="449"/>
      <c r="HJ20" s="449"/>
      <c r="HK20" s="449"/>
      <c r="HL20" s="449"/>
      <c r="HM20" s="449"/>
      <c r="HN20" s="449"/>
      <c r="HO20" s="449"/>
      <c r="HP20" s="449"/>
      <c r="HQ20" s="449"/>
      <c r="HR20" s="449"/>
      <c r="HS20" s="449"/>
      <c r="HT20" s="449"/>
      <c r="HU20" s="449"/>
      <c r="HV20" s="449"/>
      <c r="HW20" s="449"/>
      <c r="HX20" s="449"/>
      <c r="HY20" s="449"/>
      <c r="HZ20" s="449"/>
      <c r="IA20" s="449"/>
      <c r="IB20" s="449"/>
      <c r="IC20" s="449"/>
      <c r="ID20" s="449"/>
      <c r="IE20" s="449"/>
      <c r="IF20" s="449"/>
      <c r="IG20" s="449"/>
      <c r="IH20" s="449"/>
      <c r="II20" s="449"/>
      <c r="IJ20" s="449"/>
      <c r="IK20" s="449"/>
      <c r="IL20" s="449"/>
      <c r="IM20" s="449"/>
      <c r="IN20" s="449"/>
      <c r="IO20" s="449"/>
      <c r="IP20" s="449"/>
      <c r="IQ20" s="449"/>
      <c r="IR20" s="449"/>
      <c r="IS20" s="449"/>
      <c r="IT20" s="449"/>
      <c r="IU20" s="449"/>
      <c r="IV20" s="449"/>
      <c r="IW20" s="449"/>
    </row>
    <row r="21" customFormat="false" ht="12.75" hidden="false" customHeight="false" outlineLevel="0" collapsed="false">
      <c r="A21" s="461" t="n">
        <f aca="false">A20+1</f>
        <v>18</v>
      </c>
      <c r="B21" s="466"/>
      <c r="C21" s="467" t="str">
        <f aca="false">'Plant Configuration'!C26</f>
        <v>Operations Manager</v>
      </c>
      <c r="D21" s="449"/>
      <c r="E21" s="468" t="n">
        <v>70000</v>
      </c>
      <c r="F21" s="468" t="n">
        <v>70000</v>
      </c>
      <c r="G21" s="468" t="n">
        <v>70000</v>
      </c>
      <c r="H21" s="468" t="n">
        <v>70000</v>
      </c>
      <c r="I21" s="468" t="n">
        <v>70000</v>
      </c>
      <c r="J21" s="468" t="n">
        <v>70000</v>
      </c>
      <c r="K21" s="468"/>
      <c r="L21" s="468"/>
      <c r="M21" s="468"/>
      <c r="N21" s="468"/>
      <c r="O21" s="468"/>
      <c r="P21" s="468"/>
      <c r="Q21" s="468"/>
      <c r="R21" s="468"/>
      <c r="S21" s="468"/>
      <c r="T21" s="449"/>
      <c r="U21" s="449"/>
      <c r="V21" s="449"/>
      <c r="W21" s="449"/>
      <c r="X21" s="449"/>
      <c r="Y21" s="449"/>
      <c r="Z21" s="449"/>
      <c r="AA21" s="449"/>
      <c r="AB21" s="449"/>
      <c r="AC21" s="449"/>
      <c r="AD21" s="449"/>
      <c r="AE21" s="449"/>
      <c r="AF21" s="449"/>
      <c r="AG21" s="449"/>
      <c r="AH21" s="449"/>
      <c r="AI21" s="449"/>
      <c r="AJ21" s="449"/>
      <c r="AK21" s="449"/>
      <c r="AL21" s="449"/>
      <c r="AM21" s="449"/>
      <c r="AN21" s="449"/>
      <c r="AO21" s="449"/>
      <c r="AP21" s="449"/>
      <c r="AQ21" s="449"/>
      <c r="AR21" s="449"/>
      <c r="AS21" s="449"/>
      <c r="AT21" s="449"/>
      <c r="AU21" s="449"/>
      <c r="AV21" s="449"/>
      <c r="AW21" s="449"/>
      <c r="AX21" s="449"/>
      <c r="AY21" s="449"/>
      <c r="AZ21" s="449"/>
      <c r="BA21" s="449"/>
      <c r="BB21" s="449"/>
      <c r="BC21" s="449"/>
      <c r="BD21" s="449"/>
      <c r="BE21" s="449"/>
      <c r="BF21" s="449"/>
      <c r="BG21" s="449"/>
      <c r="BH21" s="449"/>
      <c r="BI21" s="449"/>
      <c r="BJ21" s="449"/>
      <c r="BK21" s="449"/>
      <c r="BL21" s="449"/>
      <c r="BM21" s="449"/>
      <c r="BN21" s="449"/>
      <c r="BO21" s="449"/>
      <c r="BP21" s="449"/>
      <c r="BQ21" s="449"/>
      <c r="BR21" s="449"/>
      <c r="BS21" s="449"/>
      <c r="BT21" s="449"/>
      <c r="BU21" s="449"/>
      <c r="BV21" s="449"/>
      <c r="BW21" s="449"/>
      <c r="BX21" s="449"/>
      <c r="BY21" s="449"/>
      <c r="BZ21" s="449"/>
      <c r="CA21" s="449"/>
      <c r="CB21" s="449"/>
      <c r="CC21" s="449"/>
      <c r="CD21" s="449"/>
      <c r="CE21" s="449"/>
      <c r="CF21" s="449"/>
      <c r="CG21" s="449"/>
      <c r="CH21" s="449"/>
      <c r="CI21" s="449"/>
      <c r="CJ21" s="449"/>
      <c r="CK21" s="449"/>
      <c r="CL21" s="449"/>
      <c r="CM21" s="449"/>
      <c r="CN21" s="449"/>
      <c r="CO21" s="449"/>
      <c r="CP21" s="449"/>
      <c r="CQ21" s="449"/>
      <c r="CR21" s="449"/>
      <c r="CS21" s="449"/>
      <c r="CT21" s="449"/>
      <c r="CU21" s="449"/>
      <c r="CV21" s="449"/>
      <c r="CW21" s="449"/>
      <c r="CX21" s="449"/>
      <c r="CY21" s="449"/>
      <c r="CZ21" s="449"/>
      <c r="DA21" s="449"/>
      <c r="DB21" s="449"/>
      <c r="DC21" s="449"/>
      <c r="DD21" s="449"/>
      <c r="DE21" s="449"/>
      <c r="DF21" s="449"/>
      <c r="DG21" s="449"/>
      <c r="DH21" s="449"/>
      <c r="DI21" s="449"/>
      <c r="DJ21" s="449"/>
      <c r="DK21" s="449"/>
      <c r="DL21" s="449"/>
      <c r="DM21" s="449"/>
      <c r="DN21" s="449"/>
      <c r="DO21" s="449"/>
      <c r="DP21" s="449"/>
      <c r="DQ21" s="449"/>
      <c r="DR21" s="449"/>
      <c r="DS21" s="449"/>
      <c r="DT21" s="449"/>
      <c r="DU21" s="449"/>
      <c r="DV21" s="449"/>
      <c r="DW21" s="449"/>
      <c r="DX21" s="449"/>
      <c r="DY21" s="449"/>
      <c r="DZ21" s="449"/>
      <c r="EA21" s="449"/>
      <c r="EB21" s="449"/>
      <c r="EC21" s="449"/>
      <c r="ED21" s="449"/>
      <c r="EE21" s="449"/>
      <c r="EF21" s="449"/>
      <c r="EG21" s="449"/>
      <c r="EH21" s="449"/>
      <c r="EI21" s="449"/>
      <c r="EJ21" s="449"/>
      <c r="EK21" s="449"/>
      <c r="EL21" s="449"/>
      <c r="EM21" s="449"/>
      <c r="EN21" s="449"/>
      <c r="EO21" s="449"/>
      <c r="EP21" s="449"/>
      <c r="EQ21" s="449"/>
      <c r="ER21" s="449"/>
      <c r="ES21" s="449"/>
      <c r="ET21" s="449"/>
      <c r="EU21" s="449"/>
      <c r="EV21" s="449"/>
      <c r="EW21" s="449"/>
      <c r="EX21" s="449"/>
      <c r="EY21" s="449"/>
      <c r="EZ21" s="449"/>
      <c r="FA21" s="449"/>
      <c r="FB21" s="449"/>
      <c r="FC21" s="449"/>
      <c r="FD21" s="449"/>
      <c r="FE21" s="449"/>
      <c r="FF21" s="449"/>
      <c r="FG21" s="449"/>
      <c r="FH21" s="449"/>
      <c r="FI21" s="449"/>
      <c r="FJ21" s="449"/>
      <c r="FK21" s="449"/>
      <c r="FL21" s="449"/>
      <c r="FM21" s="449"/>
      <c r="FN21" s="449"/>
      <c r="FO21" s="449"/>
      <c r="FP21" s="449"/>
      <c r="FQ21" s="449"/>
      <c r="FR21" s="449"/>
      <c r="FS21" s="449"/>
      <c r="FT21" s="449"/>
      <c r="FU21" s="449"/>
      <c r="FV21" s="449"/>
      <c r="FW21" s="449"/>
      <c r="FX21" s="449"/>
      <c r="FY21" s="449"/>
      <c r="FZ21" s="449"/>
      <c r="GA21" s="449"/>
      <c r="GB21" s="449"/>
      <c r="GC21" s="449"/>
      <c r="GD21" s="449"/>
      <c r="GE21" s="449"/>
      <c r="GF21" s="449"/>
      <c r="GG21" s="449"/>
      <c r="GH21" s="449"/>
      <c r="GI21" s="449"/>
      <c r="GJ21" s="449"/>
      <c r="GK21" s="449"/>
      <c r="GL21" s="449"/>
      <c r="GM21" s="449"/>
      <c r="GN21" s="449"/>
      <c r="GO21" s="449"/>
      <c r="GP21" s="449"/>
      <c r="GQ21" s="449"/>
      <c r="GR21" s="449"/>
      <c r="GS21" s="449"/>
      <c r="GT21" s="449"/>
      <c r="GU21" s="449"/>
      <c r="GV21" s="449"/>
      <c r="GW21" s="449"/>
      <c r="GX21" s="449"/>
      <c r="GY21" s="449"/>
      <c r="GZ21" s="449"/>
      <c r="HA21" s="449"/>
      <c r="HB21" s="449"/>
      <c r="HC21" s="449"/>
      <c r="HD21" s="449"/>
      <c r="HE21" s="449"/>
      <c r="HF21" s="449"/>
      <c r="HG21" s="449"/>
      <c r="HH21" s="449"/>
      <c r="HI21" s="449"/>
      <c r="HJ21" s="449"/>
      <c r="HK21" s="449"/>
      <c r="HL21" s="449"/>
      <c r="HM21" s="449"/>
      <c r="HN21" s="449"/>
      <c r="HO21" s="449"/>
      <c r="HP21" s="449"/>
      <c r="HQ21" s="449"/>
      <c r="HR21" s="449"/>
      <c r="HS21" s="449"/>
      <c r="HT21" s="449"/>
      <c r="HU21" s="449"/>
      <c r="HV21" s="449"/>
      <c r="HW21" s="449"/>
      <c r="HX21" s="449"/>
      <c r="HY21" s="449"/>
      <c r="HZ21" s="449"/>
      <c r="IA21" s="449"/>
      <c r="IB21" s="449"/>
      <c r="IC21" s="449"/>
      <c r="ID21" s="449"/>
      <c r="IE21" s="449"/>
      <c r="IF21" s="449"/>
      <c r="IG21" s="449"/>
      <c r="IH21" s="449"/>
      <c r="II21" s="449"/>
      <c r="IJ21" s="449"/>
      <c r="IK21" s="449"/>
      <c r="IL21" s="449"/>
      <c r="IM21" s="449"/>
      <c r="IN21" s="449"/>
      <c r="IO21" s="449"/>
      <c r="IP21" s="449"/>
      <c r="IQ21" s="449"/>
      <c r="IR21" s="449"/>
      <c r="IS21" s="449"/>
      <c r="IT21" s="449"/>
      <c r="IU21" s="449"/>
      <c r="IV21" s="449"/>
      <c r="IW21" s="449"/>
    </row>
    <row r="22" customFormat="false" ht="12.75" hidden="false" customHeight="false" outlineLevel="0" collapsed="false">
      <c r="A22" s="461" t="n">
        <f aca="false">A21+1</f>
        <v>19</v>
      </c>
      <c r="B22" s="466"/>
      <c r="C22" s="467" t="str">
        <f aca="false">'Plant Configuration'!C27</f>
        <v>Operations Shift Supervisors</v>
      </c>
      <c r="D22" s="449"/>
      <c r="E22" s="468" t="n">
        <v>60000</v>
      </c>
      <c r="F22" s="468" t="n">
        <v>60000</v>
      </c>
      <c r="G22" s="468" t="n">
        <v>60000</v>
      </c>
      <c r="H22" s="468" t="n">
        <v>60000</v>
      </c>
      <c r="I22" s="468" t="n">
        <v>60000</v>
      </c>
      <c r="J22" s="468" t="n">
        <v>60000</v>
      </c>
      <c r="K22" s="468"/>
      <c r="L22" s="468"/>
      <c r="M22" s="468"/>
      <c r="N22" s="468"/>
      <c r="O22" s="468"/>
      <c r="P22" s="468"/>
      <c r="Q22" s="468"/>
      <c r="R22" s="468"/>
      <c r="S22" s="468"/>
      <c r="T22" s="449"/>
      <c r="U22" s="449"/>
      <c r="V22" s="449"/>
      <c r="W22" s="449"/>
      <c r="X22" s="449"/>
      <c r="Y22" s="449"/>
      <c r="Z22" s="449"/>
      <c r="AA22" s="449"/>
      <c r="AB22" s="449"/>
      <c r="AC22" s="449"/>
      <c r="AD22" s="449"/>
      <c r="AE22" s="449"/>
      <c r="AF22" s="449"/>
      <c r="AG22" s="449"/>
      <c r="AH22" s="449"/>
      <c r="AI22" s="449"/>
      <c r="AJ22" s="449"/>
      <c r="AK22" s="449"/>
      <c r="AL22" s="449"/>
      <c r="AM22" s="449"/>
      <c r="AN22" s="449"/>
      <c r="AO22" s="449"/>
      <c r="AP22" s="449"/>
      <c r="AQ22" s="449"/>
      <c r="AR22" s="449"/>
      <c r="AS22" s="449"/>
      <c r="AT22" s="449"/>
      <c r="AU22" s="449"/>
      <c r="AV22" s="449"/>
      <c r="AW22" s="449"/>
      <c r="AX22" s="449"/>
      <c r="AY22" s="449"/>
      <c r="AZ22" s="449"/>
      <c r="BA22" s="449"/>
      <c r="BB22" s="449"/>
      <c r="BC22" s="449"/>
      <c r="BD22" s="449"/>
      <c r="BE22" s="449"/>
      <c r="BF22" s="449"/>
      <c r="BG22" s="449"/>
      <c r="BH22" s="449"/>
      <c r="BI22" s="449"/>
      <c r="BJ22" s="449"/>
      <c r="BK22" s="449"/>
      <c r="BL22" s="449"/>
      <c r="BM22" s="449"/>
      <c r="BN22" s="449"/>
      <c r="BO22" s="449"/>
      <c r="BP22" s="449"/>
      <c r="BQ22" s="449"/>
      <c r="BR22" s="449"/>
      <c r="BS22" s="449"/>
      <c r="BT22" s="449"/>
      <c r="BU22" s="449"/>
      <c r="BV22" s="449"/>
      <c r="BW22" s="449"/>
      <c r="BX22" s="449"/>
      <c r="BY22" s="449"/>
      <c r="BZ22" s="449"/>
      <c r="CA22" s="449"/>
      <c r="CB22" s="449"/>
      <c r="CC22" s="449"/>
      <c r="CD22" s="449"/>
      <c r="CE22" s="449"/>
      <c r="CF22" s="449"/>
      <c r="CG22" s="449"/>
      <c r="CH22" s="449"/>
      <c r="CI22" s="449"/>
      <c r="CJ22" s="449"/>
      <c r="CK22" s="449"/>
      <c r="CL22" s="449"/>
      <c r="CM22" s="449"/>
      <c r="CN22" s="449"/>
      <c r="CO22" s="449"/>
      <c r="CP22" s="449"/>
      <c r="CQ22" s="449"/>
      <c r="CR22" s="449"/>
      <c r="CS22" s="449"/>
      <c r="CT22" s="449"/>
      <c r="CU22" s="449"/>
      <c r="CV22" s="449"/>
      <c r="CW22" s="449"/>
      <c r="CX22" s="449"/>
      <c r="CY22" s="449"/>
      <c r="CZ22" s="449"/>
      <c r="DA22" s="449"/>
      <c r="DB22" s="449"/>
      <c r="DC22" s="449"/>
      <c r="DD22" s="449"/>
      <c r="DE22" s="449"/>
      <c r="DF22" s="449"/>
      <c r="DG22" s="449"/>
      <c r="DH22" s="449"/>
      <c r="DI22" s="449"/>
      <c r="DJ22" s="449"/>
      <c r="DK22" s="449"/>
      <c r="DL22" s="449"/>
      <c r="DM22" s="449"/>
      <c r="DN22" s="449"/>
      <c r="DO22" s="449"/>
      <c r="DP22" s="449"/>
      <c r="DQ22" s="449"/>
      <c r="DR22" s="449"/>
      <c r="DS22" s="449"/>
      <c r="DT22" s="449"/>
      <c r="DU22" s="449"/>
      <c r="DV22" s="449"/>
      <c r="DW22" s="449"/>
      <c r="DX22" s="449"/>
      <c r="DY22" s="449"/>
      <c r="DZ22" s="449"/>
      <c r="EA22" s="449"/>
      <c r="EB22" s="449"/>
      <c r="EC22" s="449"/>
      <c r="ED22" s="449"/>
      <c r="EE22" s="449"/>
      <c r="EF22" s="449"/>
      <c r="EG22" s="449"/>
      <c r="EH22" s="449"/>
      <c r="EI22" s="449"/>
      <c r="EJ22" s="449"/>
      <c r="EK22" s="449"/>
      <c r="EL22" s="449"/>
      <c r="EM22" s="449"/>
      <c r="EN22" s="449"/>
      <c r="EO22" s="449"/>
      <c r="EP22" s="449"/>
      <c r="EQ22" s="449"/>
      <c r="ER22" s="449"/>
      <c r="ES22" s="449"/>
      <c r="ET22" s="449"/>
      <c r="EU22" s="449"/>
      <c r="EV22" s="449"/>
      <c r="EW22" s="449"/>
      <c r="EX22" s="449"/>
      <c r="EY22" s="449"/>
      <c r="EZ22" s="449"/>
      <c r="FA22" s="449"/>
      <c r="FB22" s="449"/>
      <c r="FC22" s="449"/>
      <c r="FD22" s="449"/>
      <c r="FE22" s="449"/>
      <c r="FF22" s="449"/>
      <c r="FG22" s="449"/>
      <c r="FH22" s="449"/>
      <c r="FI22" s="449"/>
      <c r="FJ22" s="449"/>
      <c r="FK22" s="449"/>
      <c r="FL22" s="449"/>
      <c r="FM22" s="449"/>
      <c r="FN22" s="449"/>
      <c r="FO22" s="449"/>
      <c r="FP22" s="449"/>
      <c r="FQ22" s="449"/>
      <c r="FR22" s="449"/>
      <c r="FS22" s="449"/>
      <c r="FT22" s="449"/>
      <c r="FU22" s="449"/>
      <c r="FV22" s="449"/>
      <c r="FW22" s="449"/>
      <c r="FX22" s="449"/>
      <c r="FY22" s="449"/>
      <c r="FZ22" s="449"/>
      <c r="GA22" s="449"/>
      <c r="GB22" s="449"/>
      <c r="GC22" s="449"/>
      <c r="GD22" s="449"/>
      <c r="GE22" s="449"/>
      <c r="GF22" s="449"/>
      <c r="GG22" s="449"/>
      <c r="GH22" s="449"/>
      <c r="GI22" s="449"/>
      <c r="GJ22" s="449"/>
      <c r="GK22" s="449"/>
      <c r="GL22" s="449"/>
      <c r="GM22" s="449"/>
      <c r="GN22" s="449"/>
      <c r="GO22" s="449"/>
      <c r="GP22" s="449"/>
      <c r="GQ22" s="449"/>
      <c r="GR22" s="449"/>
      <c r="GS22" s="449"/>
      <c r="GT22" s="449"/>
      <c r="GU22" s="449"/>
      <c r="GV22" s="449"/>
      <c r="GW22" s="449"/>
      <c r="GX22" s="449"/>
      <c r="GY22" s="449"/>
      <c r="GZ22" s="449"/>
      <c r="HA22" s="449"/>
      <c r="HB22" s="449"/>
      <c r="HC22" s="449"/>
      <c r="HD22" s="449"/>
      <c r="HE22" s="449"/>
      <c r="HF22" s="449"/>
      <c r="HG22" s="449"/>
      <c r="HH22" s="449"/>
      <c r="HI22" s="449"/>
      <c r="HJ22" s="449"/>
      <c r="HK22" s="449"/>
      <c r="HL22" s="449"/>
      <c r="HM22" s="449"/>
      <c r="HN22" s="449"/>
      <c r="HO22" s="449"/>
      <c r="HP22" s="449"/>
      <c r="HQ22" s="449"/>
      <c r="HR22" s="449"/>
      <c r="HS22" s="449"/>
      <c r="HT22" s="449"/>
      <c r="HU22" s="449"/>
      <c r="HV22" s="449"/>
      <c r="HW22" s="449"/>
      <c r="HX22" s="449"/>
      <c r="HY22" s="449"/>
      <c r="HZ22" s="449"/>
      <c r="IA22" s="449"/>
      <c r="IB22" s="449"/>
      <c r="IC22" s="449"/>
      <c r="ID22" s="449"/>
      <c r="IE22" s="449"/>
      <c r="IF22" s="449"/>
      <c r="IG22" s="449"/>
      <c r="IH22" s="449"/>
      <c r="II22" s="449"/>
      <c r="IJ22" s="449"/>
      <c r="IK22" s="449"/>
      <c r="IL22" s="449"/>
      <c r="IM22" s="449"/>
      <c r="IN22" s="449"/>
      <c r="IO22" s="449"/>
      <c r="IP22" s="449"/>
      <c r="IQ22" s="449"/>
      <c r="IR22" s="449"/>
      <c r="IS22" s="449"/>
      <c r="IT22" s="449"/>
      <c r="IU22" s="449"/>
      <c r="IV22" s="449"/>
      <c r="IW22" s="449"/>
    </row>
    <row r="23" customFormat="false" ht="12.75" hidden="false" customHeight="false" outlineLevel="0" collapsed="false">
      <c r="A23" s="461" t="n">
        <f aca="false">A22+1</f>
        <v>20</v>
      </c>
      <c r="B23" s="466"/>
      <c r="C23" s="467" t="str">
        <f aca="false">'Plant Configuration'!C28</f>
        <v>Control Room Operators</v>
      </c>
      <c r="D23" s="449"/>
      <c r="E23" s="468" t="n">
        <v>55000</v>
      </c>
      <c r="F23" s="468" t="n">
        <v>55000</v>
      </c>
      <c r="G23" s="468" t="n">
        <v>55000</v>
      </c>
      <c r="H23" s="468" t="n">
        <v>55000</v>
      </c>
      <c r="I23" s="468" t="n">
        <v>55000</v>
      </c>
      <c r="J23" s="468" t="n">
        <v>55000</v>
      </c>
      <c r="K23" s="468"/>
      <c r="L23" s="468"/>
      <c r="M23" s="468"/>
      <c r="N23" s="468"/>
      <c r="O23" s="468"/>
      <c r="P23" s="468"/>
      <c r="Q23" s="468"/>
      <c r="R23" s="468"/>
      <c r="S23" s="468"/>
      <c r="T23" s="449"/>
      <c r="U23" s="449"/>
      <c r="V23" s="449"/>
      <c r="W23" s="449"/>
      <c r="X23" s="449"/>
      <c r="Y23" s="449"/>
      <c r="Z23" s="449"/>
      <c r="AA23" s="449"/>
      <c r="AB23" s="449"/>
      <c r="AC23" s="449"/>
      <c r="AD23" s="449"/>
      <c r="AE23" s="449"/>
      <c r="AF23" s="449"/>
      <c r="AG23" s="449"/>
      <c r="AH23" s="449"/>
      <c r="AI23" s="449"/>
      <c r="AJ23" s="449"/>
      <c r="AK23" s="449"/>
      <c r="AL23" s="449"/>
      <c r="AM23" s="449"/>
      <c r="AN23" s="449"/>
      <c r="AO23" s="449"/>
      <c r="AP23" s="449"/>
      <c r="AQ23" s="449"/>
      <c r="AR23" s="449"/>
      <c r="AS23" s="449"/>
      <c r="AT23" s="449"/>
      <c r="AU23" s="449"/>
      <c r="AV23" s="449"/>
      <c r="AW23" s="449"/>
      <c r="AX23" s="449"/>
      <c r="AY23" s="449"/>
      <c r="AZ23" s="449"/>
      <c r="BA23" s="449"/>
      <c r="BB23" s="449"/>
      <c r="BC23" s="449"/>
      <c r="BD23" s="449"/>
      <c r="BE23" s="449"/>
      <c r="BF23" s="449"/>
      <c r="BG23" s="449"/>
      <c r="BH23" s="449"/>
      <c r="BI23" s="449"/>
      <c r="BJ23" s="449"/>
      <c r="BK23" s="449"/>
      <c r="BL23" s="449"/>
      <c r="BM23" s="449"/>
      <c r="BN23" s="449"/>
      <c r="BO23" s="449"/>
      <c r="BP23" s="449"/>
      <c r="BQ23" s="449"/>
      <c r="BR23" s="449"/>
      <c r="BS23" s="449"/>
      <c r="BT23" s="449"/>
      <c r="BU23" s="449"/>
      <c r="BV23" s="449"/>
      <c r="BW23" s="449"/>
      <c r="BX23" s="449"/>
      <c r="BY23" s="449"/>
      <c r="BZ23" s="449"/>
      <c r="CA23" s="449"/>
      <c r="CB23" s="449"/>
      <c r="CC23" s="449"/>
      <c r="CD23" s="449"/>
      <c r="CE23" s="449"/>
      <c r="CF23" s="449"/>
      <c r="CG23" s="449"/>
      <c r="CH23" s="449"/>
      <c r="CI23" s="449"/>
      <c r="CJ23" s="449"/>
      <c r="CK23" s="449"/>
      <c r="CL23" s="449"/>
      <c r="CM23" s="449"/>
      <c r="CN23" s="449"/>
      <c r="CO23" s="449"/>
      <c r="CP23" s="449"/>
      <c r="CQ23" s="449"/>
      <c r="CR23" s="449"/>
      <c r="CS23" s="449"/>
      <c r="CT23" s="449"/>
      <c r="CU23" s="449"/>
      <c r="CV23" s="449"/>
      <c r="CW23" s="449"/>
      <c r="CX23" s="449"/>
      <c r="CY23" s="449"/>
      <c r="CZ23" s="449"/>
      <c r="DA23" s="449"/>
      <c r="DB23" s="449"/>
      <c r="DC23" s="449"/>
      <c r="DD23" s="449"/>
      <c r="DE23" s="449"/>
      <c r="DF23" s="449"/>
      <c r="DG23" s="449"/>
      <c r="DH23" s="449"/>
      <c r="DI23" s="449"/>
      <c r="DJ23" s="449"/>
      <c r="DK23" s="449"/>
      <c r="DL23" s="449"/>
      <c r="DM23" s="449"/>
      <c r="DN23" s="449"/>
      <c r="DO23" s="449"/>
      <c r="DP23" s="449"/>
      <c r="DQ23" s="449"/>
      <c r="DR23" s="449"/>
      <c r="DS23" s="449"/>
      <c r="DT23" s="449"/>
      <c r="DU23" s="449"/>
      <c r="DV23" s="449"/>
      <c r="DW23" s="449"/>
      <c r="DX23" s="449"/>
      <c r="DY23" s="449"/>
      <c r="DZ23" s="449"/>
      <c r="EA23" s="449"/>
      <c r="EB23" s="449"/>
      <c r="EC23" s="449"/>
      <c r="ED23" s="449"/>
      <c r="EE23" s="449"/>
      <c r="EF23" s="449"/>
      <c r="EG23" s="449"/>
      <c r="EH23" s="449"/>
      <c r="EI23" s="449"/>
      <c r="EJ23" s="449"/>
      <c r="EK23" s="449"/>
      <c r="EL23" s="449"/>
      <c r="EM23" s="449"/>
      <c r="EN23" s="449"/>
      <c r="EO23" s="449"/>
      <c r="EP23" s="449"/>
      <c r="EQ23" s="449"/>
      <c r="ER23" s="449"/>
      <c r="ES23" s="449"/>
      <c r="ET23" s="449"/>
      <c r="EU23" s="449"/>
      <c r="EV23" s="449"/>
      <c r="EW23" s="449"/>
      <c r="EX23" s="449"/>
      <c r="EY23" s="449"/>
      <c r="EZ23" s="449"/>
      <c r="FA23" s="449"/>
      <c r="FB23" s="449"/>
      <c r="FC23" s="449"/>
      <c r="FD23" s="449"/>
      <c r="FE23" s="449"/>
      <c r="FF23" s="449"/>
      <c r="FG23" s="449"/>
      <c r="FH23" s="449"/>
      <c r="FI23" s="449"/>
      <c r="FJ23" s="449"/>
      <c r="FK23" s="449"/>
      <c r="FL23" s="449"/>
      <c r="FM23" s="449"/>
      <c r="FN23" s="449"/>
      <c r="FO23" s="449"/>
      <c r="FP23" s="449"/>
      <c r="FQ23" s="449"/>
      <c r="FR23" s="449"/>
      <c r="FS23" s="449"/>
      <c r="FT23" s="449"/>
      <c r="FU23" s="449"/>
      <c r="FV23" s="449"/>
      <c r="FW23" s="449"/>
      <c r="FX23" s="449"/>
      <c r="FY23" s="449"/>
      <c r="FZ23" s="449"/>
      <c r="GA23" s="449"/>
      <c r="GB23" s="449"/>
      <c r="GC23" s="449"/>
      <c r="GD23" s="449"/>
      <c r="GE23" s="449"/>
      <c r="GF23" s="449"/>
      <c r="GG23" s="449"/>
      <c r="GH23" s="449"/>
      <c r="GI23" s="449"/>
      <c r="GJ23" s="449"/>
      <c r="GK23" s="449"/>
      <c r="GL23" s="449"/>
      <c r="GM23" s="449"/>
      <c r="GN23" s="449"/>
      <c r="GO23" s="449"/>
      <c r="GP23" s="449"/>
      <c r="GQ23" s="449"/>
      <c r="GR23" s="449"/>
      <c r="GS23" s="449"/>
      <c r="GT23" s="449"/>
      <c r="GU23" s="449"/>
      <c r="GV23" s="449"/>
      <c r="GW23" s="449"/>
      <c r="GX23" s="449"/>
      <c r="GY23" s="449"/>
      <c r="GZ23" s="449"/>
      <c r="HA23" s="449"/>
      <c r="HB23" s="449"/>
      <c r="HC23" s="449"/>
      <c r="HD23" s="449"/>
      <c r="HE23" s="449"/>
      <c r="HF23" s="449"/>
      <c r="HG23" s="449"/>
      <c r="HH23" s="449"/>
      <c r="HI23" s="449"/>
      <c r="HJ23" s="449"/>
      <c r="HK23" s="449"/>
      <c r="HL23" s="449"/>
      <c r="HM23" s="449"/>
      <c r="HN23" s="449"/>
      <c r="HO23" s="449"/>
      <c r="HP23" s="449"/>
      <c r="HQ23" s="449"/>
      <c r="HR23" s="449"/>
      <c r="HS23" s="449"/>
      <c r="HT23" s="449"/>
      <c r="HU23" s="449"/>
      <c r="HV23" s="449"/>
      <c r="HW23" s="449"/>
      <c r="HX23" s="449"/>
      <c r="HY23" s="449"/>
      <c r="HZ23" s="449"/>
      <c r="IA23" s="449"/>
      <c r="IB23" s="449"/>
      <c r="IC23" s="449"/>
      <c r="ID23" s="449"/>
      <c r="IE23" s="449"/>
      <c r="IF23" s="449"/>
      <c r="IG23" s="449"/>
      <c r="IH23" s="449"/>
      <c r="II23" s="449"/>
      <c r="IJ23" s="449"/>
      <c r="IK23" s="449"/>
      <c r="IL23" s="449"/>
      <c r="IM23" s="449"/>
      <c r="IN23" s="449"/>
      <c r="IO23" s="449"/>
      <c r="IP23" s="449"/>
      <c r="IQ23" s="449"/>
      <c r="IR23" s="449"/>
      <c r="IS23" s="449"/>
      <c r="IT23" s="449"/>
      <c r="IU23" s="449"/>
      <c r="IV23" s="449"/>
      <c r="IW23" s="449"/>
    </row>
    <row r="24" customFormat="false" ht="12.75" hidden="false" customHeight="false" outlineLevel="0" collapsed="false">
      <c r="A24" s="461" t="n">
        <f aca="false">A23+1</f>
        <v>21</v>
      </c>
      <c r="B24" s="466"/>
      <c r="C24" s="467" t="str">
        <f aca="false">'Plant Configuration'!C29</f>
        <v>Turbine Operators</v>
      </c>
      <c r="D24" s="449"/>
      <c r="E24" s="468" t="n">
        <v>45000</v>
      </c>
      <c r="F24" s="468" t="n">
        <v>45000</v>
      </c>
      <c r="G24" s="468" t="n">
        <v>45000</v>
      </c>
      <c r="H24" s="468" t="n">
        <v>45000</v>
      </c>
      <c r="I24" s="468" t="n">
        <v>45000</v>
      </c>
      <c r="J24" s="468" t="n">
        <v>45000</v>
      </c>
      <c r="K24" s="468"/>
      <c r="L24" s="468"/>
      <c r="M24" s="468"/>
      <c r="N24" s="468"/>
      <c r="O24" s="468"/>
      <c r="P24" s="468"/>
      <c r="Q24" s="468"/>
      <c r="R24" s="468"/>
      <c r="S24" s="468"/>
      <c r="T24" s="449"/>
      <c r="U24" s="449"/>
      <c r="V24" s="449"/>
      <c r="W24" s="449"/>
      <c r="X24" s="449"/>
      <c r="Y24" s="449"/>
      <c r="Z24" s="449"/>
      <c r="AA24" s="449"/>
      <c r="AB24" s="449"/>
      <c r="AC24" s="449"/>
      <c r="AD24" s="449"/>
      <c r="AE24" s="449"/>
      <c r="AF24" s="449"/>
      <c r="AG24" s="449"/>
      <c r="AH24" s="449"/>
      <c r="AI24" s="449"/>
      <c r="AJ24" s="449"/>
      <c r="AK24" s="449"/>
      <c r="AL24" s="449"/>
      <c r="AM24" s="449"/>
      <c r="AN24" s="449"/>
      <c r="AO24" s="449"/>
      <c r="AP24" s="449"/>
      <c r="AQ24" s="449"/>
      <c r="AR24" s="449"/>
      <c r="AS24" s="449"/>
      <c r="AT24" s="449"/>
      <c r="AU24" s="449"/>
      <c r="AV24" s="449"/>
      <c r="AW24" s="449"/>
      <c r="AX24" s="449"/>
      <c r="AY24" s="449"/>
      <c r="AZ24" s="449"/>
      <c r="BA24" s="449"/>
      <c r="BB24" s="449"/>
      <c r="BC24" s="449"/>
      <c r="BD24" s="449"/>
      <c r="BE24" s="449"/>
      <c r="BF24" s="449"/>
      <c r="BG24" s="449"/>
      <c r="BH24" s="449"/>
      <c r="BI24" s="449"/>
      <c r="BJ24" s="449"/>
      <c r="BK24" s="449"/>
      <c r="BL24" s="449"/>
      <c r="BM24" s="449"/>
      <c r="BN24" s="449"/>
      <c r="BO24" s="449"/>
      <c r="BP24" s="449"/>
      <c r="BQ24" s="449"/>
      <c r="BR24" s="449"/>
      <c r="BS24" s="449"/>
      <c r="BT24" s="449"/>
      <c r="BU24" s="449"/>
      <c r="BV24" s="449"/>
      <c r="BW24" s="449"/>
      <c r="BX24" s="449"/>
      <c r="BY24" s="449"/>
      <c r="BZ24" s="449"/>
      <c r="CA24" s="449"/>
      <c r="CB24" s="449"/>
      <c r="CC24" s="449"/>
      <c r="CD24" s="449"/>
      <c r="CE24" s="449"/>
      <c r="CF24" s="449"/>
      <c r="CG24" s="449"/>
      <c r="CH24" s="449"/>
      <c r="CI24" s="449"/>
      <c r="CJ24" s="449"/>
      <c r="CK24" s="449"/>
      <c r="CL24" s="449"/>
      <c r="CM24" s="449"/>
      <c r="CN24" s="449"/>
      <c r="CO24" s="449"/>
      <c r="CP24" s="449"/>
      <c r="CQ24" s="449"/>
      <c r="CR24" s="449"/>
      <c r="CS24" s="449"/>
      <c r="CT24" s="449"/>
      <c r="CU24" s="449"/>
      <c r="CV24" s="449"/>
      <c r="CW24" s="449"/>
      <c r="CX24" s="449"/>
      <c r="CY24" s="449"/>
      <c r="CZ24" s="449"/>
      <c r="DA24" s="449"/>
      <c r="DB24" s="449"/>
      <c r="DC24" s="449"/>
      <c r="DD24" s="449"/>
      <c r="DE24" s="449"/>
      <c r="DF24" s="449"/>
      <c r="DG24" s="449"/>
      <c r="DH24" s="449"/>
      <c r="DI24" s="449"/>
      <c r="DJ24" s="449"/>
      <c r="DK24" s="449"/>
      <c r="DL24" s="449"/>
      <c r="DM24" s="449"/>
      <c r="DN24" s="449"/>
      <c r="DO24" s="449"/>
      <c r="DP24" s="449"/>
      <c r="DQ24" s="449"/>
      <c r="DR24" s="449"/>
      <c r="DS24" s="449"/>
      <c r="DT24" s="449"/>
      <c r="DU24" s="449"/>
      <c r="DV24" s="449"/>
      <c r="DW24" s="449"/>
      <c r="DX24" s="449"/>
      <c r="DY24" s="449"/>
      <c r="DZ24" s="449"/>
      <c r="EA24" s="449"/>
      <c r="EB24" s="449"/>
      <c r="EC24" s="449"/>
      <c r="ED24" s="449"/>
      <c r="EE24" s="449"/>
      <c r="EF24" s="449"/>
      <c r="EG24" s="449"/>
      <c r="EH24" s="449"/>
      <c r="EI24" s="449"/>
      <c r="EJ24" s="449"/>
      <c r="EK24" s="449"/>
      <c r="EL24" s="449"/>
      <c r="EM24" s="449"/>
      <c r="EN24" s="449"/>
      <c r="EO24" s="449"/>
      <c r="EP24" s="449"/>
      <c r="EQ24" s="449"/>
      <c r="ER24" s="449"/>
      <c r="ES24" s="449"/>
      <c r="ET24" s="449"/>
      <c r="EU24" s="449"/>
      <c r="EV24" s="449"/>
      <c r="EW24" s="449"/>
      <c r="EX24" s="449"/>
      <c r="EY24" s="449"/>
      <c r="EZ24" s="449"/>
      <c r="FA24" s="449"/>
      <c r="FB24" s="449"/>
      <c r="FC24" s="449"/>
      <c r="FD24" s="449"/>
      <c r="FE24" s="449"/>
      <c r="FF24" s="449"/>
      <c r="FG24" s="449"/>
      <c r="FH24" s="449"/>
      <c r="FI24" s="449"/>
      <c r="FJ24" s="449"/>
      <c r="FK24" s="449"/>
      <c r="FL24" s="449"/>
      <c r="FM24" s="449"/>
      <c r="FN24" s="449"/>
      <c r="FO24" s="449"/>
      <c r="FP24" s="449"/>
      <c r="FQ24" s="449"/>
      <c r="FR24" s="449"/>
      <c r="FS24" s="449"/>
      <c r="FT24" s="449"/>
      <c r="FU24" s="449"/>
      <c r="FV24" s="449"/>
      <c r="FW24" s="449"/>
      <c r="FX24" s="449"/>
      <c r="FY24" s="449"/>
      <c r="FZ24" s="449"/>
      <c r="GA24" s="449"/>
      <c r="GB24" s="449"/>
      <c r="GC24" s="449"/>
      <c r="GD24" s="449"/>
      <c r="GE24" s="449"/>
      <c r="GF24" s="449"/>
      <c r="GG24" s="449"/>
      <c r="GH24" s="449"/>
      <c r="GI24" s="449"/>
      <c r="GJ24" s="449"/>
      <c r="GK24" s="449"/>
      <c r="GL24" s="449"/>
      <c r="GM24" s="449"/>
      <c r="GN24" s="449"/>
      <c r="GO24" s="449"/>
      <c r="GP24" s="449"/>
      <c r="GQ24" s="449"/>
      <c r="GR24" s="449"/>
      <c r="GS24" s="449"/>
      <c r="GT24" s="449"/>
      <c r="GU24" s="449"/>
      <c r="GV24" s="449"/>
      <c r="GW24" s="449"/>
      <c r="GX24" s="449"/>
      <c r="GY24" s="449"/>
      <c r="GZ24" s="449"/>
      <c r="HA24" s="449"/>
      <c r="HB24" s="449"/>
      <c r="HC24" s="449"/>
      <c r="HD24" s="449"/>
      <c r="HE24" s="449"/>
      <c r="HF24" s="449"/>
      <c r="HG24" s="449"/>
      <c r="HH24" s="449"/>
      <c r="HI24" s="449"/>
      <c r="HJ24" s="449"/>
      <c r="HK24" s="449"/>
      <c r="HL24" s="449"/>
      <c r="HM24" s="449"/>
      <c r="HN24" s="449"/>
      <c r="HO24" s="449"/>
      <c r="HP24" s="449"/>
      <c r="HQ24" s="449"/>
      <c r="HR24" s="449"/>
      <c r="HS24" s="449"/>
      <c r="HT24" s="449"/>
      <c r="HU24" s="449"/>
      <c r="HV24" s="449"/>
      <c r="HW24" s="449"/>
      <c r="HX24" s="449"/>
      <c r="HY24" s="449"/>
      <c r="HZ24" s="449"/>
      <c r="IA24" s="449"/>
      <c r="IB24" s="449"/>
      <c r="IC24" s="449"/>
      <c r="ID24" s="449"/>
      <c r="IE24" s="449"/>
      <c r="IF24" s="449"/>
      <c r="IG24" s="449"/>
      <c r="IH24" s="449"/>
      <c r="II24" s="449"/>
      <c r="IJ24" s="449"/>
      <c r="IK24" s="449"/>
      <c r="IL24" s="449"/>
      <c r="IM24" s="449"/>
      <c r="IN24" s="449"/>
      <c r="IO24" s="449"/>
      <c r="IP24" s="449"/>
      <c r="IQ24" s="449"/>
      <c r="IR24" s="449"/>
      <c r="IS24" s="449"/>
      <c r="IT24" s="449"/>
      <c r="IU24" s="449"/>
      <c r="IV24" s="449"/>
      <c r="IW24" s="449"/>
    </row>
    <row r="25" customFormat="false" ht="12.75" hidden="false" customHeight="false" outlineLevel="0" collapsed="false">
      <c r="A25" s="461" t="n">
        <f aca="false">A24+1</f>
        <v>22</v>
      </c>
      <c r="B25" s="466"/>
      <c r="C25" s="467" t="str">
        <f aca="false">'Plant Configuration'!C30</f>
        <v>Water System Opertors</v>
      </c>
      <c r="D25" s="449"/>
      <c r="E25" s="468" t="n">
        <v>35000</v>
      </c>
      <c r="F25" s="468" t="n">
        <v>35000</v>
      </c>
      <c r="G25" s="468" t="n">
        <v>35000</v>
      </c>
      <c r="H25" s="468" t="n">
        <v>35000</v>
      </c>
      <c r="I25" s="468" t="n">
        <v>35000</v>
      </c>
      <c r="J25" s="468" t="n">
        <v>35000</v>
      </c>
      <c r="K25" s="468"/>
      <c r="L25" s="468"/>
      <c r="M25" s="468"/>
      <c r="N25" s="468"/>
      <c r="O25" s="468"/>
      <c r="P25" s="468"/>
      <c r="Q25" s="468"/>
      <c r="R25" s="468"/>
      <c r="S25" s="468"/>
      <c r="T25" s="449"/>
      <c r="U25" s="449"/>
      <c r="V25" s="449"/>
      <c r="W25" s="449"/>
      <c r="X25" s="449"/>
      <c r="Y25" s="449"/>
      <c r="Z25" s="449"/>
      <c r="AA25" s="449"/>
      <c r="AB25" s="449"/>
      <c r="AC25" s="449"/>
      <c r="AD25" s="449"/>
      <c r="AE25" s="449"/>
      <c r="AF25" s="449"/>
      <c r="AG25" s="449"/>
      <c r="AH25" s="449"/>
      <c r="AI25" s="449"/>
      <c r="AJ25" s="449"/>
      <c r="AK25" s="449"/>
      <c r="AL25" s="449"/>
      <c r="AM25" s="449"/>
      <c r="AN25" s="449"/>
      <c r="AO25" s="449"/>
      <c r="AP25" s="449"/>
      <c r="AQ25" s="449"/>
      <c r="AR25" s="449"/>
      <c r="AS25" s="449"/>
      <c r="AT25" s="449"/>
      <c r="AU25" s="449"/>
      <c r="AV25" s="449"/>
      <c r="AW25" s="449"/>
      <c r="AX25" s="449"/>
      <c r="AY25" s="449"/>
      <c r="AZ25" s="449"/>
      <c r="BA25" s="449"/>
      <c r="BB25" s="449"/>
      <c r="BC25" s="449"/>
      <c r="BD25" s="449"/>
      <c r="BE25" s="449"/>
      <c r="BF25" s="449"/>
      <c r="BG25" s="449"/>
      <c r="BH25" s="449"/>
      <c r="BI25" s="449"/>
      <c r="BJ25" s="449"/>
      <c r="BK25" s="449"/>
      <c r="BL25" s="449"/>
      <c r="BM25" s="449"/>
      <c r="BN25" s="449"/>
      <c r="BO25" s="449"/>
      <c r="BP25" s="449"/>
      <c r="BQ25" s="449"/>
      <c r="BR25" s="449"/>
      <c r="BS25" s="449"/>
      <c r="BT25" s="449"/>
      <c r="BU25" s="449"/>
      <c r="BV25" s="449"/>
      <c r="BW25" s="449"/>
      <c r="BX25" s="449"/>
      <c r="BY25" s="449"/>
      <c r="BZ25" s="449"/>
      <c r="CA25" s="449"/>
      <c r="CB25" s="449"/>
      <c r="CC25" s="449"/>
      <c r="CD25" s="449"/>
      <c r="CE25" s="449"/>
      <c r="CF25" s="449"/>
      <c r="CG25" s="449"/>
      <c r="CH25" s="449"/>
      <c r="CI25" s="449"/>
      <c r="CJ25" s="449"/>
      <c r="CK25" s="449"/>
      <c r="CL25" s="449"/>
      <c r="CM25" s="449"/>
      <c r="CN25" s="449"/>
      <c r="CO25" s="449"/>
      <c r="CP25" s="449"/>
      <c r="CQ25" s="449"/>
      <c r="CR25" s="449"/>
      <c r="CS25" s="449"/>
      <c r="CT25" s="449"/>
      <c r="CU25" s="449"/>
      <c r="CV25" s="449"/>
      <c r="CW25" s="449"/>
      <c r="CX25" s="449"/>
      <c r="CY25" s="449"/>
      <c r="CZ25" s="449"/>
      <c r="DA25" s="449"/>
      <c r="DB25" s="449"/>
      <c r="DC25" s="449"/>
      <c r="DD25" s="449"/>
      <c r="DE25" s="449"/>
      <c r="DF25" s="449"/>
      <c r="DG25" s="449"/>
      <c r="DH25" s="449"/>
      <c r="DI25" s="449"/>
      <c r="DJ25" s="449"/>
      <c r="DK25" s="449"/>
      <c r="DL25" s="449"/>
      <c r="DM25" s="449"/>
      <c r="DN25" s="449"/>
      <c r="DO25" s="449"/>
      <c r="DP25" s="449"/>
      <c r="DQ25" s="449"/>
      <c r="DR25" s="449"/>
      <c r="DS25" s="449"/>
      <c r="DT25" s="449"/>
      <c r="DU25" s="449"/>
      <c r="DV25" s="449"/>
      <c r="DW25" s="449"/>
      <c r="DX25" s="449"/>
      <c r="DY25" s="449"/>
      <c r="DZ25" s="449"/>
      <c r="EA25" s="449"/>
      <c r="EB25" s="449"/>
      <c r="EC25" s="449"/>
      <c r="ED25" s="449"/>
      <c r="EE25" s="449"/>
      <c r="EF25" s="449"/>
      <c r="EG25" s="449"/>
      <c r="EH25" s="449"/>
      <c r="EI25" s="449"/>
      <c r="EJ25" s="449"/>
      <c r="EK25" s="449"/>
      <c r="EL25" s="449"/>
      <c r="EM25" s="449"/>
      <c r="EN25" s="449"/>
      <c r="EO25" s="449"/>
      <c r="EP25" s="449"/>
      <c r="EQ25" s="449"/>
      <c r="ER25" s="449"/>
      <c r="ES25" s="449"/>
      <c r="ET25" s="449"/>
      <c r="EU25" s="449"/>
      <c r="EV25" s="449"/>
      <c r="EW25" s="449"/>
      <c r="EX25" s="449"/>
      <c r="EY25" s="449"/>
      <c r="EZ25" s="449"/>
      <c r="FA25" s="449"/>
      <c r="FB25" s="449"/>
      <c r="FC25" s="449"/>
      <c r="FD25" s="449"/>
      <c r="FE25" s="449"/>
      <c r="FF25" s="449"/>
      <c r="FG25" s="449"/>
      <c r="FH25" s="449"/>
      <c r="FI25" s="449"/>
      <c r="FJ25" s="449"/>
      <c r="FK25" s="449"/>
      <c r="FL25" s="449"/>
      <c r="FM25" s="449"/>
      <c r="FN25" s="449"/>
      <c r="FO25" s="449"/>
      <c r="FP25" s="449"/>
      <c r="FQ25" s="449"/>
      <c r="FR25" s="449"/>
      <c r="FS25" s="449"/>
      <c r="FT25" s="449"/>
      <c r="FU25" s="449"/>
      <c r="FV25" s="449"/>
      <c r="FW25" s="449"/>
      <c r="FX25" s="449"/>
      <c r="FY25" s="449"/>
      <c r="FZ25" s="449"/>
      <c r="GA25" s="449"/>
      <c r="GB25" s="449"/>
      <c r="GC25" s="449"/>
      <c r="GD25" s="449"/>
      <c r="GE25" s="449"/>
      <c r="GF25" s="449"/>
      <c r="GG25" s="449"/>
      <c r="GH25" s="449"/>
      <c r="GI25" s="449"/>
      <c r="GJ25" s="449"/>
      <c r="GK25" s="449"/>
      <c r="GL25" s="449"/>
      <c r="GM25" s="449"/>
      <c r="GN25" s="449"/>
      <c r="GO25" s="449"/>
      <c r="GP25" s="449"/>
      <c r="GQ25" s="449"/>
      <c r="GR25" s="449"/>
      <c r="GS25" s="449"/>
      <c r="GT25" s="449"/>
      <c r="GU25" s="449"/>
      <c r="GV25" s="449"/>
      <c r="GW25" s="449"/>
      <c r="GX25" s="449"/>
      <c r="GY25" s="449"/>
      <c r="GZ25" s="449"/>
      <c r="HA25" s="449"/>
      <c r="HB25" s="449"/>
      <c r="HC25" s="449"/>
      <c r="HD25" s="449"/>
      <c r="HE25" s="449"/>
      <c r="HF25" s="449"/>
      <c r="HG25" s="449"/>
      <c r="HH25" s="449"/>
      <c r="HI25" s="449"/>
      <c r="HJ25" s="449"/>
      <c r="HK25" s="449"/>
      <c r="HL25" s="449"/>
      <c r="HM25" s="449"/>
      <c r="HN25" s="449"/>
      <c r="HO25" s="449"/>
      <c r="HP25" s="449"/>
      <c r="HQ25" s="449"/>
      <c r="HR25" s="449"/>
      <c r="HS25" s="449"/>
      <c r="HT25" s="449"/>
      <c r="HU25" s="449"/>
      <c r="HV25" s="449"/>
      <c r="HW25" s="449"/>
      <c r="HX25" s="449"/>
      <c r="HY25" s="449"/>
      <c r="HZ25" s="449"/>
      <c r="IA25" s="449"/>
      <c r="IB25" s="449"/>
      <c r="IC25" s="449"/>
      <c r="ID25" s="449"/>
      <c r="IE25" s="449"/>
      <c r="IF25" s="449"/>
      <c r="IG25" s="449"/>
      <c r="IH25" s="449"/>
      <c r="II25" s="449"/>
      <c r="IJ25" s="449"/>
      <c r="IK25" s="449"/>
      <c r="IL25" s="449"/>
      <c r="IM25" s="449"/>
      <c r="IN25" s="449"/>
      <c r="IO25" s="449"/>
      <c r="IP25" s="449"/>
      <c r="IQ25" s="449"/>
      <c r="IR25" s="449"/>
      <c r="IS25" s="449"/>
      <c r="IT25" s="449"/>
      <c r="IU25" s="449"/>
      <c r="IV25" s="449"/>
      <c r="IW25" s="449"/>
    </row>
    <row r="26" customFormat="false" ht="12.75" hidden="false" customHeight="false" outlineLevel="0" collapsed="false">
      <c r="A26" s="461" t="n">
        <f aca="false">A25+1</f>
        <v>23</v>
      </c>
      <c r="B26" s="466"/>
      <c r="C26" s="467" t="str">
        <f aca="false">'Plant Configuration'!C31</f>
        <v>Fuel Storage/Handling Operators</v>
      </c>
      <c r="D26" s="449"/>
      <c r="E26" s="468" t="n">
        <v>30000</v>
      </c>
      <c r="F26" s="468" t="n">
        <v>30000</v>
      </c>
      <c r="G26" s="468" t="n">
        <v>30000</v>
      </c>
      <c r="H26" s="468" t="n">
        <v>30000</v>
      </c>
      <c r="I26" s="468" t="n">
        <v>30000</v>
      </c>
      <c r="J26" s="468" t="n">
        <v>30000</v>
      </c>
      <c r="K26" s="468"/>
      <c r="L26" s="468"/>
      <c r="M26" s="468"/>
      <c r="N26" s="468"/>
      <c r="O26" s="468"/>
      <c r="P26" s="468"/>
      <c r="Q26" s="468"/>
      <c r="R26" s="468"/>
      <c r="S26" s="468"/>
      <c r="T26" s="449"/>
      <c r="U26" s="449"/>
      <c r="V26" s="449"/>
      <c r="W26" s="449"/>
      <c r="X26" s="449"/>
      <c r="Y26" s="449"/>
      <c r="Z26" s="449"/>
      <c r="AA26" s="449"/>
      <c r="AB26" s="449"/>
      <c r="AC26" s="449"/>
      <c r="AD26" s="449"/>
      <c r="AE26" s="449"/>
      <c r="AF26" s="449"/>
      <c r="AG26" s="449"/>
      <c r="AH26" s="449"/>
      <c r="AI26" s="449"/>
      <c r="AJ26" s="449"/>
      <c r="AK26" s="449"/>
      <c r="AL26" s="449"/>
      <c r="AM26" s="449"/>
      <c r="AN26" s="449"/>
      <c r="AO26" s="449"/>
      <c r="AP26" s="449"/>
      <c r="AQ26" s="449"/>
      <c r="AR26" s="449"/>
      <c r="AS26" s="449"/>
      <c r="AT26" s="449"/>
      <c r="AU26" s="449"/>
      <c r="AV26" s="449"/>
      <c r="AW26" s="449"/>
      <c r="AX26" s="449"/>
      <c r="AY26" s="449"/>
      <c r="AZ26" s="449"/>
      <c r="BA26" s="449"/>
      <c r="BB26" s="449"/>
      <c r="BC26" s="449"/>
      <c r="BD26" s="449"/>
      <c r="BE26" s="449"/>
      <c r="BF26" s="449"/>
      <c r="BG26" s="449"/>
      <c r="BH26" s="449"/>
      <c r="BI26" s="449"/>
      <c r="BJ26" s="449"/>
      <c r="BK26" s="449"/>
      <c r="BL26" s="449"/>
      <c r="BM26" s="449"/>
      <c r="BN26" s="449"/>
      <c r="BO26" s="449"/>
      <c r="BP26" s="449"/>
      <c r="BQ26" s="449"/>
      <c r="BR26" s="449"/>
      <c r="BS26" s="449"/>
      <c r="BT26" s="449"/>
      <c r="BU26" s="449"/>
      <c r="BV26" s="449"/>
      <c r="BW26" s="449"/>
      <c r="BX26" s="449"/>
      <c r="BY26" s="449"/>
      <c r="BZ26" s="449"/>
      <c r="CA26" s="449"/>
      <c r="CB26" s="449"/>
      <c r="CC26" s="449"/>
      <c r="CD26" s="449"/>
      <c r="CE26" s="449"/>
      <c r="CF26" s="449"/>
      <c r="CG26" s="449"/>
      <c r="CH26" s="449"/>
      <c r="CI26" s="449"/>
      <c r="CJ26" s="449"/>
      <c r="CK26" s="449"/>
      <c r="CL26" s="449"/>
      <c r="CM26" s="449"/>
      <c r="CN26" s="449"/>
      <c r="CO26" s="449"/>
      <c r="CP26" s="449"/>
      <c r="CQ26" s="449"/>
      <c r="CR26" s="449"/>
      <c r="CS26" s="449"/>
      <c r="CT26" s="449"/>
      <c r="CU26" s="449"/>
      <c r="CV26" s="449"/>
      <c r="CW26" s="449"/>
      <c r="CX26" s="449"/>
      <c r="CY26" s="449"/>
      <c r="CZ26" s="449"/>
      <c r="DA26" s="449"/>
      <c r="DB26" s="449"/>
      <c r="DC26" s="449"/>
      <c r="DD26" s="449"/>
      <c r="DE26" s="449"/>
      <c r="DF26" s="449"/>
      <c r="DG26" s="449"/>
      <c r="DH26" s="449"/>
      <c r="DI26" s="449"/>
      <c r="DJ26" s="449"/>
      <c r="DK26" s="449"/>
      <c r="DL26" s="449"/>
      <c r="DM26" s="449"/>
      <c r="DN26" s="449"/>
      <c r="DO26" s="449"/>
      <c r="DP26" s="449"/>
      <c r="DQ26" s="449"/>
      <c r="DR26" s="449"/>
      <c r="DS26" s="449"/>
      <c r="DT26" s="449"/>
      <c r="DU26" s="449"/>
      <c r="DV26" s="449"/>
      <c r="DW26" s="449"/>
      <c r="DX26" s="449"/>
      <c r="DY26" s="449"/>
      <c r="DZ26" s="449"/>
      <c r="EA26" s="449"/>
      <c r="EB26" s="449"/>
      <c r="EC26" s="449"/>
      <c r="ED26" s="449"/>
      <c r="EE26" s="449"/>
      <c r="EF26" s="449"/>
      <c r="EG26" s="449"/>
      <c r="EH26" s="449"/>
      <c r="EI26" s="449"/>
      <c r="EJ26" s="449"/>
      <c r="EK26" s="449"/>
      <c r="EL26" s="449"/>
      <c r="EM26" s="449"/>
      <c r="EN26" s="449"/>
      <c r="EO26" s="449"/>
      <c r="EP26" s="449"/>
      <c r="EQ26" s="449"/>
      <c r="ER26" s="449"/>
      <c r="ES26" s="449"/>
      <c r="ET26" s="449"/>
      <c r="EU26" s="449"/>
      <c r="EV26" s="449"/>
      <c r="EW26" s="449"/>
      <c r="EX26" s="449"/>
      <c r="EY26" s="449"/>
      <c r="EZ26" s="449"/>
      <c r="FA26" s="449"/>
      <c r="FB26" s="449"/>
      <c r="FC26" s="449"/>
      <c r="FD26" s="449"/>
      <c r="FE26" s="449"/>
      <c r="FF26" s="449"/>
      <c r="FG26" s="449"/>
      <c r="FH26" s="449"/>
      <c r="FI26" s="449"/>
      <c r="FJ26" s="449"/>
      <c r="FK26" s="449"/>
      <c r="FL26" s="449"/>
      <c r="FM26" s="449"/>
      <c r="FN26" s="449"/>
      <c r="FO26" s="449"/>
      <c r="FP26" s="449"/>
      <c r="FQ26" s="449"/>
      <c r="FR26" s="449"/>
      <c r="FS26" s="449"/>
      <c r="FT26" s="449"/>
      <c r="FU26" s="449"/>
      <c r="FV26" s="449"/>
      <c r="FW26" s="449"/>
      <c r="FX26" s="449"/>
      <c r="FY26" s="449"/>
      <c r="FZ26" s="449"/>
      <c r="GA26" s="449"/>
      <c r="GB26" s="449"/>
      <c r="GC26" s="449"/>
      <c r="GD26" s="449"/>
      <c r="GE26" s="449"/>
      <c r="GF26" s="449"/>
      <c r="GG26" s="449"/>
      <c r="GH26" s="449"/>
      <c r="GI26" s="449"/>
      <c r="GJ26" s="449"/>
      <c r="GK26" s="449"/>
      <c r="GL26" s="449"/>
      <c r="GM26" s="449"/>
      <c r="GN26" s="449"/>
      <c r="GO26" s="449"/>
      <c r="GP26" s="449"/>
      <c r="GQ26" s="449"/>
      <c r="GR26" s="449"/>
      <c r="GS26" s="449"/>
      <c r="GT26" s="449"/>
      <c r="GU26" s="449"/>
      <c r="GV26" s="449"/>
      <c r="GW26" s="449"/>
      <c r="GX26" s="449"/>
      <c r="GY26" s="449"/>
      <c r="GZ26" s="449"/>
      <c r="HA26" s="449"/>
      <c r="HB26" s="449"/>
      <c r="HC26" s="449"/>
      <c r="HD26" s="449"/>
      <c r="HE26" s="449"/>
      <c r="HF26" s="449"/>
      <c r="HG26" s="449"/>
      <c r="HH26" s="449"/>
      <c r="HI26" s="449"/>
      <c r="HJ26" s="449"/>
      <c r="HK26" s="449"/>
      <c r="HL26" s="449"/>
      <c r="HM26" s="449"/>
      <c r="HN26" s="449"/>
      <c r="HO26" s="449"/>
      <c r="HP26" s="449"/>
      <c r="HQ26" s="449"/>
      <c r="HR26" s="449"/>
      <c r="HS26" s="449"/>
      <c r="HT26" s="449"/>
      <c r="HU26" s="449"/>
      <c r="HV26" s="449"/>
      <c r="HW26" s="449"/>
      <c r="HX26" s="449"/>
      <c r="HY26" s="449"/>
      <c r="HZ26" s="449"/>
      <c r="IA26" s="449"/>
      <c r="IB26" s="449"/>
      <c r="IC26" s="449"/>
      <c r="ID26" s="449"/>
      <c r="IE26" s="449"/>
      <c r="IF26" s="449"/>
      <c r="IG26" s="449"/>
      <c r="IH26" s="449"/>
      <c r="II26" s="449"/>
      <c r="IJ26" s="449"/>
      <c r="IK26" s="449"/>
      <c r="IL26" s="449"/>
      <c r="IM26" s="449"/>
      <c r="IN26" s="449"/>
      <c r="IO26" s="449"/>
      <c r="IP26" s="449"/>
      <c r="IQ26" s="449"/>
      <c r="IR26" s="449"/>
      <c r="IS26" s="449"/>
      <c r="IT26" s="449"/>
      <c r="IU26" s="449"/>
      <c r="IV26" s="449"/>
      <c r="IW26" s="449"/>
    </row>
    <row r="27" customFormat="false" ht="12.75" hidden="false" customHeight="false" outlineLevel="0" collapsed="false">
      <c r="A27" s="461" t="n">
        <f aca="false">A26+1</f>
        <v>24</v>
      </c>
      <c r="B27" s="466"/>
      <c r="C27" s="467" t="str">
        <f aca="false">'Plant Configuration'!C32</f>
        <v>Utility Operators</v>
      </c>
      <c r="D27" s="449"/>
      <c r="E27" s="468" t="n">
        <v>33000</v>
      </c>
      <c r="F27" s="468" t="n">
        <v>33000</v>
      </c>
      <c r="G27" s="468" t="n">
        <v>33000</v>
      </c>
      <c r="H27" s="468" t="n">
        <v>33000</v>
      </c>
      <c r="I27" s="468" t="n">
        <v>33000</v>
      </c>
      <c r="J27" s="468" t="n">
        <v>33000</v>
      </c>
      <c r="K27" s="468"/>
      <c r="L27" s="468"/>
      <c r="M27" s="468"/>
      <c r="N27" s="468"/>
      <c r="O27" s="468"/>
      <c r="P27" s="468"/>
      <c r="Q27" s="468"/>
      <c r="R27" s="468"/>
      <c r="S27" s="468"/>
      <c r="T27" s="449"/>
      <c r="U27" s="449"/>
      <c r="V27" s="449"/>
      <c r="W27" s="449"/>
      <c r="X27" s="449"/>
      <c r="Y27" s="449"/>
      <c r="Z27" s="449"/>
      <c r="AA27" s="449"/>
      <c r="AB27" s="449"/>
      <c r="AC27" s="449"/>
      <c r="AD27" s="449"/>
      <c r="AE27" s="449"/>
      <c r="AF27" s="449"/>
      <c r="AG27" s="449"/>
      <c r="AH27" s="449"/>
      <c r="AI27" s="449"/>
      <c r="AJ27" s="449"/>
      <c r="AK27" s="449"/>
      <c r="AL27" s="449"/>
      <c r="AM27" s="449"/>
      <c r="AN27" s="449"/>
      <c r="AO27" s="449"/>
      <c r="AP27" s="449"/>
      <c r="AQ27" s="449"/>
      <c r="AR27" s="449"/>
      <c r="AS27" s="449"/>
      <c r="AT27" s="449"/>
      <c r="AU27" s="449"/>
      <c r="AV27" s="449"/>
      <c r="AW27" s="449"/>
      <c r="AX27" s="449"/>
      <c r="AY27" s="449"/>
      <c r="AZ27" s="449"/>
      <c r="BA27" s="449"/>
      <c r="BB27" s="449"/>
      <c r="BC27" s="449"/>
      <c r="BD27" s="449"/>
      <c r="BE27" s="449"/>
      <c r="BF27" s="449"/>
      <c r="BG27" s="449"/>
      <c r="BH27" s="449"/>
      <c r="BI27" s="449"/>
      <c r="BJ27" s="449"/>
      <c r="BK27" s="449"/>
      <c r="BL27" s="449"/>
      <c r="BM27" s="449"/>
      <c r="BN27" s="449"/>
      <c r="BO27" s="449"/>
      <c r="BP27" s="449"/>
      <c r="BQ27" s="449"/>
      <c r="BR27" s="449"/>
      <c r="BS27" s="449"/>
      <c r="BT27" s="449"/>
      <c r="BU27" s="449"/>
      <c r="BV27" s="449"/>
      <c r="BW27" s="449"/>
      <c r="BX27" s="449"/>
      <c r="BY27" s="449"/>
      <c r="BZ27" s="449"/>
      <c r="CA27" s="449"/>
      <c r="CB27" s="449"/>
      <c r="CC27" s="449"/>
      <c r="CD27" s="449"/>
      <c r="CE27" s="449"/>
      <c r="CF27" s="449"/>
      <c r="CG27" s="449"/>
      <c r="CH27" s="449"/>
      <c r="CI27" s="449"/>
      <c r="CJ27" s="449"/>
      <c r="CK27" s="449"/>
      <c r="CL27" s="449"/>
      <c r="CM27" s="449"/>
      <c r="CN27" s="449"/>
      <c r="CO27" s="449"/>
      <c r="CP27" s="449"/>
      <c r="CQ27" s="449"/>
      <c r="CR27" s="449"/>
      <c r="CS27" s="449"/>
      <c r="CT27" s="449"/>
      <c r="CU27" s="449"/>
      <c r="CV27" s="449"/>
      <c r="CW27" s="449"/>
      <c r="CX27" s="449"/>
      <c r="CY27" s="449"/>
      <c r="CZ27" s="449"/>
      <c r="DA27" s="449"/>
      <c r="DB27" s="449"/>
      <c r="DC27" s="449"/>
      <c r="DD27" s="449"/>
      <c r="DE27" s="449"/>
      <c r="DF27" s="449"/>
      <c r="DG27" s="449"/>
      <c r="DH27" s="449"/>
      <c r="DI27" s="449"/>
      <c r="DJ27" s="449"/>
      <c r="DK27" s="449"/>
      <c r="DL27" s="449"/>
      <c r="DM27" s="449"/>
      <c r="DN27" s="449"/>
      <c r="DO27" s="449"/>
      <c r="DP27" s="449"/>
      <c r="DQ27" s="449"/>
      <c r="DR27" s="449"/>
      <c r="DS27" s="449"/>
      <c r="DT27" s="449"/>
      <c r="DU27" s="449"/>
      <c r="DV27" s="449"/>
      <c r="DW27" s="449"/>
      <c r="DX27" s="449"/>
      <c r="DY27" s="449"/>
      <c r="DZ27" s="449"/>
      <c r="EA27" s="449"/>
      <c r="EB27" s="449"/>
      <c r="EC27" s="449"/>
      <c r="ED27" s="449"/>
      <c r="EE27" s="449"/>
      <c r="EF27" s="449"/>
      <c r="EG27" s="449"/>
      <c r="EH27" s="449"/>
      <c r="EI27" s="449"/>
      <c r="EJ27" s="449"/>
      <c r="EK27" s="449"/>
      <c r="EL27" s="449"/>
      <c r="EM27" s="449"/>
      <c r="EN27" s="449"/>
      <c r="EO27" s="449"/>
      <c r="EP27" s="449"/>
      <c r="EQ27" s="449"/>
      <c r="ER27" s="449"/>
      <c r="ES27" s="449"/>
      <c r="ET27" s="449"/>
      <c r="EU27" s="449"/>
      <c r="EV27" s="449"/>
      <c r="EW27" s="449"/>
      <c r="EX27" s="449"/>
      <c r="EY27" s="449"/>
      <c r="EZ27" s="449"/>
      <c r="FA27" s="449"/>
      <c r="FB27" s="449"/>
      <c r="FC27" s="449"/>
      <c r="FD27" s="449"/>
      <c r="FE27" s="449"/>
      <c r="FF27" s="449"/>
      <c r="FG27" s="449"/>
      <c r="FH27" s="449"/>
      <c r="FI27" s="449"/>
      <c r="FJ27" s="449"/>
      <c r="FK27" s="449"/>
      <c r="FL27" s="449"/>
      <c r="FM27" s="449"/>
      <c r="FN27" s="449"/>
      <c r="FO27" s="449"/>
      <c r="FP27" s="449"/>
      <c r="FQ27" s="449"/>
      <c r="FR27" s="449"/>
      <c r="FS27" s="449"/>
      <c r="FT27" s="449"/>
      <c r="FU27" s="449"/>
      <c r="FV27" s="449"/>
      <c r="FW27" s="449"/>
      <c r="FX27" s="449"/>
      <c r="FY27" s="449"/>
      <c r="FZ27" s="449"/>
      <c r="GA27" s="449"/>
      <c r="GB27" s="449"/>
      <c r="GC27" s="449"/>
      <c r="GD27" s="449"/>
      <c r="GE27" s="449"/>
      <c r="GF27" s="449"/>
      <c r="GG27" s="449"/>
      <c r="GH27" s="449"/>
      <c r="GI27" s="449"/>
      <c r="GJ27" s="449"/>
      <c r="GK27" s="449"/>
      <c r="GL27" s="449"/>
      <c r="GM27" s="449"/>
      <c r="GN27" s="449"/>
      <c r="GO27" s="449"/>
      <c r="GP27" s="449"/>
      <c r="GQ27" s="449"/>
      <c r="GR27" s="449"/>
      <c r="GS27" s="449"/>
      <c r="GT27" s="449"/>
      <c r="GU27" s="449"/>
      <c r="GV27" s="449"/>
      <c r="GW27" s="449"/>
      <c r="GX27" s="449"/>
      <c r="GY27" s="449"/>
      <c r="GZ27" s="449"/>
      <c r="HA27" s="449"/>
      <c r="HB27" s="449"/>
      <c r="HC27" s="449"/>
      <c r="HD27" s="449"/>
      <c r="HE27" s="449"/>
      <c r="HF27" s="449"/>
      <c r="HG27" s="449"/>
      <c r="HH27" s="449"/>
      <c r="HI27" s="449"/>
      <c r="HJ27" s="449"/>
      <c r="HK27" s="449"/>
      <c r="HL27" s="449"/>
      <c r="HM27" s="449"/>
      <c r="HN27" s="449"/>
      <c r="HO27" s="449"/>
      <c r="HP27" s="449"/>
      <c r="HQ27" s="449"/>
      <c r="HR27" s="449"/>
      <c r="HS27" s="449"/>
      <c r="HT27" s="449"/>
      <c r="HU27" s="449"/>
      <c r="HV27" s="449"/>
      <c r="HW27" s="449"/>
      <c r="HX27" s="449"/>
      <c r="HY27" s="449"/>
      <c r="HZ27" s="449"/>
      <c r="IA27" s="449"/>
      <c r="IB27" s="449"/>
      <c r="IC27" s="449"/>
      <c r="ID27" s="449"/>
      <c r="IE27" s="449"/>
      <c r="IF27" s="449"/>
      <c r="IG27" s="449"/>
      <c r="IH27" s="449"/>
      <c r="II27" s="449"/>
      <c r="IJ27" s="449"/>
      <c r="IK27" s="449"/>
      <c r="IL27" s="449"/>
      <c r="IM27" s="449"/>
      <c r="IN27" s="449"/>
      <c r="IO27" s="449"/>
      <c r="IP27" s="449"/>
      <c r="IQ27" s="449"/>
      <c r="IR27" s="449"/>
      <c r="IS27" s="449"/>
      <c r="IT27" s="449"/>
      <c r="IU27" s="449"/>
      <c r="IV27" s="449"/>
      <c r="IW27" s="449"/>
    </row>
    <row r="28" customFormat="false" ht="12.75" hidden="false" customHeight="false" outlineLevel="0" collapsed="false">
      <c r="A28" s="461" t="n">
        <f aca="false">A27+1</f>
        <v>25</v>
      </c>
      <c r="B28" s="466"/>
      <c r="C28" s="467" t="str">
        <f aca="false">'Plant Configuration'!C33</f>
        <v>Chemist</v>
      </c>
      <c r="D28" s="449"/>
      <c r="E28" s="468" t="n">
        <v>40000</v>
      </c>
      <c r="F28" s="468" t="n">
        <v>40000</v>
      </c>
      <c r="G28" s="468" t="n">
        <v>40000</v>
      </c>
      <c r="H28" s="468" t="n">
        <v>40000</v>
      </c>
      <c r="I28" s="468" t="n">
        <v>40000</v>
      </c>
      <c r="J28" s="468" t="n">
        <v>40000</v>
      </c>
      <c r="K28" s="468"/>
      <c r="L28" s="468"/>
      <c r="M28" s="468"/>
      <c r="N28" s="468"/>
      <c r="O28" s="468"/>
      <c r="P28" s="468"/>
      <c r="Q28" s="468"/>
      <c r="R28" s="468"/>
      <c r="S28" s="468"/>
      <c r="T28" s="449"/>
      <c r="U28" s="449"/>
      <c r="V28" s="449"/>
      <c r="W28" s="449"/>
      <c r="X28" s="449"/>
      <c r="Y28" s="449"/>
      <c r="Z28" s="449"/>
      <c r="AA28" s="449"/>
      <c r="AB28" s="449"/>
      <c r="AC28" s="449"/>
      <c r="AD28" s="449"/>
      <c r="AE28" s="449"/>
      <c r="AF28" s="449"/>
      <c r="AG28" s="449"/>
      <c r="AH28" s="449"/>
      <c r="AI28" s="449"/>
      <c r="AJ28" s="449"/>
      <c r="AK28" s="449"/>
      <c r="AL28" s="449"/>
      <c r="AM28" s="449"/>
      <c r="AN28" s="449"/>
      <c r="AO28" s="449"/>
      <c r="AP28" s="449"/>
      <c r="AQ28" s="449"/>
      <c r="AR28" s="449"/>
      <c r="AS28" s="449"/>
      <c r="AT28" s="449"/>
      <c r="AU28" s="449"/>
      <c r="AV28" s="449"/>
      <c r="AW28" s="449"/>
      <c r="AX28" s="449"/>
      <c r="AY28" s="449"/>
      <c r="AZ28" s="449"/>
      <c r="BA28" s="449"/>
      <c r="BB28" s="449"/>
      <c r="BC28" s="449"/>
      <c r="BD28" s="449"/>
      <c r="BE28" s="449"/>
      <c r="BF28" s="449"/>
      <c r="BG28" s="449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  <c r="BR28" s="449"/>
      <c r="BS28" s="449"/>
      <c r="BT28" s="449"/>
      <c r="BU28" s="449"/>
      <c r="BV28" s="449"/>
      <c r="BW28" s="449"/>
      <c r="BX28" s="449"/>
      <c r="BY28" s="449"/>
      <c r="BZ28" s="449"/>
      <c r="CA28" s="449"/>
      <c r="CB28" s="449"/>
      <c r="CC28" s="449"/>
      <c r="CD28" s="449"/>
      <c r="CE28" s="449"/>
      <c r="CF28" s="449"/>
      <c r="CG28" s="449"/>
      <c r="CH28" s="449"/>
      <c r="CI28" s="449"/>
      <c r="CJ28" s="449"/>
      <c r="CK28" s="449"/>
      <c r="CL28" s="449"/>
      <c r="CM28" s="449"/>
      <c r="CN28" s="449"/>
      <c r="CO28" s="449"/>
      <c r="CP28" s="449"/>
      <c r="CQ28" s="449"/>
      <c r="CR28" s="449"/>
      <c r="CS28" s="449"/>
      <c r="CT28" s="449"/>
      <c r="CU28" s="449"/>
      <c r="CV28" s="449"/>
      <c r="CW28" s="449"/>
      <c r="CX28" s="449"/>
      <c r="CY28" s="449"/>
      <c r="CZ28" s="449"/>
      <c r="DA28" s="449"/>
      <c r="DB28" s="449"/>
      <c r="DC28" s="449"/>
      <c r="DD28" s="449"/>
      <c r="DE28" s="449"/>
      <c r="DF28" s="449"/>
      <c r="DG28" s="449"/>
      <c r="DH28" s="449"/>
      <c r="DI28" s="449"/>
      <c r="DJ28" s="449"/>
      <c r="DK28" s="449"/>
      <c r="DL28" s="449"/>
      <c r="DM28" s="449"/>
      <c r="DN28" s="449"/>
      <c r="DO28" s="449"/>
      <c r="DP28" s="449"/>
      <c r="DQ28" s="449"/>
      <c r="DR28" s="449"/>
      <c r="DS28" s="449"/>
      <c r="DT28" s="449"/>
      <c r="DU28" s="449"/>
      <c r="DV28" s="449"/>
      <c r="DW28" s="449"/>
      <c r="DX28" s="449"/>
      <c r="DY28" s="449"/>
      <c r="DZ28" s="449"/>
      <c r="EA28" s="449"/>
      <c r="EB28" s="449"/>
      <c r="EC28" s="449"/>
      <c r="ED28" s="449"/>
      <c r="EE28" s="449"/>
      <c r="EF28" s="449"/>
      <c r="EG28" s="449"/>
      <c r="EH28" s="449"/>
      <c r="EI28" s="449"/>
      <c r="EJ28" s="449"/>
      <c r="EK28" s="449"/>
      <c r="EL28" s="449"/>
      <c r="EM28" s="449"/>
      <c r="EN28" s="449"/>
      <c r="EO28" s="449"/>
      <c r="EP28" s="449"/>
      <c r="EQ28" s="449"/>
      <c r="ER28" s="449"/>
      <c r="ES28" s="449"/>
      <c r="ET28" s="449"/>
      <c r="EU28" s="449"/>
      <c r="EV28" s="449"/>
      <c r="EW28" s="449"/>
      <c r="EX28" s="449"/>
      <c r="EY28" s="449"/>
      <c r="EZ28" s="449"/>
      <c r="FA28" s="449"/>
      <c r="FB28" s="449"/>
      <c r="FC28" s="449"/>
      <c r="FD28" s="449"/>
      <c r="FE28" s="449"/>
      <c r="FF28" s="449"/>
      <c r="FG28" s="449"/>
      <c r="FH28" s="449"/>
      <c r="FI28" s="449"/>
      <c r="FJ28" s="449"/>
      <c r="FK28" s="449"/>
      <c r="FL28" s="449"/>
      <c r="FM28" s="449"/>
      <c r="FN28" s="449"/>
      <c r="FO28" s="449"/>
      <c r="FP28" s="449"/>
      <c r="FQ28" s="449"/>
      <c r="FR28" s="449"/>
      <c r="FS28" s="449"/>
      <c r="FT28" s="449"/>
      <c r="FU28" s="449"/>
      <c r="FV28" s="449"/>
      <c r="FW28" s="449"/>
      <c r="FX28" s="449"/>
      <c r="FY28" s="449"/>
      <c r="FZ28" s="449"/>
      <c r="GA28" s="449"/>
      <c r="GB28" s="449"/>
      <c r="GC28" s="449"/>
      <c r="GD28" s="449"/>
      <c r="GE28" s="449"/>
      <c r="GF28" s="449"/>
      <c r="GG28" s="449"/>
      <c r="GH28" s="449"/>
      <c r="GI28" s="449"/>
      <c r="GJ28" s="449"/>
      <c r="GK28" s="449"/>
      <c r="GL28" s="449"/>
      <c r="GM28" s="449"/>
      <c r="GN28" s="449"/>
      <c r="GO28" s="449"/>
      <c r="GP28" s="449"/>
      <c r="GQ28" s="449"/>
      <c r="GR28" s="449"/>
      <c r="GS28" s="449"/>
      <c r="GT28" s="449"/>
      <c r="GU28" s="449"/>
      <c r="GV28" s="449"/>
      <c r="GW28" s="449"/>
      <c r="GX28" s="449"/>
      <c r="GY28" s="449"/>
      <c r="GZ28" s="449"/>
      <c r="HA28" s="449"/>
      <c r="HB28" s="449"/>
      <c r="HC28" s="449"/>
      <c r="HD28" s="449"/>
      <c r="HE28" s="449"/>
      <c r="HF28" s="449"/>
      <c r="HG28" s="449"/>
      <c r="HH28" s="449"/>
      <c r="HI28" s="449"/>
      <c r="HJ28" s="449"/>
      <c r="HK28" s="449"/>
      <c r="HL28" s="449"/>
      <c r="HM28" s="449"/>
      <c r="HN28" s="449"/>
      <c r="HO28" s="449"/>
      <c r="HP28" s="449"/>
      <c r="HQ28" s="449"/>
      <c r="HR28" s="449"/>
      <c r="HS28" s="449"/>
      <c r="HT28" s="449"/>
      <c r="HU28" s="449"/>
      <c r="HV28" s="449"/>
      <c r="HW28" s="449"/>
      <c r="HX28" s="449"/>
      <c r="HY28" s="449"/>
      <c r="HZ28" s="449"/>
      <c r="IA28" s="449"/>
      <c r="IB28" s="449"/>
      <c r="IC28" s="449"/>
      <c r="ID28" s="449"/>
      <c r="IE28" s="449"/>
      <c r="IF28" s="449"/>
      <c r="IG28" s="449"/>
      <c r="IH28" s="449"/>
      <c r="II28" s="449"/>
      <c r="IJ28" s="449"/>
      <c r="IK28" s="449"/>
      <c r="IL28" s="449"/>
      <c r="IM28" s="449"/>
      <c r="IN28" s="449"/>
      <c r="IO28" s="449"/>
      <c r="IP28" s="449"/>
      <c r="IQ28" s="449"/>
      <c r="IR28" s="449"/>
      <c r="IS28" s="449"/>
      <c r="IT28" s="449"/>
      <c r="IU28" s="449"/>
      <c r="IV28" s="449"/>
      <c r="IW28" s="449"/>
    </row>
    <row r="29" customFormat="false" ht="12.75" hidden="false" customHeight="false" outlineLevel="0" collapsed="false">
      <c r="A29" s="461" t="n">
        <f aca="false">A28+1</f>
        <v>26</v>
      </c>
      <c r="B29" s="466"/>
      <c r="C29" s="467" t="str">
        <f aca="false">'Plant Configuration'!C34</f>
        <v>Tech III</v>
      </c>
      <c r="D29" s="449"/>
      <c r="E29" s="468" t="n">
        <f aca="false">25*2080</f>
        <v>52000</v>
      </c>
      <c r="F29" s="468" t="n">
        <f aca="false">25*2080</f>
        <v>52000</v>
      </c>
      <c r="G29" s="468" t="n">
        <f aca="false">25*2080</f>
        <v>52000</v>
      </c>
      <c r="H29" s="468" t="n">
        <f aca="false">25*2080</f>
        <v>52000</v>
      </c>
      <c r="I29" s="468" t="n">
        <f aca="false">25*2080</f>
        <v>52000</v>
      </c>
      <c r="J29" s="468" t="n">
        <f aca="false">25*2080</f>
        <v>52000</v>
      </c>
      <c r="K29" s="468"/>
      <c r="L29" s="468"/>
      <c r="M29" s="468"/>
      <c r="N29" s="468"/>
      <c r="O29" s="468"/>
      <c r="P29" s="468"/>
      <c r="Q29" s="468"/>
      <c r="R29" s="468"/>
      <c r="S29" s="468"/>
      <c r="T29" s="449"/>
      <c r="U29" s="449"/>
      <c r="V29" s="449"/>
      <c r="W29" s="449"/>
      <c r="X29" s="449"/>
      <c r="Y29" s="449"/>
      <c r="Z29" s="449"/>
      <c r="AA29" s="449"/>
      <c r="AB29" s="449"/>
      <c r="AC29" s="449"/>
      <c r="AD29" s="449"/>
      <c r="AE29" s="449"/>
      <c r="AF29" s="449"/>
      <c r="AG29" s="449"/>
      <c r="AH29" s="449"/>
      <c r="AI29" s="449"/>
      <c r="AJ29" s="449"/>
      <c r="AK29" s="449"/>
      <c r="AL29" s="449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449"/>
      <c r="AX29" s="449"/>
      <c r="AY29" s="449"/>
      <c r="AZ29" s="449"/>
      <c r="BA29" s="449"/>
      <c r="BB29" s="449"/>
      <c r="BC29" s="449"/>
      <c r="BD29" s="449"/>
      <c r="BE29" s="449"/>
      <c r="BF29" s="449"/>
      <c r="BG29" s="449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  <c r="BR29" s="449"/>
      <c r="BS29" s="449"/>
      <c r="BT29" s="449"/>
      <c r="BU29" s="449"/>
      <c r="BV29" s="449"/>
      <c r="BW29" s="449"/>
      <c r="BX29" s="449"/>
      <c r="BY29" s="449"/>
      <c r="BZ29" s="449"/>
      <c r="CA29" s="449"/>
      <c r="CB29" s="449"/>
      <c r="CC29" s="449"/>
      <c r="CD29" s="449"/>
      <c r="CE29" s="449"/>
      <c r="CF29" s="449"/>
      <c r="CG29" s="449"/>
      <c r="CH29" s="449"/>
      <c r="CI29" s="449"/>
      <c r="CJ29" s="449"/>
      <c r="CK29" s="449"/>
      <c r="CL29" s="449"/>
      <c r="CM29" s="449"/>
      <c r="CN29" s="449"/>
      <c r="CO29" s="449"/>
      <c r="CP29" s="449"/>
      <c r="CQ29" s="449"/>
      <c r="CR29" s="449"/>
      <c r="CS29" s="449"/>
      <c r="CT29" s="449"/>
      <c r="CU29" s="449"/>
      <c r="CV29" s="449"/>
      <c r="CW29" s="449"/>
      <c r="CX29" s="449"/>
      <c r="CY29" s="449"/>
      <c r="CZ29" s="449"/>
      <c r="DA29" s="449"/>
      <c r="DB29" s="449"/>
      <c r="DC29" s="449"/>
      <c r="DD29" s="449"/>
      <c r="DE29" s="449"/>
      <c r="DF29" s="449"/>
      <c r="DG29" s="449"/>
      <c r="DH29" s="449"/>
      <c r="DI29" s="449"/>
      <c r="DJ29" s="449"/>
      <c r="DK29" s="449"/>
      <c r="DL29" s="449"/>
      <c r="DM29" s="449"/>
      <c r="DN29" s="449"/>
      <c r="DO29" s="449"/>
      <c r="DP29" s="449"/>
      <c r="DQ29" s="449"/>
      <c r="DR29" s="449"/>
      <c r="DS29" s="449"/>
      <c r="DT29" s="449"/>
      <c r="DU29" s="449"/>
      <c r="DV29" s="449"/>
      <c r="DW29" s="449"/>
      <c r="DX29" s="449"/>
      <c r="DY29" s="449"/>
      <c r="DZ29" s="449"/>
      <c r="EA29" s="449"/>
      <c r="EB29" s="449"/>
      <c r="EC29" s="449"/>
      <c r="ED29" s="449"/>
      <c r="EE29" s="449"/>
      <c r="EF29" s="449"/>
      <c r="EG29" s="449"/>
      <c r="EH29" s="449"/>
      <c r="EI29" s="449"/>
      <c r="EJ29" s="449"/>
      <c r="EK29" s="449"/>
      <c r="EL29" s="449"/>
      <c r="EM29" s="449"/>
      <c r="EN29" s="449"/>
      <c r="EO29" s="449"/>
      <c r="EP29" s="449"/>
      <c r="EQ29" s="449"/>
      <c r="ER29" s="449"/>
      <c r="ES29" s="449"/>
      <c r="ET29" s="449"/>
      <c r="EU29" s="449"/>
      <c r="EV29" s="449"/>
      <c r="EW29" s="449"/>
      <c r="EX29" s="449"/>
      <c r="EY29" s="449"/>
      <c r="EZ29" s="449"/>
      <c r="FA29" s="449"/>
      <c r="FB29" s="449"/>
      <c r="FC29" s="449"/>
      <c r="FD29" s="449"/>
      <c r="FE29" s="449"/>
      <c r="FF29" s="449"/>
      <c r="FG29" s="449"/>
      <c r="FH29" s="449"/>
      <c r="FI29" s="449"/>
      <c r="FJ29" s="449"/>
      <c r="FK29" s="449"/>
      <c r="FL29" s="449"/>
      <c r="FM29" s="449"/>
      <c r="FN29" s="449"/>
      <c r="FO29" s="449"/>
      <c r="FP29" s="449"/>
      <c r="FQ29" s="449"/>
      <c r="FR29" s="449"/>
      <c r="FS29" s="449"/>
      <c r="FT29" s="449"/>
      <c r="FU29" s="449"/>
      <c r="FV29" s="449"/>
      <c r="FW29" s="449"/>
      <c r="FX29" s="449"/>
      <c r="FY29" s="449"/>
      <c r="FZ29" s="449"/>
      <c r="GA29" s="449"/>
      <c r="GB29" s="449"/>
      <c r="GC29" s="449"/>
      <c r="GD29" s="449"/>
      <c r="GE29" s="449"/>
      <c r="GF29" s="449"/>
      <c r="GG29" s="449"/>
      <c r="GH29" s="449"/>
      <c r="GI29" s="449"/>
      <c r="GJ29" s="449"/>
      <c r="GK29" s="449"/>
      <c r="GL29" s="449"/>
      <c r="GM29" s="449"/>
      <c r="GN29" s="449"/>
      <c r="GO29" s="449"/>
      <c r="GP29" s="449"/>
      <c r="GQ29" s="449"/>
      <c r="GR29" s="449"/>
      <c r="GS29" s="449"/>
      <c r="GT29" s="449"/>
      <c r="GU29" s="449"/>
      <c r="GV29" s="449"/>
      <c r="GW29" s="449"/>
      <c r="GX29" s="449"/>
      <c r="GY29" s="449"/>
      <c r="GZ29" s="449"/>
      <c r="HA29" s="449"/>
      <c r="HB29" s="449"/>
      <c r="HC29" s="449"/>
      <c r="HD29" s="449"/>
      <c r="HE29" s="449"/>
      <c r="HF29" s="449"/>
      <c r="HG29" s="449"/>
      <c r="HH29" s="449"/>
      <c r="HI29" s="449"/>
      <c r="HJ29" s="449"/>
      <c r="HK29" s="449"/>
      <c r="HL29" s="449"/>
      <c r="HM29" s="449"/>
      <c r="HN29" s="449"/>
      <c r="HO29" s="449"/>
      <c r="HP29" s="449"/>
      <c r="HQ29" s="449"/>
      <c r="HR29" s="449"/>
      <c r="HS29" s="449"/>
      <c r="HT29" s="449"/>
      <c r="HU29" s="449"/>
      <c r="HV29" s="449"/>
      <c r="HW29" s="449"/>
      <c r="HX29" s="449"/>
      <c r="HY29" s="449"/>
      <c r="HZ29" s="449"/>
      <c r="IA29" s="449"/>
      <c r="IB29" s="449"/>
      <c r="IC29" s="449"/>
      <c r="ID29" s="449"/>
      <c r="IE29" s="449"/>
      <c r="IF29" s="449"/>
      <c r="IG29" s="449"/>
      <c r="IH29" s="449"/>
      <c r="II29" s="449"/>
      <c r="IJ29" s="449"/>
      <c r="IK29" s="449"/>
      <c r="IL29" s="449"/>
      <c r="IM29" s="449"/>
      <c r="IN29" s="449"/>
      <c r="IO29" s="449"/>
      <c r="IP29" s="449"/>
      <c r="IQ29" s="449"/>
      <c r="IR29" s="449"/>
      <c r="IS29" s="449"/>
      <c r="IT29" s="449"/>
      <c r="IU29" s="449"/>
      <c r="IV29" s="449"/>
      <c r="IW29" s="449"/>
    </row>
    <row r="30" customFormat="false" ht="12.75" hidden="false" customHeight="false" outlineLevel="0" collapsed="false">
      <c r="A30" s="461" t="n">
        <f aca="false">A29+1</f>
        <v>27</v>
      </c>
      <c r="B30" s="466"/>
      <c r="C30" s="467" t="str">
        <f aca="false">'Plant Configuration'!C35</f>
        <v>Tech II</v>
      </c>
      <c r="D30" s="449"/>
      <c r="E30" s="468" t="n">
        <f aca="false">22*2080</f>
        <v>45760</v>
      </c>
      <c r="F30" s="468" t="n">
        <f aca="false">22*2080</f>
        <v>45760</v>
      </c>
      <c r="G30" s="468" t="n">
        <f aca="false">22*2080</f>
        <v>45760</v>
      </c>
      <c r="H30" s="468" t="n">
        <f aca="false">22*2080</f>
        <v>45760</v>
      </c>
      <c r="I30" s="468" t="n">
        <f aca="false">22*2080</f>
        <v>45760</v>
      </c>
      <c r="J30" s="468" t="n">
        <f aca="false">22*2080</f>
        <v>45760</v>
      </c>
      <c r="K30" s="468"/>
      <c r="L30" s="468"/>
      <c r="M30" s="468"/>
      <c r="N30" s="468"/>
      <c r="O30" s="468"/>
      <c r="P30" s="468"/>
      <c r="Q30" s="468"/>
      <c r="R30" s="468"/>
      <c r="S30" s="468"/>
      <c r="T30" s="449"/>
      <c r="U30" s="449"/>
      <c r="V30" s="449"/>
      <c r="W30" s="449"/>
      <c r="X30" s="449"/>
      <c r="Y30" s="449"/>
      <c r="Z30" s="449"/>
      <c r="AA30" s="449"/>
      <c r="AB30" s="449"/>
      <c r="AC30" s="449"/>
      <c r="AD30" s="449"/>
      <c r="AE30" s="449"/>
      <c r="AF30" s="449"/>
      <c r="AG30" s="449"/>
      <c r="AH30" s="449"/>
      <c r="AI30" s="449"/>
      <c r="AJ30" s="449"/>
      <c r="AK30" s="449"/>
      <c r="AL30" s="449"/>
      <c r="AM30" s="449"/>
      <c r="AN30" s="449"/>
      <c r="AO30" s="449"/>
      <c r="AP30" s="449"/>
      <c r="AQ30" s="449"/>
      <c r="AR30" s="449"/>
      <c r="AS30" s="449"/>
      <c r="AT30" s="449"/>
      <c r="AU30" s="449"/>
      <c r="AV30" s="449"/>
      <c r="AW30" s="449"/>
      <c r="AX30" s="449"/>
      <c r="AY30" s="449"/>
      <c r="AZ30" s="449"/>
      <c r="BA30" s="449"/>
      <c r="BB30" s="449"/>
      <c r="BC30" s="449"/>
      <c r="BD30" s="449"/>
      <c r="BE30" s="449"/>
      <c r="BF30" s="449"/>
      <c r="BG30" s="449"/>
      <c r="BH30" s="449"/>
      <c r="BI30" s="449"/>
      <c r="BJ30" s="449"/>
      <c r="BK30" s="449"/>
      <c r="BL30" s="449"/>
      <c r="BM30" s="449"/>
      <c r="BN30" s="449"/>
      <c r="BO30" s="449"/>
      <c r="BP30" s="449"/>
      <c r="BQ30" s="449"/>
      <c r="BR30" s="449"/>
      <c r="BS30" s="449"/>
      <c r="BT30" s="449"/>
      <c r="BU30" s="449"/>
      <c r="BV30" s="449"/>
      <c r="BW30" s="449"/>
      <c r="BX30" s="449"/>
      <c r="BY30" s="449"/>
      <c r="BZ30" s="449"/>
      <c r="CA30" s="449"/>
      <c r="CB30" s="449"/>
      <c r="CC30" s="449"/>
      <c r="CD30" s="449"/>
      <c r="CE30" s="449"/>
      <c r="CF30" s="449"/>
      <c r="CG30" s="449"/>
      <c r="CH30" s="449"/>
      <c r="CI30" s="449"/>
      <c r="CJ30" s="449"/>
      <c r="CK30" s="449"/>
      <c r="CL30" s="449"/>
      <c r="CM30" s="449"/>
      <c r="CN30" s="449"/>
      <c r="CO30" s="449"/>
      <c r="CP30" s="449"/>
      <c r="CQ30" s="449"/>
      <c r="CR30" s="449"/>
      <c r="CS30" s="449"/>
      <c r="CT30" s="449"/>
      <c r="CU30" s="449"/>
      <c r="CV30" s="449"/>
      <c r="CW30" s="449"/>
      <c r="CX30" s="449"/>
      <c r="CY30" s="449"/>
      <c r="CZ30" s="449"/>
      <c r="DA30" s="449"/>
      <c r="DB30" s="449"/>
      <c r="DC30" s="449"/>
      <c r="DD30" s="449"/>
      <c r="DE30" s="449"/>
      <c r="DF30" s="449"/>
      <c r="DG30" s="449"/>
      <c r="DH30" s="449"/>
      <c r="DI30" s="449"/>
      <c r="DJ30" s="449"/>
      <c r="DK30" s="449"/>
      <c r="DL30" s="449"/>
      <c r="DM30" s="449"/>
      <c r="DN30" s="449"/>
      <c r="DO30" s="449"/>
      <c r="DP30" s="449"/>
      <c r="DQ30" s="449"/>
      <c r="DR30" s="449"/>
      <c r="DS30" s="449"/>
      <c r="DT30" s="449"/>
      <c r="DU30" s="449"/>
      <c r="DV30" s="449"/>
      <c r="DW30" s="449"/>
      <c r="DX30" s="449"/>
      <c r="DY30" s="449"/>
      <c r="DZ30" s="449"/>
      <c r="EA30" s="449"/>
      <c r="EB30" s="449"/>
      <c r="EC30" s="449"/>
      <c r="ED30" s="449"/>
      <c r="EE30" s="449"/>
      <c r="EF30" s="449"/>
      <c r="EG30" s="449"/>
      <c r="EH30" s="449"/>
      <c r="EI30" s="449"/>
      <c r="EJ30" s="449"/>
      <c r="EK30" s="449"/>
      <c r="EL30" s="449"/>
      <c r="EM30" s="449"/>
      <c r="EN30" s="449"/>
      <c r="EO30" s="449"/>
      <c r="EP30" s="449"/>
      <c r="EQ30" s="449"/>
      <c r="ER30" s="449"/>
      <c r="ES30" s="449"/>
      <c r="ET30" s="449"/>
      <c r="EU30" s="449"/>
      <c r="EV30" s="449"/>
      <c r="EW30" s="449"/>
      <c r="EX30" s="449"/>
      <c r="EY30" s="449"/>
      <c r="EZ30" s="449"/>
      <c r="FA30" s="449"/>
      <c r="FB30" s="449"/>
      <c r="FC30" s="449"/>
      <c r="FD30" s="449"/>
      <c r="FE30" s="449"/>
      <c r="FF30" s="449"/>
      <c r="FG30" s="449"/>
      <c r="FH30" s="449"/>
      <c r="FI30" s="449"/>
      <c r="FJ30" s="449"/>
      <c r="FK30" s="449"/>
      <c r="FL30" s="449"/>
      <c r="FM30" s="449"/>
      <c r="FN30" s="449"/>
      <c r="FO30" s="449"/>
      <c r="FP30" s="449"/>
      <c r="FQ30" s="449"/>
      <c r="FR30" s="449"/>
      <c r="FS30" s="449"/>
      <c r="FT30" s="449"/>
      <c r="FU30" s="449"/>
      <c r="FV30" s="449"/>
      <c r="FW30" s="449"/>
      <c r="FX30" s="449"/>
      <c r="FY30" s="449"/>
      <c r="FZ30" s="449"/>
      <c r="GA30" s="449"/>
      <c r="GB30" s="449"/>
      <c r="GC30" s="449"/>
      <c r="GD30" s="449"/>
      <c r="GE30" s="449"/>
      <c r="GF30" s="449"/>
      <c r="GG30" s="449"/>
      <c r="GH30" s="449"/>
      <c r="GI30" s="449"/>
      <c r="GJ30" s="449"/>
      <c r="GK30" s="449"/>
      <c r="GL30" s="449"/>
      <c r="GM30" s="449"/>
      <c r="GN30" s="449"/>
      <c r="GO30" s="449"/>
      <c r="GP30" s="449"/>
      <c r="GQ30" s="449"/>
      <c r="GR30" s="449"/>
      <c r="GS30" s="449"/>
      <c r="GT30" s="449"/>
      <c r="GU30" s="449"/>
      <c r="GV30" s="449"/>
      <c r="GW30" s="449"/>
      <c r="GX30" s="449"/>
      <c r="GY30" s="449"/>
      <c r="GZ30" s="449"/>
      <c r="HA30" s="449"/>
      <c r="HB30" s="449"/>
      <c r="HC30" s="449"/>
      <c r="HD30" s="449"/>
      <c r="HE30" s="449"/>
      <c r="HF30" s="449"/>
      <c r="HG30" s="449"/>
      <c r="HH30" s="449"/>
      <c r="HI30" s="449"/>
      <c r="HJ30" s="449"/>
      <c r="HK30" s="449"/>
      <c r="HL30" s="449"/>
      <c r="HM30" s="449"/>
      <c r="HN30" s="449"/>
      <c r="HO30" s="449"/>
      <c r="HP30" s="449"/>
      <c r="HQ30" s="449"/>
      <c r="HR30" s="449"/>
      <c r="HS30" s="449"/>
      <c r="HT30" s="449"/>
      <c r="HU30" s="449"/>
      <c r="HV30" s="449"/>
      <c r="HW30" s="449"/>
      <c r="HX30" s="449"/>
      <c r="HY30" s="449"/>
      <c r="HZ30" s="449"/>
      <c r="IA30" s="449"/>
      <c r="IB30" s="449"/>
      <c r="IC30" s="449"/>
      <c r="ID30" s="449"/>
      <c r="IE30" s="449"/>
      <c r="IF30" s="449"/>
      <c r="IG30" s="449"/>
      <c r="IH30" s="449"/>
      <c r="II30" s="449"/>
      <c r="IJ30" s="449"/>
      <c r="IK30" s="449"/>
      <c r="IL30" s="449"/>
      <c r="IM30" s="449"/>
      <c r="IN30" s="449"/>
      <c r="IO30" s="449"/>
      <c r="IP30" s="449"/>
      <c r="IQ30" s="449"/>
      <c r="IR30" s="449"/>
      <c r="IS30" s="449"/>
      <c r="IT30" s="449"/>
      <c r="IU30" s="449"/>
      <c r="IV30" s="449"/>
      <c r="IW30" s="449"/>
    </row>
    <row r="31" customFormat="false" ht="12.75" hidden="false" customHeight="false" outlineLevel="0" collapsed="false">
      <c r="A31" s="461" t="n">
        <f aca="false">A30+1</f>
        <v>28</v>
      </c>
      <c r="B31" s="466"/>
      <c r="C31" s="467" t="str">
        <f aca="false">'Plant Configuration'!C36</f>
        <v>Other</v>
      </c>
      <c r="D31" s="449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49"/>
      <c r="U31" s="449"/>
      <c r="V31" s="449"/>
      <c r="W31" s="449"/>
      <c r="X31" s="449"/>
      <c r="Y31" s="449"/>
      <c r="Z31" s="449"/>
      <c r="AA31" s="449"/>
      <c r="AB31" s="449"/>
      <c r="AC31" s="449"/>
      <c r="AD31" s="449"/>
      <c r="AE31" s="449"/>
      <c r="AF31" s="449"/>
      <c r="AG31" s="449"/>
      <c r="AH31" s="449"/>
      <c r="AI31" s="449"/>
      <c r="AJ31" s="449"/>
      <c r="AK31" s="449"/>
      <c r="AL31" s="449"/>
      <c r="AM31" s="449"/>
      <c r="AN31" s="449"/>
      <c r="AO31" s="449"/>
      <c r="AP31" s="449"/>
      <c r="AQ31" s="449"/>
      <c r="AR31" s="449"/>
      <c r="AS31" s="449"/>
      <c r="AT31" s="449"/>
      <c r="AU31" s="449"/>
      <c r="AV31" s="449"/>
      <c r="AW31" s="449"/>
      <c r="AX31" s="449"/>
      <c r="AY31" s="449"/>
      <c r="AZ31" s="449"/>
      <c r="BA31" s="449"/>
      <c r="BB31" s="449"/>
      <c r="BC31" s="449"/>
      <c r="BD31" s="449"/>
      <c r="BE31" s="449"/>
      <c r="BF31" s="449"/>
      <c r="BG31" s="449"/>
      <c r="BH31" s="449"/>
      <c r="BI31" s="449"/>
      <c r="BJ31" s="449"/>
      <c r="BK31" s="449"/>
      <c r="BL31" s="449"/>
      <c r="BM31" s="449"/>
      <c r="BN31" s="449"/>
      <c r="BO31" s="449"/>
      <c r="BP31" s="449"/>
      <c r="BQ31" s="449"/>
      <c r="BR31" s="449"/>
      <c r="BS31" s="449"/>
      <c r="BT31" s="449"/>
      <c r="BU31" s="449"/>
      <c r="BV31" s="449"/>
      <c r="BW31" s="449"/>
      <c r="BX31" s="449"/>
      <c r="BY31" s="449"/>
      <c r="BZ31" s="449"/>
      <c r="CA31" s="449"/>
      <c r="CB31" s="449"/>
      <c r="CC31" s="449"/>
      <c r="CD31" s="449"/>
      <c r="CE31" s="449"/>
      <c r="CF31" s="449"/>
      <c r="CG31" s="449"/>
      <c r="CH31" s="449"/>
      <c r="CI31" s="449"/>
      <c r="CJ31" s="449"/>
      <c r="CK31" s="449"/>
      <c r="CL31" s="449"/>
      <c r="CM31" s="449"/>
      <c r="CN31" s="449"/>
      <c r="CO31" s="449"/>
      <c r="CP31" s="449"/>
      <c r="CQ31" s="449"/>
      <c r="CR31" s="449"/>
      <c r="CS31" s="449"/>
      <c r="CT31" s="449"/>
      <c r="CU31" s="449"/>
      <c r="CV31" s="449"/>
      <c r="CW31" s="449"/>
      <c r="CX31" s="449"/>
      <c r="CY31" s="449"/>
      <c r="CZ31" s="449"/>
      <c r="DA31" s="449"/>
      <c r="DB31" s="449"/>
      <c r="DC31" s="449"/>
      <c r="DD31" s="449"/>
      <c r="DE31" s="449"/>
      <c r="DF31" s="449"/>
      <c r="DG31" s="449"/>
      <c r="DH31" s="449"/>
      <c r="DI31" s="449"/>
      <c r="DJ31" s="449"/>
      <c r="DK31" s="449"/>
      <c r="DL31" s="449"/>
      <c r="DM31" s="449"/>
      <c r="DN31" s="449"/>
      <c r="DO31" s="449"/>
      <c r="DP31" s="449"/>
      <c r="DQ31" s="449"/>
      <c r="DR31" s="449"/>
      <c r="DS31" s="449"/>
      <c r="DT31" s="449"/>
      <c r="DU31" s="449"/>
      <c r="DV31" s="449"/>
      <c r="DW31" s="449"/>
      <c r="DX31" s="449"/>
      <c r="DY31" s="449"/>
      <c r="DZ31" s="449"/>
      <c r="EA31" s="449"/>
      <c r="EB31" s="449"/>
      <c r="EC31" s="449"/>
      <c r="ED31" s="449"/>
      <c r="EE31" s="449"/>
      <c r="EF31" s="449"/>
      <c r="EG31" s="449"/>
      <c r="EH31" s="449"/>
      <c r="EI31" s="449"/>
      <c r="EJ31" s="449"/>
      <c r="EK31" s="449"/>
      <c r="EL31" s="449"/>
      <c r="EM31" s="449"/>
      <c r="EN31" s="449"/>
      <c r="EO31" s="449"/>
      <c r="EP31" s="449"/>
      <c r="EQ31" s="449"/>
      <c r="ER31" s="449"/>
      <c r="ES31" s="449"/>
      <c r="ET31" s="449"/>
      <c r="EU31" s="449"/>
      <c r="EV31" s="449"/>
      <c r="EW31" s="449"/>
      <c r="EX31" s="449"/>
      <c r="EY31" s="449"/>
      <c r="EZ31" s="449"/>
      <c r="FA31" s="449"/>
      <c r="FB31" s="449"/>
      <c r="FC31" s="449"/>
      <c r="FD31" s="449"/>
      <c r="FE31" s="449"/>
      <c r="FF31" s="449"/>
      <c r="FG31" s="449"/>
      <c r="FH31" s="449"/>
      <c r="FI31" s="449"/>
      <c r="FJ31" s="449"/>
      <c r="FK31" s="449"/>
      <c r="FL31" s="449"/>
      <c r="FM31" s="449"/>
      <c r="FN31" s="449"/>
      <c r="FO31" s="449"/>
      <c r="FP31" s="449"/>
      <c r="FQ31" s="449"/>
      <c r="FR31" s="449"/>
      <c r="FS31" s="449"/>
      <c r="FT31" s="449"/>
      <c r="FU31" s="449"/>
      <c r="FV31" s="449"/>
      <c r="FW31" s="449"/>
      <c r="FX31" s="449"/>
      <c r="FY31" s="449"/>
      <c r="FZ31" s="449"/>
      <c r="GA31" s="449"/>
      <c r="GB31" s="449"/>
      <c r="GC31" s="449"/>
      <c r="GD31" s="449"/>
      <c r="GE31" s="449"/>
      <c r="GF31" s="449"/>
      <c r="GG31" s="449"/>
      <c r="GH31" s="449"/>
      <c r="GI31" s="449"/>
      <c r="GJ31" s="449"/>
      <c r="GK31" s="449"/>
      <c r="GL31" s="449"/>
      <c r="GM31" s="449"/>
      <c r="GN31" s="449"/>
      <c r="GO31" s="449"/>
      <c r="GP31" s="449"/>
      <c r="GQ31" s="449"/>
      <c r="GR31" s="449"/>
      <c r="GS31" s="449"/>
      <c r="GT31" s="449"/>
      <c r="GU31" s="449"/>
      <c r="GV31" s="449"/>
      <c r="GW31" s="449"/>
      <c r="GX31" s="449"/>
      <c r="GY31" s="449"/>
      <c r="GZ31" s="449"/>
      <c r="HA31" s="449"/>
      <c r="HB31" s="449"/>
      <c r="HC31" s="449"/>
      <c r="HD31" s="449"/>
      <c r="HE31" s="449"/>
      <c r="HF31" s="449"/>
      <c r="HG31" s="449"/>
      <c r="HH31" s="449"/>
      <c r="HI31" s="449"/>
      <c r="HJ31" s="449"/>
      <c r="HK31" s="449"/>
      <c r="HL31" s="449"/>
      <c r="HM31" s="449"/>
      <c r="HN31" s="449"/>
      <c r="HO31" s="449"/>
      <c r="HP31" s="449"/>
      <c r="HQ31" s="449"/>
      <c r="HR31" s="449"/>
      <c r="HS31" s="449"/>
      <c r="HT31" s="449"/>
      <c r="HU31" s="449"/>
      <c r="HV31" s="449"/>
      <c r="HW31" s="449"/>
      <c r="HX31" s="449"/>
      <c r="HY31" s="449"/>
      <c r="HZ31" s="449"/>
      <c r="IA31" s="449"/>
      <c r="IB31" s="449"/>
      <c r="IC31" s="449"/>
      <c r="ID31" s="449"/>
      <c r="IE31" s="449"/>
      <c r="IF31" s="449"/>
      <c r="IG31" s="449"/>
      <c r="IH31" s="449"/>
      <c r="II31" s="449"/>
      <c r="IJ31" s="449"/>
      <c r="IK31" s="449"/>
      <c r="IL31" s="449"/>
      <c r="IM31" s="449"/>
      <c r="IN31" s="449"/>
      <c r="IO31" s="449"/>
      <c r="IP31" s="449"/>
      <c r="IQ31" s="449"/>
      <c r="IR31" s="449"/>
      <c r="IS31" s="449"/>
      <c r="IT31" s="449"/>
      <c r="IU31" s="449"/>
      <c r="IV31" s="449"/>
      <c r="IW31" s="449"/>
    </row>
    <row r="32" customFormat="false" ht="12.75" hidden="false" customHeight="false" outlineLevel="0" collapsed="false">
      <c r="A32" s="461" t="n">
        <f aca="false">A31+1</f>
        <v>29</v>
      </c>
      <c r="B32" s="466"/>
      <c r="C32" s="467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</row>
    <row r="33" customFormat="false" ht="12.75" hidden="false" customHeight="false" outlineLevel="0" collapsed="false">
      <c r="A33" s="461" t="n">
        <f aca="false">A32+1</f>
        <v>30</v>
      </c>
      <c r="B33" s="466" t="str">
        <f aca="false">'Plant Configuration'!B38</f>
        <v>Maintenance Staff</v>
      </c>
      <c r="C33" s="467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449"/>
      <c r="U33" s="449"/>
      <c r="V33" s="449"/>
      <c r="W33" s="449"/>
      <c r="X33" s="449"/>
      <c r="Y33" s="449"/>
      <c r="Z33" s="449"/>
      <c r="AA33" s="449"/>
      <c r="AB33" s="449"/>
      <c r="AC33" s="449"/>
      <c r="AD33" s="449"/>
      <c r="AE33" s="449"/>
      <c r="AF33" s="449"/>
      <c r="AG33" s="449"/>
      <c r="AH33" s="449"/>
      <c r="AI33" s="449"/>
      <c r="AJ33" s="449"/>
      <c r="AK33" s="449"/>
      <c r="AL33" s="449"/>
      <c r="AM33" s="449"/>
      <c r="AN33" s="449"/>
      <c r="AO33" s="449"/>
      <c r="AP33" s="449"/>
      <c r="AQ33" s="449"/>
      <c r="AR33" s="449"/>
      <c r="AS33" s="449"/>
      <c r="AT33" s="449"/>
      <c r="AU33" s="449"/>
      <c r="AV33" s="449"/>
      <c r="AW33" s="449"/>
      <c r="AX33" s="449"/>
      <c r="AY33" s="449"/>
      <c r="AZ33" s="449"/>
      <c r="BA33" s="449"/>
      <c r="BB33" s="449"/>
      <c r="BC33" s="449"/>
      <c r="BD33" s="449"/>
      <c r="BE33" s="449"/>
      <c r="BF33" s="449"/>
      <c r="BG33" s="449"/>
      <c r="BH33" s="449"/>
      <c r="BI33" s="449"/>
      <c r="BJ33" s="449"/>
      <c r="BK33" s="449"/>
      <c r="BL33" s="449"/>
      <c r="BM33" s="449"/>
      <c r="BN33" s="449"/>
      <c r="BO33" s="449"/>
      <c r="BP33" s="449"/>
      <c r="BQ33" s="449"/>
      <c r="BR33" s="449"/>
      <c r="BS33" s="449"/>
      <c r="BT33" s="449"/>
      <c r="BU33" s="449"/>
      <c r="BV33" s="449"/>
      <c r="BW33" s="449"/>
      <c r="BX33" s="449"/>
      <c r="BY33" s="449"/>
      <c r="BZ33" s="449"/>
      <c r="CA33" s="449"/>
      <c r="CB33" s="449"/>
      <c r="CC33" s="449"/>
      <c r="CD33" s="449"/>
      <c r="CE33" s="449"/>
      <c r="CF33" s="449"/>
      <c r="CG33" s="449"/>
      <c r="CH33" s="449"/>
      <c r="CI33" s="449"/>
      <c r="CJ33" s="449"/>
      <c r="CK33" s="449"/>
      <c r="CL33" s="449"/>
      <c r="CM33" s="449"/>
      <c r="CN33" s="449"/>
      <c r="CO33" s="449"/>
      <c r="CP33" s="449"/>
      <c r="CQ33" s="449"/>
      <c r="CR33" s="449"/>
      <c r="CS33" s="449"/>
      <c r="CT33" s="449"/>
      <c r="CU33" s="449"/>
      <c r="CV33" s="449"/>
      <c r="CW33" s="449"/>
      <c r="CX33" s="449"/>
      <c r="CY33" s="449"/>
      <c r="CZ33" s="449"/>
      <c r="DA33" s="449"/>
      <c r="DB33" s="449"/>
      <c r="DC33" s="449"/>
      <c r="DD33" s="449"/>
      <c r="DE33" s="449"/>
      <c r="DF33" s="449"/>
      <c r="DG33" s="449"/>
      <c r="DH33" s="449"/>
      <c r="DI33" s="449"/>
      <c r="DJ33" s="449"/>
      <c r="DK33" s="449"/>
      <c r="DL33" s="449"/>
      <c r="DM33" s="449"/>
      <c r="DN33" s="449"/>
      <c r="DO33" s="449"/>
      <c r="DP33" s="449"/>
      <c r="DQ33" s="449"/>
      <c r="DR33" s="449"/>
      <c r="DS33" s="449"/>
      <c r="DT33" s="449"/>
      <c r="DU33" s="449"/>
      <c r="DV33" s="449"/>
      <c r="DW33" s="449"/>
      <c r="DX33" s="449"/>
      <c r="DY33" s="449"/>
      <c r="DZ33" s="449"/>
      <c r="EA33" s="449"/>
      <c r="EB33" s="449"/>
      <c r="EC33" s="449"/>
      <c r="ED33" s="449"/>
      <c r="EE33" s="449"/>
      <c r="EF33" s="449"/>
      <c r="EG33" s="449"/>
      <c r="EH33" s="449"/>
      <c r="EI33" s="449"/>
      <c r="EJ33" s="449"/>
      <c r="EK33" s="449"/>
      <c r="EL33" s="449"/>
      <c r="EM33" s="449"/>
      <c r="EN33" s="449"/>
      <c r="EO33" s="449"/>
      <c r="EP33" s="449"/>
      <c r="EQ33" s="449"/>
      <c r="ER33" s="449"/>
      <c r="ES33" s="449"/>
      <c r="ET33" s="449"/>
      <c r="EU33" s="449"/>
      <c r="EV33" s="449"/>
      <c r="EW33" s="449"/>
      <c r="EX33" s="449"/>
      <c r="EY33" s="449"/>
      <c r="EZ33" s="449"/>
      <c r="FA33" s="449"/>
      <c r="FB33" s="449"/>
      <c r="FC33" s="449"/>
      <c r="FD33" s="449"/>
      <c r="FE33" s="449"/>
      <c r="FF33" s="449"/>
      <c r="FG33" s="449"/>
      <c r="FH33" s="449"/>
      <c r="FI33" s="449"/>
      <c r="FJ33" s="449"/>
      <c r="FK33" s="449"/>
      <c r="FL33" s="449"/>
      <c r="FM33" s="449"/>
      <c r="FN33" s="449"/>
      <c r="FO33" s="449"/>
      <c r="FP33" s="449"/>
      <c r="FQ33" s="449"/>
      <c r="FR33" s="449"/>
      <c r="FS33" s="449"/>
      <c r="FT33" s="449"/>
      <c r="FU33" s="449"/>
      <c r="FV33" s="449"/>
      <c r="FW33" s="449"/>
      <c r="FX33" s="449"/>
      <c r="FY33" s="449"/>
      <c r="FZ33" s="449"/>
      <c r="GA33" s="449"/>
      <c r="GB33" s="449"/>
      <c r="GC33" s="449"/>
      <c r="GD33" s="449"/>
      <c r="GE33" s="449"/>
      <c r="GF33" s="449"/>
      <c r="GG33" s="449"/>
      <c r="GH33" s="449"/>
      <c r="GI33" s="449"/>
      <c r="GJ33" s="449"/>
      <c r="GK33" s="449"/>
      <c r="GL33" s="449"/>
      <c r="GM33" s="449"/>
      <c r="GN33" s="449"/>
      <c r="GO33" s="449"/>
      <c r="GP33" s="449"/>
      <c r="GQ33" s="449"/>
      <c r="GR33" s="449"/>
      <c r="GS33" s="449"/>
      <c r="GT33" s="449"/>
      <c r="GU33" s="449"/>
      <c r="GV33" s="449"/>
      <c r="GW33" s="449"/>
      <c r="GX33" s="449"/>
      <c r="GY33" s="449"/>
      <c r="GZ33" s="449"/>
      <c r="HA33" s="449"/>
      <c r="HB33" s="449"/>
      <c r="HC33" s="449"/>
      <c r="HD33" s="449"/>
      <c r="HE33" s="449"/>
      <c r="HF33" s="449"/>
      <c r="HG33" s="449"/>
      <c r="HH33" s="449"/>
      <c r="HI33" s="449"/>
      <c r="HJ33" s="449"/>
      <c r="HK33" s="449"/>
      <c r="HL33" s="449"/>
      <c r="HM33" s="449"/>
      <c r="HN33" s="449"/>
      <c r="HO33" s="449"/>
      <c r="HP33" s="449"/>
      <c r="HQ33" s="449"/>
      <c r="HR33" s="449"/>
      <c r="HS33" s="449"/>
      <c r="HT33" s="449"/>
      <c r="HU33" s="449"/>
      <c r="HV33" s="449"/>
      <c r="HW33" s="449"/>
      <c r="HX33" s="449"/>
      <c r="HY33" s="449"/>
      <c r="HZ33" s="449"/>
      <c r="IA33" s="449"/>
      <c r="IB33" s="449"/>
      <c r="IC33" s="449"/>
      <c r="ID33" s="449"/>
      <c r="IE33" s="449"/>
      <c r="IF33" s="449"/>
      <c r="IG33" s="449"/>
      <c r="IH33" s="449"/>
      <c r="II33" s="449"/>
      <c r="IJ33" s="449"/>
      <c r="IK33" s="449"/>
      <c r="IL33" s="449"/>
      <c r="IM33" s="449"/>
      <c r="IN33" s="449"/>
      <c r="IO33" s="449"/>
      <c r="IP33" s="449"/>
      <c r="IQ33" s="449"/>
      <c r="IR33" s="449"/>
      <c r="IS33" s="449"/>
      <c r="IT33" s="449"/>
      <c r="IU33" s="449"/>
      <c r="IV33" s="449"/>
      <c r="IW33" s="449"/>
    </row>
    <row r="34" customFormat="false" ht="12.75" hidden="false" customHeight="false" outlineLevel="0" collapsed="false">
      <c r="A34" s="461" t="n">
        <f aca="false">A33+1</f>
        <v>31</v>
      </c>
      <c r="B34" s="466"/>
      <c r="C34" s="467" t="str">
        <f aca="false">'Plant Configuration'!C39</f>
        <v>Maintenance Manager</v>
      </c>
      <c r="D34" s="449"/>
      <c r="E34" s="468" t="n">
        <v>65000</v>
      </c>
      <c r="F34" s="468" t="n">
        <v>65000</v>
      </c>
      <c r="G34" s="468" t="n">
        <v>65000</v>
      </c>
      <c r="H34" s="468" t="n">
        <v>65000</v>
      </c>
      <c r="I34" s="468" t="n">
        <v>65000</v>
      </c>
      <c r="J34" s="468" t="n">
        <v>65000</v>
      </c>
      <c r="K34" s="468"/>
      <c r="L34" s="468"/>
      <c r="M34" s="468"/>
      <c r="N34" s="468"/>
      <c r="O34" s="468"/>
      <c r="P34" s="468"/>
      <c r="Q34" s="468"/>
      <c r="R34" s="468"/>
      <c r="S34" s="468"/>
      <c r="T34" s="449"/>
      <c r="U34" s="449"/>
      <c r="V34" s="449"/>
      <c r="W34" s="449"/>
      <c r="X34" s="449"/>
      <c r="Y34" s="449"/>
      <c r="Z34" s="449"/>
      <c r="AA34" s="449"/>
      <c r="AB34" s="449"/>
      <c r="AC34" s="449"/>
      <c r="AD34" s="449"/>
      <c r="AE34" s="449"/>
      <c r="AF34" s="449"/>
      <c r="AG34" s="449"/>
      <c r="AH34" s="449"/>
      <c r="AI34" s="449"/>
      <c r="AJ34" s="449"/>
      <c r="AK34" s="449"/>
      <c r="AL34" s="449"/>
      <c r="AM34" s="449"/>
      <c r="AN34" s="449"/>
      <c r="AO34" s="449"/>
      <c r="AP34" s="449"/>
      <c r="AQ34" s="449"/>
      <c r="AR34" s="449"/>
      <c r="AS34" s="449"/>
      <c r="AT34" s="449"/>
      <c r="AU34" s="449"/>
      <c r="AV34" s="449"/>
      <c r="AW34" s="449"/>
      <c r="AX34" s="449"/>
      <c r="AY34" s="449"/>
      <c r="AZ34" s="449"/>
      <c r="BA34" s="449"/>
      <c r="BB34" s="449"/>
      <c r="BC34" s="449"/>
      <c r="BD34" s="449"/>
      <c r="BE34" s="449"/>
      <c r="BF34" s="449"/>
      <c r="BG34" s="449"/>
      <c r="BH34" s="449"/>
      <c r="BI34" s="449"/>
      <c r="BJ34" s="449"/>
      <c r="BK34" s="449"/>
      <c r="BL34" s="449"/>
      <c r="BM34" s="449"/>
      <c r="BN34" s="449"/>
      <c r="BO34" s="449"/>
      <c r="BP34" s="449"/>
      <c r="BQ34" s="449"/>
      <c r="BR34" s="449"/>
      <c r="BS34" s="449"/>
      <c r="BT34" s="449"/>
      <c r="BU34" s="449"/>
      <c r="BV34" s="449"/>
      <c r="BW34" s="449"/>
      <c r="BX34" s="449"/>
      <c r="BY34" s="449"/>
      <c r="BZ34" s="449"/>
      <c r="CA34" s="449"/>
      <c r="CB34" s="449"/>
      <c r="CC34" s="449"/>
      <c r="CD34" s="449"/>
      <c r="CE34" s="449"/>
      <c r="CF34" s="449"/>
      <c r="CG34" s="449"/>
      <c r="CH34" s="449"/>
      <c r="CI34" s="449"/>
      <c r="CJ34" s="449"/>
      <c r="CK34" s="449"/>
      <c r="CL34" s="449"/>
      <c r="CM34" s="449"/>
      <c r="CN34" s="449"/>
      <c r="CO34" s="449"/>
      <c r="CP34" s="449"/>
      <c r="CQ34" s="449"/>
      <c r="CR34" s="449"/>
      <c r="CS34" s="449"/>
      <c r="CT34" s="449"/>
      <c r="CU34" s="449"/>
      <c r="CV34" s="449"/>
      <c r="CW34" s="449"/>
      <c r="CX34" s="449"/>
      <c r="CY34" s="449"/>
      <c r="CZ34" s="449"/>
      <c r="DA34" s="449"/>
      <c r="DB34" s="449"/>
      <c r="DC34" s="449"/>
      <c r="DD34" s="449"/>
      <c r="DE34" s="449"/>
      <c r="DF34" s="449"/>
      <c r="DG34" s="449"/>
      <c r="DH34" s="449"/>
      <c r="DI34" s="449"/>
      <c r="DJ34" s="449"/>
      <c r="DK34" s="449"/>
      <c r="DL34" s="449"/>
      <c r="DM34" s="449"/>
      <c r="DN34" s="449"/>
      <c r="DO34" s="449"/>
      <c r="DP34" s="449"/>
      <c r="DQ34" s="449"/>
      <c r="DR34" s="449"/>
      <c r="DS34" s="449"/>
      <c r="DT34" s="449"/>
      <c r="DU34" s="449"/>
      <c r="DV34" s="449"/>
      <c r="DW34" s="449"/>
      <c r="DX34" s="449"/>
      <c r="DY34" s="449"/>
      <c r="DZ34" s="449"/>
      <c r="EA34" s="449"/>
      <c r="EB34" s="449"/>
      <c r="EC34" s="449"/>
      <c r="ED34" s="449"/>
      <c r="EE34" s="449"/>
      <c r="EF34" s="449"/>
      <c r="EG34" s="449"/>
      <c r="EH34" s="449"/>
      <c r="EI34" s="449"/>
      <c r="EJ34" s="449"/>
      <c r="EK34" s="449"/>
      <c r="EL34" s="449"/>
      <c r="EM34" s="449"/>
      <c r="EN34" s="449"/>
      <c r="EO34" s="449"/>
      <c r="EP34" s="449"/>
      <c r="EQ34" s="449"/>
      <c r="ER34" s="449"/>
      <c r="ES34" s="449"/>
      <c r="ET34" s="449"/>
      <c r="EU34" s="449"/>
      <c r="EV34" s="449"/>
      <c r="EW34" s="449"/>
      <c r="EX34" s="449"/>
      <c r="EY34" s="449"/>
      <c r="EZ34" s="449"/>
      <c r="FA34" s="449"/>
      <c r="FB34" s="449"/>
      <c r="FC34" s="449"/>
      <c r="FD34" s="449"/>
      <c r="FE34" s="449"/>
      <c r="FF34" s="449"/>
      <c r="FG34" s="449"/>
      <c r="FH34" s="449"/>
      <c r="FI34" s="449"/>
      <c r="FJ34" s="449"/>
      <c r="FK34" s="449"/>
      <c r="FL34" s="449"/>
      <c r="FM34" s="449"/>
      <c r="FN34" s="449"/>
      <c r="FO34" s="449"/>
      <c r="FP34" s="449"/>
      <c r="FQ34" s="449"/>
      <c r="FR34" s="449"/>
      <c r="FS34" s="449"/>
      <c r="FT34" s="449"/>
      <c r="FU34" s="449"/>
      <c r="FV34" s="449"/>
      <c r="FW34" s="449"/>
      <c r="FX34" s="449"/>
      <c r="FY34" s="449"/>
      <c r="FZ34" s="449"/>
      <c r="GA34" s="449"/>
      <c r="GB34" s="449"/>
      <c r="GC34" s="449"/>
      <c r="GD34" s="449"/>
      <c r="GE34" s="449"/>
      <c r="GF34" s="449"/>
      <c r="GG34" s="449"/>
      <c r="GH34" s="449"/>
      <c r="GI34" s="449"/>
      <c r="GJ34" s="449"/>
      <c r="GK34" s="449"/>
      <c r="GL34" s="449"/>
      <c r="GM34" s="449"/>
      <c r="GN34" s="449"/>
      <c r="GO34" s="449"/>
      <c r="GP34" s="449"/>
      <c r="GQ34" s="449"/>
      <c r="GR34" s="449"/>
      <c r="GS34" s="449"/>
      <c r="GT34" s="449"/>
      <c r="GU34" s="449"/>
      <c r="GV34" s="449"/>
      <c r="GW34" s="449"/>
      <c r="GX34" s="449"/>
      <c r="GY34" s="449"/>
      <c r="GZ34" s="449"/>
      <c r="HA34" s="449"/>
      <c r="HB34" s="449"/>
      <c r="HC34" s="449"/>
      <c r="HD34" s="449"/>
      <c r="HE34" s="449"/>
      <c r="HF34" s="449"/>
      <c r="HG34" s="449"/>
      <c r="HH34" s="449"/>
      <c r="HI34" s="449"/>
      <c r="HJ34" s="449"/>
      <c r="HK34" s="449"/>
      <c r="HL34" s="449"/>
      <c r="HM34" s="449"/>
      <c r="HN34" s="449"/>
      <c r="HO34" s="449"/>
      <c r="HP34" s="449"/>
      <c r="HQ34" s="449"/>
      <c r="HR34" s="449"/>
      <c r="HS34" s="449"/>
      <c r="HT34" s="449"/>
      <c r="HU34" s="449"/>
      <c r="HV34" s="449"/>
      <c r="HW34" s="449"/>
      <c r="HX34" s="449"/>
      <c r="HY34" s="449"/>
      <c r="HZ34" s="449"/>
      <c r="IA34" s="449"/>
      <c r="IB34" s="449"/>
      <c r="IC34" s="449"/>
      <c r="ID34" s="449"/>
      <c r="IE34" s="449"/>
      <c r="IF34" s="449"/>
      <c r="IG34" s="449"/>
      <c r="IH34" s="449"/>
      <c r="II34" s="449"/>
      <c r="IJ34" s="449"/>
      <c r="IK34" s="449"/>
      <c r="IL34" s="449"/>
      <c r="IM34" s="449"/>
      <c r="IN34" s="449"/>
      <c r="IO34" s="449"/>
      <c r="IP34" s="449"/>
      <c r="IQ34" s="449"/>
      <c r="IR34" s="449"/>
      <c r="IS34" s="449"/>
      <c r="IT34" s="449"/>
      <c r="IU34" s="449"/>
      <c r="IV34" s="449"/>
      <c r="IW34" s="449"/>
    </row>
    <row r="35" customFormat="false" ht="12.75" hidden="false" customHeight="false" outlineLevel="0" collapsed="false">
      <c r="A35" s="461" t="n">
        <f aca="false">A34+1</f>
        <v>32</v>
      </c>
      <c r="B35" s="466"/>
      <c r="C35" s="467" t="str">
        <f aca="false">'Plant Configuration'!C40</f>
        <v>Mechanical Engineer</v>
      </c>
      <c r="D35" s="449"/>
      <c r="E35" s="468" t="n">
        <v>50000</v>
      </c>
      <c r="F35" s="468" t="n">
        <v>50000</v>
      </c>
      <c r="G35" s="468" t="n">
        <v>50000</v>
      </c>
      <c r="H35" s="468" t="n">
        <v>50000</v>
      </c>
      <c r="I35" s="468" t="n">
        <v>50000</v>
      </c>
      <c r="J35" s="468" t="n">
        <v>50000</v>
      </c>
      <c r="K35" s="468"/>
      <c r="L35" s="468"/>
      <c r="M35" s="468"/>
      <c r="N35" s="468"/>
      <c r="O35" s="468"/>
      <c r="P35" s="468"/>
      <c r="Q35" s="468"/>
      <c r="R35" s="468"/>
      <c r="S35" s="468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449"/>
      <c r="AW35" s="449"/>
      <c r="AX35" s="449"/>
      <c r="AY35" s="449"/>
      <c r="AZ35" s="449"/>
      <c r="BA35" s="449"/>
      <c r="BB35" s="449"/>
      <c r="BC35" s="449"/>
      <c r="BD35" s="449"/>
      <c r="BE35" s="449"/>
      <c r="BF35" s="449"/>
      <c r="BG35" s="449"/>
      <c r="BH35" s="449"/>
      <c r="BI35" s="449"/>
      <c r="BJ35" s="449"/>
      <c r="BK35" s="449"/>
      <c r="BL35" s="449"/>
      <c r="BM35" s="449"/>
      <c r="BN35" s="449"/>
      <c r="BO35" s="449"/>
      <c r="BP35" s="449"/>
      <c r="BQ35" s="449"/>
      <c r="BR35" s="449"/>
      <c r="BS35" s="449"/>
      <c r="BT35" s="449"/>
      <c r="BU35" s="449"/>
      <c r="BV35" s="449"/>
      <c r="BW35" s="449"/>
      <c r="BX35" s="449"/>
      <c r="BY35" s="449"/>
      <c r="BZ35" s="449"/>
      <c r="CA35" s="449"/>
      <c r="CB35" s="449"/>
      <c r="CC35" s="449"/>
      <c r="CD35" s="449"/>
      <c r="CE35" s="449"/>
      <c r="CF35" s="449"/>
      <c r="CG35" s="449"/>
      <c r="CH35" s="449"/>
      <c r="CI35" s="449"/>
      <c r="CJ35" s="449"/>
      <c r="CK35" s="449"/>
      <c r="CL35" s="449"/>
      <c r="CM35" s="449"/>
      <c r="CN35" s="449"/>
      <c r="CO35" s="449"/>
      <c r="CP35" s="449"/>
      <c r="CQ35" s="449"/>
      <c r="CR35" s="449"/>
      <c r="CS35" s="449"/>
      <c r="CT35" s="449"/>
      <c r="CU35" s="449"/>
      <c r="CV35" s="449"/>
      <c r="CW35" s="449"/>
      <c r="CX35" s="449"/>
      <c r="CY35" s="449"/>
      <c r="CZ35" s="449"/>
      <c r="DA35" s="449"/>
      <c r="DB35" s="449"/>
      <c r="DC35" s="449"/>
      <c r="DD35" s="449"/>
      <c r="DE35" s="449"/>
      <c r="DF35" s="449"/>
      <c r="DG35" s="449"/>
      <c r="DH35" s="449"/>
      <c r="DI35" s="449"/>
      <c r="DJ35" s="449"/>
      <c r="DK35" s="449"/>
      <c r="DL35" s="449"/>
      <c r="DM35" s="449"/>
      <c r="DN35" s="449"/>
      <c r="DO35" s="449"/>
      <c r="DP35" s="449"/>
      <c r="DQ35" s="449"/>
      <c r="DR35" s="449"/>
      <c r="DS35" s="449"/>
      <c r="DT35" s="449"/>
      <c r="DU35" s="449"/>
      <c r="DV35" s="449"/>
      <c r="DW35" s="449"/>
      <c r="DX35" s="449"/>
      <c r="DY35" s="449"/>
      <c r="DZ35" s="449"/>
      <c r="EA35" s="449"/>
      <c r="EB35" s="449"/>
      <c r="EC35" s="449"/>
      <c r="ED35" s="449"/>
      <c r="EE35" s="449"/>
      <c r="EF35" s="449"/>
      <c r="EG35" s="449"/>
      <c r="EH35" s="449"/>
      <c r="EI35" s="449"/>
      <c r="EJ35" s="449"/>
      <c r="EK35" s="449"/>
      <c r="EL35" s="449"/>
      <c r="EM35" s="449"/>
      <c r="EN35" s="449"/>
      <c r="EO35" s="449"/>
      <c r="EP35" s="449"/>
      <c r="EQ35" s="449"/>
      <c r="ER35" s="449"/>
      <c r="ES35" s="449"/>
      <c r="ET35" s="449"/>
      <c r="EU35" s="449"/>
      <c r="EV35" s="449"/>
      <c r="EW35" s="449"/>
      <c r="EX35" s="449"/>
      <c r="EY35" s="449"/>
      <c r="EZ35" s="449"/>
      <c r="FA35" s="449"/>
      <c r="FB35" s="449"/>
      <c r="FC35" s="449"/>
      <c r="FD35" s="449"/>
      <c r="FE35" s="449"/>
      <c r="FF35" s="449"/>
      <c r="FG35" s="449"/>
      <c r="FH35" s="449"/>
      <c r="FI35" s="449"/>
      <c r="FJ35" s="449"/>
      <c r="FK35" s="449"/>
      <c r="FL35" s="449"/>
      <c r="FM35" s="449"/>
      <c r="FN35" s="449"/>
      <c r="FO35" s="449"/>
      <c r="FP35" s="449"/>
      <c r="FQ35" s="449"/>
      <c r="FR35" s="449"/>
      <c r="FS35" s="449"/>
      <c r="FT35" s="449"/>
      <c r="FU35" s="449"/>
      <c r="FV35" s="449"/>
      <c r="FW35" s="449"/>
      <c r="FX35" s="449"/>
      <c r="FY35" s="449"/>
      <c r="FZ35" s="449"/>
      <c r="GA35" s="449"/>
      <c r="GB35" s="449"/>
      <c r="GC35" s="449"/>
      <c r="GD35" s="449"/>
      <c r="GE35" s="449"/>
      <c r="GF35" s="449"/>
      <c r="GG35" s="449"/>
      <c r="GH35" s="449"/>
      <c r="GI35" s="449"/>
      <c r="GJ35" s="449"/>
      <c r="GK35" s="449"/>
      <c r="GL35" s="449"/>
      <c r="GM35" s="449"/>
      <c r="GN35" s="449"/>
      <c r="GO35" s="449"/>
      <c r="GP35" s="449"/>
      <c r="GQ35" s="449"/>
      <c r="GR35" s="449"/>
      <c r="GS35" s="449"/>
      <c r="GT35" s="449"/>
      <c r="GU35" s="449"/>
      <c r="GV35" s="449"/>
      <c r="GW35" s="449"/>
      <c r="GX35" s="449"/>
      <c r="GY35" s="449"/>
      <c r="GZ35" s="449"/>
      <c r="HA35" s="449"/>
      <c r="HB35" s="449"/>
      <c r="HC35" s="449"/>
      <c r="HD35" s="449"/>
      <c r="HE35" s="449"/>
      <c r="HF35" s="449"/>
      <c r="HG35" s="449"/>
      <c r="HH35" s="449"/>
      <c r="HI35" s="449"/>
      <c r="HJ35" s="449"/>
      <c r="HK35" s="449"/>
      <c r="HL35" s="449"/>
      <c r="HM35" s="449"/>
      <c r="HN35" s="449"/>
      <c r="HO35" s="449"/>
      <c r="HP35" s="449"/>
      <c r="HQ35" s="449"/>
      <c r="HR35" s="449"/>
      <c r="HS35" s="449"/>
      <c r="HT35" s="449"/>
      <c r="HU35" s="449"/>
      <c r="HV35" s="449"/>
      <c r="HW35" s="449"/>
      <c r="HX35" s="449"/>
      <c r="HY35" s="449"/>
      <c r="HZ35" s="449"/>
      <c r="IA35" s="449"/>
      <c r="IB35" s="449"/>
      <c r="IC35" s="449"/>
      <c r="ID35" s="449"/>
      <c r="IE35" s="449"/>
      <c r="IF35" s="449"/>
      <c r="IG35" s="449"/>
      <c r="IH35" s="449"/>
      <c r="II35" s="449"/>
      <c r="IJ35" s="449"/>
      <c r="IK35" s="449"/>
      <c r="IL35" s="449"/>
      <c r="IM35" s="449"/>
      <c r="IN35" s="449"/>
      <c r="IO35" s="449"/>
      <c r="IP35" s="449"/>
      <c r="IQ35" s="449"/>
      <c r="IR35" s="449"/>
      <c r="IS35" s="449"/>
      <c r="IT35" s="449"/>
      <c r="IU35" s="449"/>
      <c r="IV35" s="449"/>
      <c r="IW35" s="449"/>
    </row>
    <row r="36" customFormat="false" ht="12.75" hidden="false" customHeight="false" outlineLevel="0" collapsed="false">
      <c r="A36" s="461" t="n">
        <f aca="false">A35+1</f>
        <v>33</v>
      </c>
      <c r="B36" s="466"/>
      <c r="C36" s="467" t="str">
        <f aca="false">'Plant Configuration'!C41</f>
        <v>Maintenance Planner</v>
      </c>
      <c r="D36" s="449"/>
      <c r="E36" s="468" t="n">
        <v>40000</v>
      </c>
      <c r="F36" s="468" t="n">
        <v>40000</v>
      </c>
      <c r="G36" s="468" t="n">
        <v>40000</v>
      </c>
      <c r="H36" s="468" t="n">
        <v>40000</v>
      </c>
      <c r="I36" s="468" t="n">
        <v>40000</v>
      </c>
      <c r="J36" s="468" t="n">
        <v>40000</v>
      </c>
      <c r="K36" s="468"/>
      <c r="L36" s="468"/>
      <c r="M36" s="468"/>
      <c r="N36" s="468"/>
      <c r="O36" s="468"/>
      <c r="P36" s="468"/>
      <c r="Q36" s="468"/>
      <c r="R36" s="468"/>
      <c r="S36" s="468"/>
      <c r="T36" s="449"/>
      <c r="U36" s="449"/>
      <c r="V36" s="449"/>
      <c r="W36" s="449"/>
      <c r="X36" s="449"/>
      <c r="Y36" s="449"/>
      <c r="Z36" s="449"/>
      <c r="AA36" s="449"/>
      <c r="AB36" s="449"/>
      <c r="AC36" s="449"/>
      <c r="AD36" s="449"/>
      <c r="AE36" s="449"/>
      <c r="AF36" s="449"/>
      <c r="AG36" s="449"/>
      <c r="AH36" s="449"/>
      <c r="AI36" s="449"/>
      <c r="AJ36" s="449"/>
      <c r="AK36" s="449"/>
      <c r="AL36" s="449"/>
      <c r="AM36" s="449"/>
      <c r="AN36" s="449"/>
      <c r="AO36" s="449"/>
      <c r="AP36" s="449"/>
      <c r="AQ36" s="449"/>
      <c r="AR36" s="449"/>
      <c r="AS36" s="449"/>
      <c r="AT36" s="449"/>
      <c r="AU36" s="449"/>
      <c r="AV36" s="449"/>
      <c r="AW36" s="449"/>
      <c r="AX36" s="449"/>
      <c r="AY36" s="449"/>
      <c r="AZ36" s="449"/>
      <c r="BA36" s="449"/>
      <c r="BB36" s="449"/>
      <c r="BC36" s="449"/>
      <c r="BD36" s="449"/>
      <c r="BE36" s="449"/>
      <c r="BF36" s="449"/>
      <c r="BG36" s="449"/>
      <c r="BH36" s="449"/>
      <c r="BI36" s="449"/>
      <c r="BJ36" s="449"/>
      <c r="BK36" s="449"/>
      <c r="BL36" s="449"/>
      <c r="BM36" s="449"/>
      <c r="BN36" s="449"/>
      <c r="BO36" s="449"/>
      <c r="BP36" s="449"/>
      <c r="BQ36" s="449"/>
      <c r="BR36" s="449"/>
      <c r="BS36" s="449"/>
      <c r="BT36" s="449"/>
      <c r="BU36" s="449"/>
      <c r="BV36" s="449"/>
      <c r="BW36" s="449"/>
      <c r="BX36" s="449"/>
      <c r="BY36" s="449"/>
      <c r="BZ36" s="449"/>
      <c r="CA36" s="449"/>
      <c r="CB36" s="449"/>
      <c r="CC36" s="449"/>
      <c r="CD36" s="449"/>
      <c r="CE36" s="449"/>
      <c r="CF36" s="449"/>
      <c r="CG36" s="449"/>
      <c r="CH36" s="449"/>
      <c r="CI36" s="449"/>
      <c r="CJ36" s="449"/>
      <c r="CK36" s="449"/>
      <c r="CL36" s="449"/>
      <c r="CM36" s="449"/>
      <c r="CN36" s="449"/>
      <c r="CO36" s="449"/>
      <c r="CP36" s="449"/>
      <c r="CQ36" s="449"/>
      <c r="CR36" s="449"/>
      <c r="CS36" s="449"/>
      <c r="CT36" s="449"/>
      <c r="CU36" s="449"/>
      <c r="CV36" s="449"/>
      <c r="CW36" s="449"/>
      <c r="CX36" s="449"/>
      <c r="CY36" s="449"/>
      <c r="CZ36" s="449"/>
      <c r="DA36" s="449"/>
      <c r="DB36" s="449"/>
      <c r="DC36" s="449"/>
      <c r="DD36" s="449"/>
      <c r="DE36" s="449"/>
      <c r="DF36" s="449"/>
      <c r="DG36" s="449"/>
      <c r="DH36" s="449"/>
      <c r="DI36" s="449"/>
      <c r="DJ36" s="449"/>
      <c r="DK36" s="449"/>
      <c r="DL36" s="449"/>
      <c r="DM36" s="449"/>
      <c r="DN36" s="449"/>
      <c r="DO36" s="449"/>
      <c r="DP36" s="449"/>
      <c r="DQ36" s="449"/>
      <c r="DR36" s="449"/>
      <c r="DS36" s="449"/>
      <c r="DT36" s="449"/>
      <c r="DU36" s="449"/>
      <c r="DV36" s="449"/>
      <c r="DW36" s="449"/>
      <c r="DX36" s="449"/>
      <c r="DY36" s="449"/>
      <c r="DZ36" s="449"/>
      <c r="EA36" s="449"/>
      <c r="EB36" s="449"/>
      <c r="EC36" s="449"/>
      <c r="ED36" s="449"/>
      <c r="EE36" s="449"/>
      <c r="EF36" s="449"/>
      <c r="EG36" s="449"/>
      <c r="EH36" s="449"/>
      <c r="EI36" s="449"/>
      <c r="EJ36" s="449"/>
      <c r="EK36" s="449"/>
      <c r="EL36" s="449"/>
      <c r="EM36" s="449"/>
      <c r="EN36" s="449"/>
      <c r="EO36" s="449"/>
      <c r="EP36" s="449"/>
      <c r="EQ36" s="449"/>
      <c r="ER36" s="449"/>
      <c r="ES36" s="449"/>
      <c r="ET36" s="449"/>
      <c r="EU36" s="449"/>
      <c r="EV36" s="449"/>
      <c r="EW36" s="449"/>
      <c r="EX36" s="449"/>
      <c r="EY36" s="449"/>
      <c r="EZ36" s="449"/>
      <c r="FA36" s="449"/>
      <c r="FB36" s="449"/>
      <c r="FC36" s="449"/>
      <c r="FD36" s="449"/>
      <c r="FE36" s="449"/>
      <c r="FF36" s="449"/>
      <c r="FG36" s="449"/>
      <c r="FH36" s="449"/>
      <c r="FI36" s="449"/>
      <c r="FJ36" s="449"/>
      <c r="FK36" s="449"/>
      <c r="FL36" s="449"/>
      <c r="FM36" s="449"/>
      <c r="FN36" s="449"/>
      <c r="FO36" s="449"/>
      <c r="FP36" s="449"/>
      <c r="FQ36" s="449"/>
      <c r="FR36" s="449"/>
      <c r="FS36" s="449"/>
      <c r="FT36" s="449"/>
      <c r="FU36" s="449"/>
      <c r="FV36" s="449"/>
      <c r="FW36" s="449"/>
      <c r="FX36" s="449"/>
      <c r="FY36" s="449"/>
      <c r="FZ36" s="449"/>
      <c r="GA36" s="449"/>
      <c r="GB36" s="449"/>
      <c r="GC36" s="449"/>
      <c r="GD36" s="449"/>
      <c r="GE36" s="449"/>
      <c r="GF36" s="449"/>
      <c r="GG36" s="449"/>
      <c r="GH36" s="449"/>
      <c r="GI36" s="449"/>
      <c r="GJ36" s="449"/>
      <c r="GK36" s="449"/>
      <c r="GL36" s="449"/>
      <c r="GM36" s="449"/>
      <c r="GN36" s="449"/>
      <c r="GO36" s="449"/>
      <c r="GP36" s="449"/>
      <c r="GQ36" s="449"/>
      <c r="GR36" s="449"/>
      <c r="GS36" s="449"/>
      <c r="GT36" s="449"/>
      <c r="GU36" s="449"/>
      <c r="GV36" s="449"/>
      <c r="GW36" s="449"/>
      <c r="GX36" s="449"/>
      <c r="GY36" s="449"/>
      <c r="GZ36" s="449"/>
      <c r="HA36" s="449"/>
      <c r="HB36" s="449"/>
      <c r="HC36" s="449"/>
      <c r="HD36" s="449"/>
      <c r="HE36" s="449"/>
      <c r="HF36" s="449"/>
      <c r="HG36" s="449"/>
      <c r="HH36" s="449"/>
      <c r="HI36" s="449"/>
      <c r="HJ36" s="449"/>
      <c r="HK36" s="449"/>
      <c r="HL36" s="449"/>
      <c r="HM36" s="449"/>
      <c r="HN36" s="449"/>
      <c r="HO36" s="449"/>
      <c r="HP36" s="449"/>
      <c r="HQ36" s="449"/>
      <c r="HR36" s="449"/>
      <c r="HS36" s="449"/>
      <c r="HT36" s="449"/>
      <c r="HU36" s="449"/>
      <c r="HV36" s="449"/>
      <c r="HW36" s="449"/>
      <c r="HX36" s="449"/>
      <c r="HY36" s="449"/>
      <c r="HZ36" s="449"/>
      <c r="IA36" s="449"/>
      <c r="IB36" s="449"/>
      <c r="IC36" s="449"/>
      <c r="ID36" s="449"/>
      <c r="IE36" s="449"/>
      <c r="IF36" s="449"/>
      <c r="IG36" s="449"/>
      <c r="IH36" s="449"/>
      <c r="II36" s="449"/>
      <c r="IJ36" s="449"/>
      <c r="IK36" s="449"/>
      <c r="IL36" s="449"/>
      <c r="IM36" s="449"/>
      <c r="IN36" s="449"/>
      <c r="IO36" s="449"/>
      <c r="IP36" s="449"/>
      <c r="IQ36" s="449"/>
      <c r="IR36" s="449"/>
      <c r="IS36" s="449"/>
      <c r="IT36" s="449"/>
      <c r="IU36" s="449"/>
      <c r="IV36" s="449"/>
      <c r="IW36" s="449"/>
    </row>
    <row r="37" customFormat="false" ht="12.75" hidden="false" customHeight="false" outlineLevel="0" collapsed="false">
      <c r="A37" s="461" t="n">
        <f aca="false">A36+1</f>
        <v>34</v>
      </c>
      <c r="B37" s="466"/>
      <c r="C37" s="467" t="str">
        <f aca="false">'Plant Configuration'!C42</f>
        <v>Mechanic</v>
      </c>
      <c r="D37" s="449"/>
      <c r="E37" s="468" t="n">
        <v>38000</v>
      </c>
      <c r="F37" s="468" t="n">
        <v>38000</v>
      </c>
      <c r="G37" s="468" t="n">
        <v>38000</v>
      </c>
      <c r="H37" s="468" t="n">
        <v>38000</v>
      </c>
      <c r="I37" s="468" t="n">
        <v>38000</v>
      </c>
      <c r="J37" s="468" t="n">
        <v>38000</v>
      </c>
      <c r="K37" s="468"/>
      <c r="L37" s="468"/>
      <c r="M37" s="468"/>
      <c r="N37" s="468"/>
      <c r="O37" s="468"/>
      <c r="P37" s="468"/>
      <c r="Q37" s="468"/>
      <c r="R37" s="468"/>
      <c r="S37" s="468"/>
      <c r="T37" s="449"/>
      <c r="U37" s="449"/>
      <c r="V37" s="449"/>
      <c r="W37" s="449"/>
      <c r="X37" s="449"/>
      <c r="Y37" s="449"/>
      <c r="Z37" s="449"/>
      <c r="AA37" s="449"/>
      <c r="AB37" s="449"/>
      <c r="AC37" s="449"/>
      <c r="AD37" s="449"/>
      <c r="AE37" s="449"/>
      <c r="AF37" s="449"/>
      <c r="AG37" s="449"/>
      <c r="AH37" s="449"/>
      <c r="AI37" s="449"/>
      <c r="AJ37" s="449"/>
      <c r="AK37" s="449"/>
      <c r="AL37" s="449"/>
      <c r="AM37" s="449"/>
      <c r="AN37" s="449"/>
      <c r="AO37" s="449"/>
      <c r="AP37" s="449"/>
      <c r="AQ37" s="449"/>
      <c r="AR37" s="449"/>
      <c r="AS37" s="449"/>
      <c r="AT37" s="449"/>
      <c r="AU37" s="449"/>
      <c r="AV37" s="449"/>
      <c r="AW37" s="449"/>
      <c r="AX37" s="449"/>
      <c r="AY37" s="449"/>
      <c r="AZ37" s="449"/>
      <c r="BA37" s="449"/>
      <c r="BB37" s="449"/>
      <c r="BC37" s="449"/>
      <c r="BD37" s="449"/>
      <c r="BE37" s="449"/>
      <c r="BF37" s="449"/>
      <c r="BG37" s="449"/>
      <c r="BH37" s="449"/>
      <c r="BI37" s="449"/>
      <c r="BJ37" s="449"/>
      <c r="BK37" s="449"/>
      <c r="BL37" s="449"/>
      <c r="BM37" s="449"/>
      <c r="BN37" s="449"/>
      <c r="BO37" s="449"/>
      <c r="BP37" s="449"/>
      <c r="BQ37" s="449"/>
      <c r="BR37" s="449"/>
      <c r="BS37" s="449"/>
      <c r="BT37" s="449"/>
      <c r="BU37" s="449"/>
      <c r="BV37" s="449"/>
      <c r="BW37" s="449"/>
      <c r="BX37" s="449"/>
      <c r="BY37" s="449"/>
      <c r="BZ37" s="449"/>
      <c r="CA37" s="449"/>
      <c r="CB37" s="449"/>
      <c r="CC37" s="449"/>
      <c r="CD37" s="449"/>
      <c r="CE37" s="449"/>
      <c r="CF37" s="449"/>
      <c r="CG37" s="449"/>
      <c r="CH37" s="449"/>
      <c r="CI37" s="449"/>
      <c r="CJ37" s="449"/>
      <c r="CK37" s="449"/>
      <c r="CL37" s="449"/>
      <c r="CM37" s="449"/>
      <c r="CN37" s="449"/>
      <c r="CO37" s="449"/>
      <c r="CP37" s="449"/>
      <c r="CQ37" s="449"/>
      <c r="CR37" s="449"/>
      <c r="CS37" s="449"/>
      <c r="CT37" s="449"/>
      <c r="CU37" s="449"/>
      <c r="CV37" s="449"/>
      <c r="CW37" s="449"/>
      <c r="CX37" s="449"/>
      <c r="CY37" s="449"/>
      <c r="CZ37" s="449"/>
      <c r="DA37" s="449"/>
      <c r="DB37" s="449"/>
      <c r="DC37" s="449"/>
      <c r="DD37" s="449"/>
      <c r="DE37" s="449"/>
      <c r="DF37" s="449"/>
      <c r="DG37" s="449"/>
      <c r="DH37" s="449"/>
      <c r="DI37" s="449"/>
      <c r="DJ37" s="449"/>
      <c r="DK37" s="449"/>
      <c r="DL37" s="449"/>
      <c r="DM37" s="449"/>
      <c r="DN37" s="449"/>
      <c r="DO37" s="449"/>
      <c r="DP37" s="449"/>
      <c r="DQ37" s="449"/>
      <c r="DR37" s="449"/>
      <c r="DS37" s="449"/>
      <c r="DT37" s="449"/>
      <c r="DU37" s="449"/>
      <c r="DV37" s="449"/>
      <c r="DW37" s="449"/>
      <c r="DX37" s="449"/>
      <c r="DY37" s="449"/>
      <c r="DZ37" s="449"/>
      <c r="EA37" s="449"/>
      <c r="EB37" s="449"/>
      <c r="EC37" s="449"/>
      <c r="ED37" s="449"/>
      <c r="EE37" s="449"/>
      <c r="EF37" s="449"/>
      <c r="EG37" s="449"/>
      <c r="EH37" s="449"/>
      <c r="EI37" s="449"/>
      <c r="EJ37" s="449"/>
      <c r="EK37" s="449"/>
      <c r="EL37" s="449"/>
      <c r="EM37" s="449"/>
      <c r="EN37" s="449"/>
      <c r="EO37" s="449"/>
      <c r="EP37" s="449"/>
      <c r="EQ37" s="449"/>
      <c r="ER37" s="449"/>
      <c r="ES37" s="449"/>
      <c r="ET37" s="449"/>
      <c r="EU37" s="449"/>
      <c r="EV37" s="449"/>
      <c r="EW37" s="449"/>
      <c r="EX37" s="449"/>
      <c r="EY37" s="449"/>
      <c r="EZ37" s="449"/>
      <c r="FA37" s="449"/>
      <c r="FB37" s="449"/>
      <c r="FC37" s="449"/>
      <c r="FD37" s="449"/>
      <c r="FE37" s="449"/>
      <c r="FF37" s="449"/>
      <c r="FG37" s="449"/>
      <c r="FH37" s="449"/>
      <c r="FI37" s="449"/>
      <c r="FJ37" s="449"/>
      <c r="FK37" s="449"/>
      <c r="FL37" s="449"/>
      <c r="FM37" s="449"/>
      <c r="FN37" s="449"/>
      <c r="FO37" s="449"/>
      <c r="FP37" s="449"/>
      <c r="FQ37" s="449"/>
      <c r="FR37" s="449"/>
      <c r="FS37" s="449"/>
      <c r="FT37" s="449"/>
      <c r="FU37" s="449"/>
      <c r="FV37" s="449"/>
      <c r="FW37" s="449"/>
      <c r="FX37" s="449"/>
      <c r="FY37" s="449"/>
      <c r="FZ37" s="449"/>
      <c r="GA37" s="449"/>
      <c r="GB37" s="449"/>
      <c r="GC37" s="449"/>
      <c r="GD37" s="449"/>
      <c r="GE37" s="449"/>
      <c r="GF37" s="449"/>
      <c r="GG37" s="449"/>
      <c r="GH37" s="449"/>
      <c r="GI37" s="449"/>
      <c r="GJ37" s="449"/>
      <c r="GK37" s="449"/>
      <c r="GL37" s="449"/>
      <c r="GM37" s="449"/>
      <c r="GN37" s="449"/>
      <c r="GO37" s="449"/>
      <c r="GP37" s="449"/>
      <c r="GQ37" s="449"/>
      <c r="GR37" s="449"/>
      <c r="GS37" s="449"/>
      <c r="GT37" s="449"/>
      <c r="GU37" s="449"/>
      <c r="GV37" s="449"/>
      <c r="GW37" s="449"/>
      <c r="GX37" s="449"/>
      <c r="GY37" s="449"/>
      <c r="GZ37" s="449"/>
      <c r="HA37" s="449"/>
      <c r="HB37" s="449"/>
      <c r="HC37" s="449"/>
      <c r="HD37" s="449"/>
      <c r="HE37" s="449"/>
      <c r="HF37" s="449"/>
      <c r="HG37" s="449"/>
      <c r="HH37" s="449"/>
      <c r="HI37" s="449"/>
      <c r="HJ37" s="449"/>
      <c r="HK37" s="449"/>
      <c r="HL37" s="449"/>
      <c r="HM37" s="449"/>
      <c r="HN37" s="449"/>
      <c r="HO37" s="449"/>
      <c r="HP37" s="449"/>
      <c r="HQ37" s="449"/>
      <c r="HR37" s="449"/>
      <c r="HS37" s="449"/>
      <c r="HT37" s="449"/>
      <c r="HU37" s="449"/>
      <c r="HV37" s="449"/>
      <c r="HW37" s="449"/>
      <c r="HX37" s="449"/>
      <c r="HY37" s="449"/>
      <c r="HZ37" s="449"/>
      <c r="IA37" s="449"/>
      <c r="IB37" s="449"/>
      <c r="IC37" s="449"/>
      <c r="ID37" s="449"/>
      <c r="IE37" s="449"/>
      <c r="IF37" s="449"/>
      <c r="IG37" s="449"/>
      <c r="IH37" s="449"/>
      <c r="II37" s="449"/>
      <c r="IJ37" s="449"/>
      <c r="IK37" s="449"/>
      <c r="IL37" s="449"/>
      <c r="IM37" s="449"/>
      <c r="IN37" s="449"/>
      <c r="IO37" s="449"/>
      <c r="IP37" s="449"/>
      <c r="IQ37" s="449"/>
      <c r="IR37" s="449"/>
      <c r="IS37" s="449"/>
      <c r="IT37" s="449"/>
      <c r="IU37" s="449"/>
      <c r="IV37" s="449"/>
      <c r="IW37" s="449"/>
    </row>
    <row r="38" customFormat="false" ht="12.75" hidden="false" customHeight="false" outlineLevel="0" collapsed="false">
      <c r="A38" s="461" t="n">
        <f aca="false">A37+1</f>
        <v>35</v>
      </c>
      <c r="B38" s="466"/>
      <c r="C38" s="467" t="str">
        <f aca="false">'Plant Configuration'!C43</f>
        <v>I&amp;C Engineer</v>
      </c>
      <c r="D38" s="449"/>
      <c r="E38" s="468" t="n">
        <v>60000</v>
      </c>
      <c r="F38" s="468" t="n">
        <v>60000</v>
      </c>
      <c r="G38" s="468" t="n">
        <v>60000</v>
      </c>
      <c r="H38" s="468" t="n">
        <v>60000</v>
      </c>
      <c r="I38" s="468" t="n">
        <v>60000</v>
      </c>
      <c r="J38" s="468" t="n">
        <v>60000</v>
      </c>
      <c r="K38" s="468"/>
      <c r="L38" s="468"/>
      <c r="M38" s="468"/>
      <c r="N38" s="468"/>
      <c r="O38" s="468"/>
      <c r="P38" s="468"/>
      <c r="Q38" s="468"/>
      <c r="R38" s="468"/>
      <c r="S38" s="468"/>
      <c r="T38" s="449"/>
      <c r="U38" s="449"/>
      <c r="V38" s="449"/>
      <c r="W38" s="449"/>
      <c r="X38" s="449"/>
      <c r="Y38" s="449"/>
      <c r="Z38" s="449"/>
      <c r="AA38" s="449"/>
      <c r="AB38" s="449"/>
      <c r="AC38" s="449"/>
      <c r="AD38" s="449"/>
      <c r="AE38" s="449"/>
      <c r="AF38" s="449"/>
      <c r="AG38" s="449"/>
      <c r="AH38" s="449"/>
      <c r="AI38" s="449"/>
      <c r="AJ38" s="449"/>
      <c r="AK38" s="449"/>
      <c r="AL38" s="449"/>
      <c r="AM38" s="449"/>
      <c r="AN38" s="449"/>
      <c r="AO38" s="449"/>
      <c r="AP38" s="449"/>
      <c r="AQ38" s="449"/>
      <c r="AR38" s="449"/>
      <c r="AS38" s="449"/>
      <c r="AT38" s="449"/>
      <c r="AU38" s="449"/>
      <c r="AV38" s="449"/>
      <c r="AW38" s="449"/>
      <c r="AX38" s="449"/>
      <c r="AY38" s="449"/>
      <c r="AZ38" s="449"/>
      <c r="BA38" s="449"/>
      <c r="BB38" s="449"/>
      <c r="BC38" s="449"/>
      <c r="BD38" s="449"/>
      <c r="BE38" s="449"/>
      <c r="BF38" s="449"/>
      <c r="BG38" s="449"/>
      <c r="BH38" s="449"/>
      <c r="BI38" s="449"/>
      <c r="BJ38" s="449"/>
      <c r="BK38" s="449"/>
      <c r="BL38" s="449"/>
      <c r="BM38" s="449"/>
      <c r="BN38" s="449"/>
      <c r="BO38" s="449"/>
      <c r="BP38" s="449"/>
      <c r="BQ38" s="449"/>
      <c r="BR38" s="449"/>
      <c r="BS38" s="449"/>
      <c r="BT38" s="449"/>
      <c r="BU38" s="449"/>
      <c r="BV38" s="449"/>
      <c r="BW38" s="449"/>
      <c r="BX38" s="449"/>
      <c r="BY38" s="449"/>
      <c r="BZ38" s="449"/>
      <c r="CA38" s="449"/>
      <c r="CB38" s="449"/>
      <c r="CC38" s="449"/>
      <c r="CD38" s="449"/>
      <c r="CE38" s="449"/>
      <c r="CF38" s="449"/>
      <c r="CG38" s="449"/>
      <c r="CH38" s="449"/>
      <c r="CI38" s="449"/>
      <c r="CJ38" s="449"/>
      <c r="CK38" s="449"/>
      <c r="CL38" s="449"/>
      <c r="CM38" s="449"/>
      <c r="CN38" s="449"/>
      <c r="CO38" s="449"/>
      <c r="CP38" s="449"/>
      <c r="CQ38" s="449"/>
      <c r="CR38" s="449"/>
      <c r="CS38" s="449"/>
      <c r="CT38" s="449"/>
      <c r="CU38" s="449"/>
      <c r="CV38" s="449"/>
      <c r="CW38" s="449"/>
      <c r="CX38" s="449"/>
      <c r="CY38" s="449"/>
      <c r="CZ38" s="449"/>
      <c r="DA38" s="449"/>
      <c r="DB38" s="449"/>
      <c r="DC38" s="449"/>
      <c r="DD38" s="449"/>
      <c r="DE38" s="449"/>
      <c r="DF38" s="449"/>
      <c r="DG38" s="449"/>
      <c r="DH38" s="449"/>
      <c r="DI38" s="449"/>
      <c r="DJ38" s="449"/>
      <c r="DK38" s="449"/>
      <c r="DL38" s="449"/>
      <c r="DM38" s="449"/>
      <c r="DN38" s="449"/>
      <c r="DO38" s="449"/>
      <c r="DP38" s="449"/>
      <c r="DQ38" s="449"/>
      <c r="DR38" s="449"/>
      <c r="DS38" s="449"/>
      <c r="DT38" s="449"/>
      <c r="DU38" s="449"/>
      <c r="DV38" s="449"/>
      <c r="DW38" s="449"/>
      <c r="DX38" s="449"/>
      <c r="DY38" s="449"/>
      <c r="DZ38" s="449"/>
      <c r="EA38" s="449"/>
      <c r="EB38" s="449"/>
      <c r="EC38" s="449"/>
      <c r="ED38" s="449"/>
      <c r="EE38" s="449"/>
      <c r="EF38" s="449"/>
      <c r="EG38" s="449"/>
      <c r="EH38" s="449"/>
      <c r="EI38" s="449"/>
      <c r="EJ38" s="449"/>
      <c r="EK38" s="449"/>
      <c r="EL38" s="449"/>
      <c r="EM38" s="449"/>
      <c r="EN38" s="449"/>
      <c r="EO38" s="449"/>
      <c r="EP38" s="449"/>
      <c r="EQ38" s="449"/>
      <c r="ER38" s="449"/>
      <c r="ES38" s="449"/>
      <c r="ET38" s="449"/>
      <c r="EU38" s="449"/>
      <c r="EV38" s="449"/>
      <c r="EW38" s="449"/>
      <c r="EX38" s="449"/>
      <c r="EY38" s="449"/>
      <c r="EZ38" s="449"/>
      <c r="FA38" s="449"/>
      <c r="FB38" s="449"/>
      <c r="FC38" s="449"/>
      <c r="FD38" s="449"/>
      <c r="FE38" s="449"/>
      <c r="FF38" s="449"/>
      <c r="FG38" s="449"/>
      <c r="FH38" s="449"/>
      <c r="FI38" s="449"/>
      <c r="FJ38" s="449"/>
      <c r="FK38" s="449"/>
      <c r="FL38" s="449"/>
      <c r="FM38" s="449"/>
      <c r="FN38" s="449"/>
      <c r="FO38" s="449"/>
      <c r="FP38" s="449"/>
      <c r="FQ38" s="449"/>
      <c r="FR38" s="449"/>
      <c r="FS38" s="449"/>
      <c r="FT38" s="449"/>
      <c r="FU38" s="449"/>
      <c r="FV38" s="449"/>
      <c r="FW38" s="449"/>
      <c r="FX38" s="449"/>
      <c r="FY38" s="449"/>
      <c r="FZ38" s="449"/>
      <c r="GA38" s="449"/>
      <c r="GB38" s="449"/>
      <c r="GC38" s="449"/>
      <c r="GD38" s="449"/>
      <c r="GE38" s="449"/>
      <c r="GF38" s="449"/>
      <c r="GG38" s="449"/>
      <c r="GH38" s="449"/>
      <c r="GI38" s="449"/>
      <c r="GJ38" s="449"/>
      <c r="GK38" s="449"/>
      <c r="GL38" s="449"/>
      <c r="GM38" s="449"/>
      <c r="GN38" s="449"/>
      <c r="GO38" s="449"/>
      <c r="GP38" s="449"/>
      <c r="GQ38" s="449"/>
      <c r="GR38" s="449"/>
      <c r="GS38" s="449"/>
      <c r="GT38" s="449"/>
      <c r="GU38" s="449"/>
      <c r="GV38" s="449"/>
      <c r="GW38" s="449"/>
      <c r="GX38" s="449"/>
      <c r="GY38" s="449"/>
      <c r="GZ38" s="449"/>
      <c r="HA38" s="449"/>
      <c r="HB38" s="449"/>
      <c r="HC38" s="449"/>
      <c r="HD38" s="449"/>
      <c r="HE38" s="449"/>
      <c r="HF38" s="449"/>
      <c r="HG38" s="449"/>
      <c r="HH38" s="449"/>
      <c r="HI38" s="449"/>
      <c r="HJ38" s="449"/>
      <c r="HK38" s="449"/>
      <c r="HL38" s="449"/>
      <c r="HM38" s="449"/>
      <c r="HN38" s="449"/>
      <c r="HO38" s="449"/>
      <c r="HP38" s="449"/>
      <c r="HQ38" s="449"/>
      <c r="HR38" s="449"/>
      <c r="HS38" s="449"/>
      <c r="HT38" s="449"/>
      <c r="HU38" s="449"/>
      <c r="HV38" s="449"/>
      <c r="HW38" s="449"/>
      <c r="HX38" s="449"/>
      <c r="HY38" s="449"/>
      <c r="HZ38" s="449"/>
      <c r="IA38" s="449"/>
      <c r="IB38" s="449"/>
      <c r="IC38" s="449"/>
      <c r="ID38" s="449"/>
      <c r="IE38" s="449"/>
      <c r="IF38" s="449"/>
      <c r="IG38" s="449"/>
      <c r="IH38" s="449"/>
      <c r="II38" s="449"/>
      <c r="IJ38" s="449"/>
      <c r="IK38" s="449"/>
      <c r="IL38" s="449"/>
      <c r="IM38" s="449"/>
      <c r="IN38" s="449"/>
      <c r="IO38" s="449"/>
      <c r="IP38" s="449"/>
      <c r="IQ38" s="449"/>
      <c r="IR38" s="449"/>
      <c r="IS38" s="449"/>
      <c r="IT38" s="449"/>
      <c r="IU38" s="449"/>
      <c r="IV38" s="449"/>
      <c r="IW38" s="449"/>
    </row>
    <row r="39" customFormat="false" ht="12.75" hidden="false" customHeight="false" outlineLevel="0" collapsed="false">
      <c r="A39" s="461" t="n">
        <f aca="false">A38+1</f>
        <v>36</v>
      </c>
      <c r="B39" s="466"/>
      <c r="C39" s="467" t="str">
        <f aca="false">'Plant Configuration'!C44</f>
        <v>I&amp;C Technician</v>
      </c>
      <c r="D39" s="449"/>
      <c r="E39" s="468" t="n">
        <v>55000</v>
      </c>
      <c r="F39" s="468" t="n">
        <v>55000</v>
      </c>
      <c r="G39" s="468" t="n">
        <v>55000</v>
      </c>
      <c r="H39" s="468" t="n">
        <v>55000</v>
      </c>
      <c r="I39" s="468" t="n">
        <v>55000</v>
      </c>
      <c r="J39" s="468" t="n">
        <v>55000</v>
      </c>
      <c r="K39" s="468"/>
      <c r="L39" s="468"/>
      <c r="M39" s="468"/>
      <c r="N39" s="468"/>
      <c r="O39" s="468"/>
      <c r="P39" s="468"/>
      <c r="Q39" s="468"/>
      <c r="R39" s="468"/>
      <c r="S39" s="468"/>
      <c r="T39" s="449"/>
      <c r="U39" s="449"/>
      <c r="V39" s="449"/>
      <c r="W39" s="449"/>
      <c r="X39" s="449"/>
      <c r="Y39" s="449"/>
      <c r="Z39" s="449"/>
      <c r="AA39" s="449"/>
      <c r="AB39" s="449"/>
      <c r="AC39" s="449"/>
      <c r="AD39" s="449"/>
      <c r="AE39" s="449"/>
      <c r="AF39" s="449"/>
      <c r="AG39" s="449"/>
      <c r="AH39" s="449"/>
      <c r="AI39" s="449"/>
      <c r="AJ39" s="449"/>
      <c r="AK39" s="449"/>
      <c r="AL39" s="449"/>
      <c r="AM39" s="449"/>
      <c r="AN39" s="449"/>
      <c r="AO39" s="449"/>
      <c r="AP39" s="449"/>
      <c r="AQ39" s="449"/>
      <c r="AR39" s="449"/>
      <c r="AS39" s="449"/>
      <c r="AT39" s="449"/>
      <c r="AU39" s="449"/>
      <c r="AV39" s="449"/>
      <c r="AW39" s="449"/>
      <c r="AX39" s="449"/>
      <c r="AY39" s="449"/>
      <c r="AZ39" s="449"/>
      <c r="BA39" s="449"/>
      <c r="BB39" s="449"/>
      <c r="BC39" s="449"/>
      <c r="BD39" s="449"/>
      <c r="BE39" s="449"/>
      <c r="BF39" s="449"/>
      <c r="BG39" s="449"/>
      <c r="BH39" s="449"/>
      <c r="BI39" s="449"/>
      <c r="BJ39" s="449"/>
      <c r="BK39" s="449"/>
      <c r="BL39" s="449"/>
      <c r="BM39" s="449"/>
      <c r="BN39" s="449"/>
      <c r="BO39" s="449"/>
      <c r="BP39" s="449"/>
      <c r="BQ39" s="449"/>
      <c r="BR39" s="449"/>
      <c r="BS39" s="449"/>
      <c r="BT39" s="449"/>
      <c r="BU39" s="449"/>
      <c r="BV39" s="449"/>
      <c r="BW39" s="449"/>
      <c r="BX39" s="449"/>
      <c r="BY39" s="449"/>
      <c r="BZ39" s="449"/>
      <c r="CA39" s="449"/>
      <c r="CB39" s="449"/>
      <c r="CC39" s="449"/>
      <c r="CD39" s="449"/>
      <c r="CE39" s="449"/>
      <c r="CF39" s="449"/>
      <c r="CG39" s="449"/>
      <c r="CH39" s="449"/>
      <c r="CI39" s="449"/>
      <c r="CJ39" s="449"/>
      <c r="CK39" s="449"/>
      <c r="CL39" s="449"/>
      <c r="CM39" s="449"/>
      <c r="CN39" s="449"/>
      <c r="CO39" s="449"/>
      <c r="CP39" s="449"/>
      <c r="CQ39" s="449"/>
      <c r="CR39" s="449"/>
      <c r="CS39" s="449"/>
      <c r="CT39" s="449"/>
      <c r="CU39" s="449"/>
      <c r="CV39" s="449"/>
      <c r="CW39" s="449"/>
      <c r="CX39" s="449"/>
      <c r="CY39" s="449"/>
      <c r="CZ39" s="449"/>
      <c r="DA39" s="449"/>
      <c r="DB39" s="449"/>
      <c r="DC39" s="449"/>
      <c r="DD39" s="449"/>
      <c r="DE39" s="449"/>
      <c r="DF39" s="449"/>
      <c r="DG39" s="449"/>
      <c r="DH39" s="449"/>
      <c r="DI39" s="449"/>
      <c r="DJ39" s="449"/>
      <c r="DK39" s="449"/>
      <c r="DL39" s="449"/>
      <c r="DM39" s="449"/>
      <c r="DN39" s="449"/>
      <c r="DO39" s="449"/>
      <c r="DP39" s="449"/>
      <c r="DQ39" s="449"/>
      <c r="DR39" s="449"/>
      <c r="DS39" s="449"/>
      <c r="DT39" s="449"/>
      <c r="DU39" s="449"/>
      <c r="DV39" s="449"/>
      <c r="DW39" s="449"/>
      <c r="DX39" s="449"/>
      <c r="DY39" s="449"/>
      <c r="DZ39" s="449"/>
      <c r="EA39" s="449"/>
      <c r="EB39" s="449"/>
      <c r="EC39" s="449"/>
      <c r="ED39" s="449"/>
      <c r="EE39" s="449"/>
      <c r="EF39" s="449"/>
      <c r="EG39" s="449"/>
      <c r="EH39" s="449"/>
      <c r="EI39" s="449"/>
      <c r="EJ39" s="449"/>
      <c r="EK39" s="449"/>
      <c r="EL39" s="449"/>
      <c r="EM39" s="449"/>
      <c r="EN39" s="449"/>
      <c r="EO39" s="449"/>
      <c r="EP39" s="449"/>
      <c r="EQ39" s="449"/>
      <c r="ER39" s="449"/>
      <c r="ES39" s="449"/>
      <c r="ET39" s="449"/>
      <c r="EU39" s="449"/>
      <c r="EV39" s="449"/>
      <c r="EW39" s="449"/>
      <c r="EX39" s="449"/>
      <c r="EY39" s="449"/>
      <c r="EZ39" s="449"/>
      <c r="FA39" s="449"/>
      <c r="FB39" s="449"/>
      <c r="FC39" s="449"/>
      <c r="FD39" s="449"/>
      <c r="FE39" s="449"/>
      <c r="FF39" s="449"/>
      <c r="FG39" s="449"/>
      <c r="FH39" s="449"/>
      <c r="FI39" s="449"/>
      <c r="FJ39" s="449"/>
      <c r="FK39" s="449"/>
      <c r="FL39" s="449"/>
      <c r="FM39" s="449"/>
      <c r="FN39" s="449"/>
      <c r="FO39" s="449"/>
      <c r="FP39" s="449"/>
      <c r="FQ39" s="449"/>
      <c r="FR39" s="449"/>
      <c r="FS39" s="449"/>
      <c r="FT39" s="449"/>
      <c r="FU39" s="449"/>
      <c r="FV39" s="449"/>
      <c r="FW39" s="449"/>
      <c r="FX39" s="449"/>
      <c r="FY39" s="449"/>
      <c r="FZ39" s="449"/>
      <c r="GA39" s="449"/>
      <c r="GB39" s="449"/>
      <c r="GC39" s="449"/>
      <c r="GD39" s="449"/>
      <c r="GE39" s="449"/>
      <c r="GF39" s="449"/>
      <c r="GG39" s="449"/>
      <c r="GH39" s="449"/>
      <c r="GI39" s="449"/>
      <c r="GJ39" s="449"/>
      <c r="GK39" s="449"/>
      <c r="GL39" s="449"/>
      <c r="GM39" s="449"/>
      <c r="GN39" s="449"/>
      <c r="GO39" s="449"/>
      <c r="GP39" s="449"/>
      <c r="GQ39" s="449"/>
      <c r="GR39" s="449"/>
      <c r="GS39" s="449"/>
      <c r="GT39" s="449"/>
      <c r="GU39" s="449"/>
      <c r="GV39" s="449"/>
      <c r="GW39" s="449"/>
      <c r="GX39" s="449"/>
      <c r="GY39" s="449"/>
      <c r="GZ39" s="449"/>
      <c r="HA39" s="449"/>
      <c r="HB39" s="449"/>
      <c r="HC39" s="449"/>
      <c r="HD39" s="449"/>
      <c r="HE39" s="449"/>
      <c r="HF39" s="449"/>
      <c r="HG39" s="449"/>
      <c r="HH39" s="449"/>
      <c r="HI39" s="449"/>
      <c r="HJ39" s="449"/>
      <c r="HK39" s="449"/>
      <c r="HL39" s="449"/>
      <c r="HM39" s="449"/>
      <c r="HN39" s="449"/>
      <c r="HO39" s="449"/>
      <c r="HP39" s="449"/>
      <c r="HQ39" s="449"/>
      <c r="HR39" s="449"/>
      <c r="HS39" s="449"/>
      <c r="HT39" s="449"/>
      <c r="HU39" s="449"/>
      <c r="HV39" s="449"/>
      <c r="HW39" s="449"/>
      <c r="HX39" s="449"/>
      <c r="HY39" s="449"/>
      <c r="HZ39" s="449"/>
      <c r="IA39" s="449"/>
      <c r="IB39" s="449"/>
      <c r="IC39" s="449"/>
      <c r="ID39" s="449"/>
      <c r="IE39" s="449"/>
      <c r="IF39" s="449"/>
      <c r="IG39" s="449"/>
      <c r="IH39" s="449"/>
      <c r="II39" s="449"/>
      <c r="IJ39" s="449"/>
      <c r="IK39" s="449"/>
      <c r="IL39" s="449"/>
      <c r="IM39" s="449"/>
      <c r="IN39" s="449"/>
      <c r="IO39" s="449"/>
      <c r="IP39" s="449"/>
      <c r="IQ39" s="449"/>
      <c r="IR39" s="449"/>
      <c r="IS39" s="449"/>
      <c r="IT39" s="449"/>
      <c r="IU39" s="449"/>
      <c r="IV39" s="449"/>
      <c r="IW39" s="449"/>
    </row>
    <row r="40" customFormat="false" ht="12.75" hidden="false" customHeight="false" outlineLevel="0" collapsed="false">
      <c r="A40" s="461" t="n">
        <f aca="false">A39+1</f>
        <v>37</v>
      </c>
      <c r="B40" s="466"/>
      <c r="C40" s="467" t="str">
        <f aca="false">'Plant Configuration'!C45</f>
        <v>Electrical Technician</v>
      </c>
      <c r="D40" s="449"/>
      <c r="E40" s="468" t="n">
        <v>45000</v>
      </c>
      <c r="F40" s="468" t="n">
        <v>45000</v>
      </c>
      <c r="G40" s="468" t="n">
        <v>45000</v>
      </c>
      <c r="H40" s="468" t="n">
        <v>45000</v>
      </c>
      <c r="I40" s="468" t="n">
        <v>45000</v>
      </c>
      <c r="J40" s="468" t="n">
        <v>45000</v>
      </c>
      <c r="K40" s="468"/>
      <c r="L40" s="468"/>
      <c r="M40" s="468"/>
      <c r="N40" s="468"/>
      <c r="O40" s="468"/>
      <c r="P40" s="468"/>
      <c r="Q40" s="468"/>
      <c r="R40" s="468"/>
      <c r="S40" s="468"/>
      <c r="T40" s="449"/>
      <c r="U40" s="449"/>
      <c r="V40" s="449"/>
      <c r="W40" s="449"/>
      <c r="X40" s="449"/>
      <c r="Y40" s="449"/>
      <c r="Z40" s="449"/>
      <c r="AA40" s="449"/>
      <c r="AB40" s="449"/>
      <c r="AC40" s="449"/>
      <c r="AD40" s="449"/>
      <c r="AE40" s="449"/>
      <c r="AF40" s="449"/>
      <c r="AG40" s="449"/>
      <c r="AH40" s="449"/>
      <c r="AI40" s="449"/>
      <c r="AJ40" s="449"/>
      <c r="AK40" s="449"/>
      <c r="AL40" s="449"/>
      <c r="AM40" s="449"/>
      <c r="AN40" s="449"/>
      <c r="AO40" s="449"/>
      <c r="AP40" s="449"/>
      <c r="AQ40" s="449"/>
      <c r="AR40" s="449"/>
      <c r="AS40" s="449"/>
      <c r="AT40" s="449"/>
      <c r="AU40" s="449"/>
      <c r="AV40" s="449"/>
      <c r="AW40" s="449"/>
      <c r="AX40" s="449"/>
      <c r="AY40" s="449"/>
      <c r="AZ40" s="449"/>
      <c r="BA40" s="449"/>
      <c r="BB40" s="449"/>
      <c r="BC40" s="449"/>
      <c r="BD40" s="449"/>
      <c r="BE40" s="449"/>
      <c r="BF40" s="449"/>
      <c r="BG40" s="449"/>
      <c r="BH40" s="449"/>
      <c r="BI40" s="449"/>
      <c r="BJ40" s="449"/>
      <c r="BK40" s="449"/>
      <c r="BL40" s="449"/>
      <c r="BM40" s="449"/>
      <c r="BN40" s="449"/>
      <c r="BO40" s="449"/>
      <c r="BP40" s="449"/>
      <c r="BQ40" s="449"/>
      <c r="BR40" s="449"/>
      <c r="BS40" s="449"/>
      <c r="BT40" s="449"/>
      <c r="BU40" s="449"/>
      <c r="BV40" s="449"/>
      <c r="BW40" s="449"/>
      <c r="BX40" s="449"/>
      <c r="BY40" s="449"/>
      <c r="BZ40" s="449"/>
      <c r="CA40" s="449"/>
      <c r="CB40" s="449"/>
      <c r="CC40" s="449"/>
      <c r="CD40" s="449"/>
      <c r="CE40" s="449"/>
      <c r="CF40" s="449"/>
      <c r="CG40" s="449"/>
      <c r="CH40" s="449"/>
      <c r="CI40" s="449"/>
      <c r="CJ40" s="449"/>
      <c r="CK40" s="449"/>
      <c r="CL40" s="449"/>
      <c r="CM40" s="449"/>
      <c r="CN40" s="449"/>
      <c r="CO40" s="449"/>
      <c r="CP40" s="449"/>
      <c r="CQ40" s="449"/>
      <c r="CR40" s="449"/>
      <c r="CS40" s="449"/>
      <c r="CT40" s="449"/>
      <c r="CU40" s="449"/>
      <c r="CV40" s="449"/>
      <c r="CW40" s="449"/>
      <c r="CX40" s="449"/>
      <c r="CY40" s="449"/>
      <c r="CZ40" s="449"/>
      <c r="DA40" s="449"/>
      <c r="DB40" s="449"/>
      <c r="DC40" s="449"/>
      <c r="DD40" s="449"/>
      <c r="DE40" s="449"/>
      <c r="DF40" s="449"/>
      <c r="DG40" s="449"/>
      <c r="DH40" s="449"/>
      <c r="DI40" s="449"/>
      <c r="DJ40" s="449"/>
      <c r="DK40" s="449"/>
      <c r="DL40" s="449"/>
      <c r="DM40" s="449"/>
      <c r="DN40" s="449"/>
      <c r="DO40" s="449"/>
      <c r="DP40" s="449"/>
      <c r="DQ40" s="449"/>
      <c r="DR40" s="449"/>
      <c r="DS40" s="449"/>
      <c r="DT40" s="449"/>
      <c r="DU40" s="449"/>
      <c r="DV40" s="449"/>
      <c r="DW40" s="449"/>
      <c r="DX40" s="449"/>
      <c r="DY40" s="449"/>
      <c r="DZ40" s="449"/>
      <c r="EA40" s="449"/>
      <c r="EB40" s="449"/>
      <c r="EC40" s="449"/>
      <c r="ED40" s="449"/>
      <c r="EE40" s="449"/>
      <c r="EF40" s="449"/>
      <c r="EG40" s="449"/>
      <c r="EH40" s="449"/>
      <c r="EI40" s="449"/>
      <c r="EJ40" s="449"/>
      <c r="EK40" s="449"/>
      <c r="EL40" s="449"/>
      <c r="EM40" s="449"/>
      <c r="EN40" s="449"/>
      <c r="EO40" s="449"/>
      <c r="EP40" s="449"/>
      <c r="EQ40" s="449"/>
      <c r="ER40" s="449"/>
      <c r="ES40" s="449"/>
      <c r="ET40" s="449"/>
      <c r="EU40" s="449"/>
      <c r="EV40" s="449"/>
      <c r="EW40" s="449"/>
      <c r="EX40" s="449"/>
      <c r="EY40" s="449"/>
      <c r="EZ40" s="449"/>
      <c r="FA40" s="449"/>
      <c r="FB40" s="449"/>
      <c r="FC40" s="449"/>
      <c r="FD40" s="449"/>
      <c r="FE40" s="449"/>
      <c r="FF40" s="449"/>
      <c r="FG40" s="449"/>
      <c r="FH40" s="449"/>
      <c r="FI40" s="449"/>
      <c r="FJ40" s="449"/>
      <c r="FK40" s="449"/>
      <c r="FL40" s="449"/>
      <c r="FM40" s="449"/>
      <c r="FN40" s="449"/>
      <c r="FO40" s="449"/>
      <c r="FP40" s="449"/>
      <c r="FQ40" s="449"/>
      <c r="FR40" s="449"/>
      <c r="FS40" s="449"/>
      <c r="FT40" s="449"/>
      <c r="FU40" s="449"/>
      <c r="FV40" s="449"/>
      <c r="FW40" s="449"/>
      <c r="FX40" s="449"/>
      <c r="FY40" s="449"/>
      <c r="FZ40" s="449"/>
      <c r="GA40" s="449"/>
      <c r="GB40" s="449"/>
      <c r="GC40" s="449"/>
      <c r="GD40" s="449"/>
      <c r="GE40" s="449"/>
      <c r="GF40" s="449"/>
      <c r="GG40" s="449"/>
      <c r="GH40" s="449"/>
      <c r="GI40" s="449"/>
      <c r="GJ40" s="449"/>
      <c r="GK40" s="449"/>
      <c r="GL40" s="449"/>
      <c r="GM40" s="449"/>
      <c r="GN40" s="449"/>
      <c r="GO40" s="449"/>
      <c r="GP40" s="449"/>
      <c r="GQ40" s="449"/>
      <c r="GR40" s="449"/>
      <c r="GS40" s="449"/>
      <c r="GT40" s="449"/>
      <c r="GU40" s="449"/>
      <c r="GV40" s="449"/>
      <c r="GW40" s="449"/>
      <c r="GX40" s="449"/>
      <c r="GY40" s="449"/>
      <c r="GZ40" s="449"/>
      <c r="HA40" s="449"/>
      <c r="HB40" s="449"/>
      <c r="HC40" s="449"/>
      <c r="HD40" s="449"/>
      <c r="HE40" s="449"/>
      <c r="HF40" s="449"/>
      <c r="HG40" s="449"/>
      <c r="HH40" s="449"/>
      <c r="HI40" s="449"/>
      <c r="HJ40" s="449"/>
      <c r="HK40" s="449"/>
      <c r="HL40" s="449"/>
      <c r="HM40" s="449"/>
      <c r="HN40" s="449"/>
      <c r="HO40" s="449"/>
      <c r="HP40" s="449"/>
      <c r="HQ40" s="449"/>
      <c r="HR40" s="449"/>
      <c r="HS40" s="449"/>
      <c r="HT40" s="449"/>
      <c r="HU40" s="449"/>
      <c r="HV40" s="449"/>
      <c r="HW40" s="449"/>
      <c r="HX40" s="449"/>
      <c r="HY40" s="449"/>
      <c r="HZ40" s="449"/>
      <c r="IA40" s="449"/>
      <c r="IB40" s="449"/>
      <c r="IC40" s="449"/>
      <c r="ID40" s="449"/>
      <c r="IE40" s="449"/>
      <c r="IF40" s="449"/>
      <c r="IG40" s="449"/>
      <c r="IH40" s="449"/>
      <c r="II40" s="449"/>
      <c r="IJ40" s="449"/>
      <c r="IK40" s="449"/>
      <c r="IL40" s="449"/>
      <c r="IM40" s="449"/>
      <c r="IN40" s="449"/>
      <c r="IO40" s="449"/>
      <c r="IP40" s="449"/>
      <c r="IQ40" s="449"/>
      <c r="IR40" s="449"/>
      <c r="IS40" s="449"/>
      <c r="IT40" s="449"/>
      <c r="IU40" s="449"/>
      <c r="IV40" s="449"/>
      <c r="IW40" s="449"/>
    </row>
    <row r="41" customFormat="false" ht="12.75" hidden="false" customHeight="false" outlineLevel="0" collapsed="false">
      <c r="A41" s="461" t="n">
        <f aca="false">A40+1</f>
        <v>38</v>
      </c>
      <c r="B41" s="466"/>
      <c r="C41" s="467" t="str">
        <f aca="false">'Plant Configuration'!C46</f>
        <v>Other</v>
      </c>
      <c r="D41" s="449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49"/>
      <c r="U41" s="449"/>
      <c r="V41" s="449"/>
      <c r="W41" s="449"/>
      <c r="X41" s="449"/>
      <c r="Y41" s="449"/>
      <c r="Z41" s="449"/>
      <c r="AA41" s="449"/>
      <c r="AB41" s="449"/>
      <c r="AC41" s="449"/>
      <c r="AD41" s="449"/>
      <c r="AE41" s="449"/>
      <c r="AF41" s="449"/>
      <c r="AG41" s="449"/>
      <c r="AH41" s="449"/>
      <c r="AI41" s="449"/>
      <c r="AJ41" s="449"/>
      <c r="AK41" s="449"/>
      <c r="AL41" s="449"/>
      <c r="AM41" s="449"/>
      <c r="AN41" s="449"/>
      <c r="AO41" s="449"/>
      <c r="AP41" s="449"/>
      <c r="AQ41" s="449"/>
      <c r="AR41" s="449"/>
      <c r="AS41" s="449"/>
      <c r="AT41" s="449"/>
      <c r="AU41" s="449"/>
      <c r="AV41" s="449"/>
      <c r="AW41" s="449"/>
      <c r="AX41" s="449"/>
      <c r="AY41" s="449"/>
      <c r="AZ41" s="449"/>
      <c r="BA41" s="449"/>
      <c r="BB41" s="449"/>
      <c r="BC41" s="449"/>
      <c r="BD41" s="449"/>
      <c r="BE41" s="449"/>
      <c r="BF41" s="449"/>
      <c r="BG41" s="449"/>
      <c r="BH41" s="449"/>
      <c r="BI41" s="449"/>
      <c r="BJ41" s="449"/>
      <c r="BK41" s="449"/>
      <c r="BL41" s="449"/>
      <c r="BM41" s="449"/>
      <c r="BN41" s="449"/>
      <c r="BO41" s="449"/>
      <c r="BP41" s="449"/>
      <c r="BQ41" s="449"/>
      <c r="BR41" s="449"/>
      <c r="BS41" s="449"/>
      <c r="BT41" s="449"/>
      <c r="BU41" s="449"/>
      <c r="BV41" s="449"/>
      <c r="BW41" s="449"/>
      <c r="BX41" s="449"/>
      <c r="BY41" s="449"/>
      <c r="BZ41" s="449"/>
      <c r="CA41" s="449"/>
      <c r="CB41" s="449"/>
      <c r="CC41" s="449"/>
      <c r="CD41" s="449"/>
      <c r="CE41" s="449"/>
      <c r="CF41" s="449"/>
      <c r="CG41" s="449"/>
      <c r="CH41" s="449"/>
      <c r="CI41" s="449"/>
      <c r="CJ41" s="449"/>
      <c r="CK41" s="449"/>
      <c r="CL41" s="449"/>
      <c r="CM41" s="449"/>
      <c r="CN41" s="449"/>
      <c r="CO41" s="449"/>
      <c r="CP41" s="449"/>
      <c r="CQ41" s="449"/>
      <c r="CR41" s="449"/>
      <c r="CS41" s="449"/>
      <c r="CT41" s="449"/>
      <c r="CU41" s="449"/>
      <c r="CV41" s="449"/>
      <c r="CW41" s="449"/>
      <c r="CX41" s="449"/>
      <c r="CY41" s="449"/>
      <c r="CZ41" s="449"/>
      <c r="DA41" s="449"/>
      <c r="DB41" s="449"/>
      <c r="DC41" s="449"/>
      <c r="DD41" s="449"/>
      <c r="DE41" s="449"/>
      <c r="DF41" s="449"/>
      <c r="DG41" s="449"/>
      <c r="DH41" s="449"/>
      <c r="DI41" s="449"/>
      <c r="DJ41" s="449"/>
      <c r="DK41" s="449"/>
      <c r="DL41" s="449"/>
      <c r="DM41" s="449"/>
      <c r="DN41" s="449"/>
      <c r="DO41" s="449"/>
      <c r="DP41" s="449"/>
      <c r="DQ41" s="449"/>
      <c r="DR41" s="449"/>
      <c r="DS41" s="449"/>
      <c r="DT41" s="449"/>
      <c r="DU41" s="449"/>
      <c r="DV41" s="449"/>
      <c r="DW41" s="449"/>
      <c r="DX41" s="449"/>
      <c r="DY41" s="449"/>
      <c r="DZ41" s="449"/>
      <c r="EA41" s="449"/>
      <c r="EB41" s="449"/>
      <c r="EC41" s="449"/>
      <c r="ED41" s="449"/>
      <c r="EE41" s="449"/>
      <c r="EF41" s="449"/>
      <c r="EG41" s="449"/>
      <c r="EH41" s="449"/>
      <c r="EI41" s="449"/>
      <c r="EJ41" s="449"/>
      <c r="EK41" s="449"/>
      <c r="EL41" s="449"/>
      <c r="EM41" s="449"/>
      <c r="EN41" s="449"/>
      <c r="EO41" s="449"/>
      <c r="EP41" s="449"/>
      <c r="EQ41" s="449"/>
      <c r="ER41" s="449"/>
      <c r="ES41" s="449"/>
      <c r="ET41" s="449"/>
      <c r="EU41" s="449"/>
      <c r="EV41" s="449"/>
      <c r="EW41" s="449"/>
      <c r="EX41" s="449"/>
      <c r="EY41" s="449"/>
      <c r="EZ41" s="449"/>
      <c r="FA41" s="449"/>
      <c r="FB41" s="449"/>
      <c r="FC41" s="449"/>
      <c r="FD41" s="449"/>
      <c r="FE41" s="449"/>
      <c r="FF41" s="449"/>
      <c r="FG41" s="449"/>
      <c r="FH41" s="449"/>
      <c r="FI41" s="449"/>
      <c r="FJ41" s="449"/>
      <c r="FK41" s="449"/>
      <c r="FL41" s="449"/>
      <c r="FM41" s="449"/>
      <c r="FN41" s="449"/>
      <c r="FO41" s="449"/>
      <c r="FP41" s="449"/>
      <c r="FQ41" s="449"/>
      <c r="FR41" s="449"/>
      <c r="FS41" s="449"/>
      <c r="FT41" s="449"/>
      <c r="FU41" s="449"/>
      <c r="FV41" s="449"/>
      <c r="FW41" s="449"/>
      <c r="FX41" s="449"/>
      <c r="FY41" s="449"/>
      <c r="FZ41" s="449"/>
      <c r="GA41" s="449"/>
      <c r="GB41" s="449"/>
      <c r="GC41" s="449"/>
      <c r="GD41" s="449"/>
      <c r="GE41" s="449"/>
      <c r="GF41" s="449"/>
      <c r="GG41" s="449"/>
      <c r="GH41" s="449"/>
      <c r="GI41" s="449"/>
      <c r="GJ41" s="449"/>
      <c r="GK41" s="449"/>
      <c r="GL41" s="449"/>
      <c r="GM41" s="449"/>
      <c r="GN41" s="449"/>
      <c r="GO41" s="449"/>
      <c r="GP41" s="449"/>
      <c r="GQ41" s="449"/>
      <c r="GR41" s="449"/>
      <c r="GS41" s="449"/>
      <c r="GT41" s="449"/>
      <c r="GU41" s="449"/>
      <c r="GV41" s="449"/>
      <c r="GW41" s="449"/>
      <c r="GX41" s="449"/>
      <c r="GY41" s="449"/>
      <c r="GZ41" s="449"/>
      <c r="HA41" s="449"/>
      <c r="HB41" s="449"/>
      <c r="HC41" s="449"/>
      <c r="HD41" s="449"/>
      <c r="HE41" s="449"/>
      <c r="HF41" s="449"/>
      <c r="HG41" s="449"/>
      <c r="HH41" s="449"/>
      <c r="HI41" s="449"/>
      <c r="HJ41" s="449"/>
      <c r="HK41" s="449"/>
      <c r="HL41" s="449"/>
      <c r="HM41" s="449"/>
      <c r="HN41" s="449"/>
      <c r="HO41" s="449"/>
      <c r="HP41" s="449"/>
      <c r="HQ41" s="449"/>
      <c r="HR41" s="449"/>
      <c r="HS41" s="449"/>
      <c r="HT41" s="449"/>
      <c r="HU41" s="449"/>
      <c r="HV41" s="449"/>
      <c r="HW41" s="449"/>
      <c r="HX41" s="449"/>
      <c r="HY41" s="449"/>
      <c r="HZ41" s="449"/>
      <c r="IA41" s="449"/>
      <c r="IB41" s="449"/>
      <c r="IC41" s="449"/>
      <c r="ID41" s="449"/>
      <c r="IE41" s="449"/>
      <c r="IF41" s="449"/>
      <c r="IG41" s="449"/>
      <c r="IH41" s="449"/>
      <c r="II41" s="449"/>
      <c r="IJ41" s="449"/>
      <c r="IK41" s="449"/>
      <c r="IL41" s="449"/>
      <c r="IM41" s="449"/>
      <c r="IN41" s="449"/>
      <c r="IO41" s="449"/>
      <c r="IP41" s="449"/>
      <c r="IQ41" s="449"/>
      <c r="IR41" s="449"/>
      <c r="IS41" s="449"/>
      <c r="IT41" s="449"/>
      <c r="IU41" s="449"/>
      <c r="IV41" s="449"/>
      <c r="IW41" s="449"/>
    </row>
    <row r="42" customFormat="false" ht="12.75" hidden="false" customHeight="false" outlineLevel="0" collapsed="false">
      <c r="A42" s="461" t="n">
        <f aca="false">A41+1</f>
        <v>39</v>
      </c>
      <c r="B42" s="466"/>
      <c r="C42" s="467" t="str">
        <f aca="false">'Plant Configuration'!C47</f>
        <v>Other</v>
      </c>
      <c r="D42" s="449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49"/>
      <c r="U42" s="449"/>
      <c r="V42" s="449"/>
      <c r="W42" s="449"/>
      <c r="X42" s="449"/>
      <c r="Y42" s="449"/>
      <c r="Z42" s="449"/>
      <c r="AA42" s="449"/>
      <c r="AB42" s="449"/>
      <c r="AC42" s="449"/>
      <c r="AD42" s="449"/>
      <c r="AE42" s="449"/>
      <c r="AF42" s="449"/>
      <c r="AG42" s="449"/>
      <c r="AH42" s="449"/>
      <c r="AI42" s="449"/>
      <c r="AJ42" s="449"/>
      <c r="AK42" s="449"/>
      <c r="AL42" s="449"/>
      <c r="AM42" s="449"/>
      <c r="AN42" s="449"/>
      <c r="AO42" s="449"/>
      <c r="AP42" s="449"/>
      <c r="AQ42" s="449"/>
      <c r="AR42" s="449"/>
      <c r="AS42" s="449"/>
      <c r="AT42" s="449"/>
      <c r="AU42" s="449"/>
      <c r="AV42" s="449"/>
      <c r="AW42" s="449"/>
      <c r="AX42" s="449"/>
      <c r="AY42" s="449"/>
      <c r="AZ42" s="449"/>
      <c r="BA42" s="449"/>
      <c r="BB42" s="449"/>
      <c r="BC42" s="449"/>
      <c r="BD42" s="449"/>
      <c r="BE42" s="449"/>
      <c r="BF42" s="449"/>
      <c r="BG42" s="449"/>
      <c r="BH42" s="449"/>
      <c r="BI42" s="449"/>
      <c r="BJ42" s="449"/>
      <c r="BK42" s="449"/>
      <c r="BL42" s="449"/>
      <c r="BM42" s="449"/>
      <c r="BN42" s="449"/>
      <c r="BO42" s="449"/>
      <c r="BP42" s="449"/>
      <c r="BQ42" s="449"/>
      <c r="BR42" s="449"/>
      <c r="BS42" s="449"/>
      <c r="BT42" s="449"/>
      <c r="BU42" s="449"/>
      <c r="BV42" s="449"/>
      <c r="BW42" s="449"/>
      <c r="BX42" s="449"/>
      <c r="BY42" s="449"/>
      <c r="BZ42" s="449"/>
      <c r="CA42" s="449"/>
      <c r="CB42" s="449"/>
      <c r="CC42" s="449"/>
      <c r="CD42" s="449"/>
      <c r="CE42" s="449"/>
      <c r="CF42" s="449"/>
      <c r="CG42" s="449"/>
      <c r="CH42" s="449"/>
      <c r="CI42" s="449"/>
      <c r="CJ42" s="449"/>
      <c r="CK42" s="449"/>
      <c r="CL42" s="449"/>
      <c r="CM42" s="449"/>
      <c r="CN42" s="449"/>
      <c r="CO42" s="449"/>
      <c r="CP42" s="449"/>
      <c r="CQ42" s="449"/>
      <c r="CR42" s="449"/>
      <c r="CS42" s="449"/>
      <c r="CT42" s="449"/>
      <c r="CU42" s="449"/>
      <c r="CV42" s="449"/>
      <c r="CW42" s="449"/>
      <c r="CX42" s="449"/>
      <c r="CY42" s="449"/>
      <c r="CZ42" s="449"/>
      <c r="DA42" s="449"/>
      <c r="DB42" s="449"/>
      <c r="DC42" s="449"/>
      <c r="DD42" s="449"/>
      <c r="DE42" s="449"/>
      <c r="DF42" s="449"/>
      <c r="DG42" s="449"/>
      <c r="DH42" s="449"/>
      <c r="DI42" s="449"/>
      <c r="DJ42" s="449"/>
      <c r="DK42" s="449"/>
      <c r="DL42" s="449"/>
      <c r="DM42" s="449"/>
      <c r="DN42" s="449"/>
      <c r="DO42" s="449"/>
      <c r="DP42" s="449"/>
      <c r="DQ42" s="449"/>
      <c r="DR42" s="449"/>
      <c r="DS42" s="449"/>
      <c r="DT42" s="449"/>
      <c r="DU42" s="449"/>
      <c r="DV42" s="449"/>
      <c r="DW42" s="449"/>
      <c r="DX42" s="449"/>
      <c r="DY42" s="449"/>
      <c r="DZ42" s="449"/>
      <c r="EA42" s="449"/>
      <c r="EB42" s="449"/>
      <c r="EC42" s="449"/>
      <c r="ED42" s="449"/>
      <c r="EE42" s="449"/>
      <c r="EF42" s="449"/>
      <c r="EG42" s="449"/>
      <c r="EH42" s="449"/>
      <c r="EI42" s="449"/>
      <c r="EJ42" s="449"/>
      <c r="EK42" s="449"/>
      <c r="EL42" s="449"/>
      <c r="EM42" s="449"/>
      <c r="EN42" s="449"/>
      <c r="EO42" s="449"/>
      <c r="EP42" s="449"/>
      <c r="EQ42" s="449"/>
      <c r="ER42" s="449"/>
      <c r="ES42" s="449"/>
      <c r="ET42" s="449"/>
      <c r="EU42" s="449"/>
      <c r="EV42" s="449"/>
      <c r="EW42" s="449"/>
      <c r="EX42" s="449"/>
      <c r="EY42" s="449"/>
      <c r="EZ42" s="449"/>
      <c r="FA42" s="449"/>
      <c r="FB42" s="449"/>
      <c r="FC42" s="449"/>
      <c r="FD42" s="449"/>
      <c r="FE42" s="449"/>
      <c r="FF42" s="449"/>
      <c r="FG42" s="449"/>
      <c r="FH42" s="449"/>
      <c r="FI42" s="449"/>
      <c r="FJ42" s="449"/>
      <c r="FK42" s="449"/>
      <c r="FL42" s="449"/>
      <c r="FM42" s="449"/>
      <c r="FN42" s="449"/>
      <c r="FO42" s="449"/>
      <c r="FP42" s="449"/>
      <c r="FQ42" s="449"/>
      <c r="FR42" s="449"/>
      <c r="FS42" s="449"/>
      <c r="FT42" s="449"/>
      <c r="FU42" s="449"/>
      <c r="FV42" s="449"/>
      <c r="FW42" s="449"/>
      <c r="FX42" s="449"/>
      <c r="FY42" s="449"/>
      <c r="FZ42" s="449"/>
      <c r="GA42" s="449"/>
      <c r="GB42" s="449"/>
      <c r="GC42" s="449"/>
      <c r="GD42" s="449"/>
      <c r="GE42" s="449"/>
      <c r="GF42" s="449"/>
      <c r="GG42" s="449"/>
      <c r="GH42" s="449"/>
      <c r="GI42" s="449"/>
      <c r="GJ42" s="449"/>
      <c r="GK42" s="449"/>
      <c r="GL42" s="449"/>
      <c r="GM42" s="449"/>
      <c r="GN42" s="449"/>
      <c r="GO42" s="449"/>
      <c r="GP42" s="449"/>
      <c r="GQ42" s="449"/>
      <c r="GR42" s="449"/>
      <c r="GS42" s="449"/>
      <c r="GT42" s="449"/>
      <c r="GU42" s="449"/>
      <c r="GV42" s="449"/>
      <c r="GW42" s="449"/>
      <c r="GX42" s="449"/>
      <c r="GY42" s="449"/>
      <c r="GZ42" s="449"/>
      <c r="HA42" s="449"/>
      <c r="HB42" s="449"/>
      <c r="HC42" s="449"/>
      <c r="HD42" s="449"/>
      <c r="HE42" s="449"/>
      <c r="HF42" s="449"/>
      <c r="HG42" s="449"/>
      <c r="HH42" s="449"/>
      <c r="HI42" s="449"/>
      <c r="HJ42" s="449"/>
      <c r="HK42" s="449"/>
      <c r="HL42" s="449"/>
      <c r="HM42" s="449"/>
      <c r="HN42" s="449"/>
      <c r="HO42" s="449"/>
      <c r="HP42" s="449"/>
      <c r="HQ42" s="449"/>
      <c r="HR42" s="449"/>
      <c r="HS42" s="449"/>
      <c r="HT42" s="449"/>
      <c r="HU42" s="449"/>
      <c r="HV42" s="449"/>
      <c r="HW42" s="449"/>
      <c r="HX42" s="449"/>
      <c r="HY42" s="449"/>
      <c r="HZ42" s="449"/>
      <c r="IA42" s="449"/>
      <c r="IB42" s="449"/>
      <c r="IC42" s="449"/>
      <c r="ID42" s="449"/>
      <c r="IE42" s="449"/>
      <c r="IF42" s="449"/>
      <c r="IG42" s="449"/>
      <c r="IH42" s="449"/>
      <c r="II42" s="449"/>
      <c r="IJ42" s="449"/>
      <c r="IK42" s="449"/>
      <c r="IL42" s="449"/>
      <c r="IM42" s="449"/>
      <c r="IN42" s="449"/>
      <c r="IO42" s="449"/>
      <c r="IP42" s="449"/>
      <c r="IQ42" s="449"/>
      <c r="IR42" s="449"/>
      <c r="IS42" s="449"/>
      <c r="IT42" s="449"/>
      <c r="IU42" s="449"/>
      <c r="IV42" s="449"/>
      <c r="IW42" s="449"/>
    </row>
    <row r="43" customFormat="false" ht="12.75" hidden="false" customHeight="false" outlineLevel="0" collapsed="false">
      <c r="A43" s="461" t="n">
        <f aca="false">A42+1</f>
        <v>40</v>
      </c>
      <c r="B43" s="466"/>
      <c r="C43" s="467" t="str">
        <f aca="false">'Plant Configuration'!C48</f>
        <v>Other</v>
      </c>
      <c r="D43" s="449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49"/>
      <c r="U43" s="449"/>
      <c r="V43" s="449"/>
      <c r="W43" s="449"/>
      <c r="X43" s="449"/>
      <c r="Y43" s="449"/>
      <c r="Z43" s="449"/>
      <c r="AA43" s="449"/>
      <c r="AB43" s="449"/>
      <c r="AC43" s="449"/>
      <c r="AD43" s="449"/>
      <c r="AE43" s="449"/>
      <c r="AF43" s="449"/>
      <c r="AG43" s="449"/>
      <c r="AH43" s="449"/>
      <c r="AI43" s="449"/>
      <c r="AJ43" s="449"/>
      <c r="AK43" s="449"/>
      <c r="AL43" s="449"/>
      <c r="AM43" s="449"/>
      <c r="AN43" s="449"/>
      <c r="AO43" s="449"/>
      <c r="AP43" s="449"/>
      <c r="AQ43" s="449"/>
      <c r="AR43" s="449"/>
      <c r="AS43" s="449"/>
      <c r="AT43" s="449"/>
      <c r="AU43" s="449"/>
      <c r="AV43" s="449"/>
      <c r="AW43" s="449"/>
      <c r="AX43" s="449"/>
      <c r="AY43" s="449"/>
      <c r="AZ43" s="449"/>
      <c r="BA43" s="449"/>
      <c r="BB43" s="449"/>
      <c r="BC43" s="449"/>
      <c r="BD43" s="449"/>
      <c r="BE43" s="449"/>
      <c r="BF43" s="449"/>
      <c r="BG43" s="449"/>
      <c r="BH43" s="449"/>
      <c r="BI43" s="449"/>
      <c r="BJ43" s="449"/>
      <c r="BK43" s="449"/>
      <c r="BL43" s="449"/>
      <c r="BM43" s="449"/>
      <c r="BN43" s="449"/>
      <c r="BO43" s="449"/>
      <c r="BP43" s="449"/>
      <c r="BQ43" s="449"/>
      <c r="BR43" s="449"/>
      <c r="BS43" s="449"/>
      <c r="BT43" s="449"/>
      <c r="BU43" s="449"/>
      <c r="BV43" s="449"/>
      <c r="BW43" s="449"/>
      <c r="BX43" s="449"/>
      <c r="BY43" s="449"/>
      <c r="BZ43" s="449"/>
      <c r="CA43" s="449"/>
      <c r="CB43" s="449"/>
      <c r="CC43" s="449"/>
      <c r="CD43" s="449"/>
      <c r="CE43" s="449"/>
      <c r="CF43" s="449"/>
      <c r="CG43" s="449"/>
      <c r="CH43" s="449"/>
      <c r="CI43" s="449"/>
      <c r="CJ43" s="449"/>
      <c r="CK43" s="449"/>
      <c r="CL43" s="449"/>
      <c r="CM43" s="449"/>
      <c r="CN43" s="449"/>
      <c r="CO43" s="449"/>
      <c r="CP43" s="449"/>
      <c r="CQ43" s="449"/>
      <c r="CR43" s="449"/>
      <c r="CS43" s="449"/>
      <c r="CT43" s="449"/>
      <c r="CU43" s="449"/>
      <c r="CV43" s="449"/>
      <c r="CW43" s="449"/>
      <c r="CX43" s="449"/>
      <c r="CY43" s="449"/>
      <c r="CZ43" s="449"/>
      <c r="DA43" s="449"/>
      <c r="DB43" s="449"/>
      <c r="DC43" s="449"/>
      <c r="DD43" s="449"/>
      <c r="DE43" s="449"/>
      <c r="DF43" s="449"/>
      <c r="DG43" s="449"/>
      <c r="DH43" s="449"/>
      <c r="DI43" s="449"/>
      <c r="DJ43" s="449"/>
      <c r="DK43" s="449"/>
      <c r="DL43" s="449"/>
      <c r="DM43" s="449"/>
      <c r="DN43" s="449"/>
      <c r="DO43" s="449"/>
      <c r="DP43" s="449"/>
      <c r="DQ43" s="449"/>
      <c r="DR43" s="449"/>
      <c r="DS43" s="449"/>
      <c r="DT43" s="449"/>
      <c r="DU43" s="449"/>
      <c r="DV43" s="449"/>
      <c r="DW43" s="449"/>
      <c r="DX43" s="449"/>
      <c r="DY43" s="449"/>
      <c r="DZ43" s="449"/>
      <c r="EA43" s="449"/>
      <c r="EB43" s="449"/>
      <c r="EC43" s="449"/>
      <c r="ED43" s="449"/>
      <c r="EE43" s="449"/>
      <c r="EF43" s="449"/>
      <c r="EG43" s="449"/>
      <c r="EH43" s="449"/>
      <c r="EI43" s="449"/>
      <c r="EJ43" s="449"/>
      <c r="EK43" s="449"/>
      <c r="EL43" s="449"/>
      <c r="EM43" s="449"/>
      <c r="EN43" s="449"/>
      <c r="EO43" s="449"/>
      <c r="EP43" s="449"/>
      <c r="EQ43" s="449"/>
      <c r="ER43" s="449"/>
      <c r="ES43" s="449"/>
      <c r="ET43" s="449"/>
      <c r="EU43" s="449"/>
      <c r="EV43" s="449"/>
      <c r="EW43" s="449"/>
      <c r="EX43" s="449"/>
      <c r="EY43" s="449"/>
      <c r="EZ43" s="449"/>
      <c r="FA43" s="449"/>
      <c r="FB43" s="449"/>
      <c r="FC43" s="449"/>
      <c r="FD43" s="449"/>
      <c r="FE43" s="449"/>
      <c r="FF43" s="449"/>
      <c r="FG43" s="449"/>
      <c r="FH43" s="449"/>
      <c r="FI43" s="449"/>
      <c r="FJ43" s="449"/>
      <c r="FK43" s="449"/>
      <c r="FL43" s="449"/>
      <c r="FM43" s="449"/>
      <c r="FN43" s="449"/>
      <c r="FO43" s="449"/>
      <c r="FP43" s="449"/>
      <c r="FQ43" s="449"/>
      <c r="FR43" s="449"/>
      <c r="FS43" s="449"/>
      <c r="FT43" s="449"/>
      <c r="FU43" s="449"/>
      <c r="FV43" s="449"/>
      <c r="FW43" s="449"/>
      <c r="FX43" s="449"/>
      <c r="FY43" s="449"/>
      <c r="FZ43" s="449"/>
      <c r="GA43" s="449"/>
      <c r="GB43" s="449"/>
      <c r="GC43" s="449"/>
      <c r="GD43" s="449"/>
      <c r="GE43" s="449"/>
      <c r="GF43" s="449"/>
      <c r="GG43" s="449"/>
      <c r="GH43" s="449"/>
      <c r="GI43" s="449"/>
      <c r="GJ43" s="449"/>
      <c r="GK43" s="449"/>
      <c r="GL43" s="449"/>
      <c r="GM43" s="449"/>
      <c r="GN43" s="449"/>
      <c r="GO43" s="449"/>
      <c r="GP43" s="449"/>
      <c r="GQ43" s="449"/>
      <c r="GR43" s="449"/>
      <c r="GS43" s="449"/>
      <c r="GT43" s="449"/>
      <c r="GU43" s="449"/>
      <c r="GV43" s="449"/>
      <c r="GW43" s="449"/>
      <c r="GX43" s="449"/>
      <c r="GY43" s="449"/>
      <c r="GZ43" s="449"/>
      <c r="HA43" s="449"/>
      <c r="HB43" s="449"/>
      <c r="HC43" s="449"/>
      <c r="HD43" s="449"/>
      <c r="HE43" s="449"/>
      <c r="HF43" s="449"/>
      <c r="HG43" s="449"/>
      <c r="HH43" s="449"/>
      <c r="HI43" s="449"/>
      <c r="HJ43" s="449"/>
      <c r="HK43" s="449"/>
      <c r="HL43" s="449"/>
      <c r="HM43" s="449"/>
      <c r="HN43" s="449"/>
      <c r="HO43" s="449"/>
      <c r="HP43" s="449"/>
      <c r="HQ43" s="449"/>
      <c r="HR43" s="449"/>
      <c r="HS43" s="449"/>
      <c r="HT43" s="449"/>
      <c r="HU43" s="449"/>
      <c r="HV43" s="449"/>
      <c r="HW43" s="449"/>
      <c r="HX43" s="449"/>
      <c r="HY43" s="449"/>
      <c r="HZ43" s="449"/>
      <c r="IA43" s="449"/>
      <c r="IB43" s="449"/>
      <c r="IC43" s="449"/>
      <c r="ID43" s="449"/>
      <c r="IE43" s="449"/>
      <c r="IF43" s="449"/>
      <c r="IG43" s="449"/>
      <c r="IH43" s="449"/>
      <c r="II43" s="449"/>
      <c r="IJ43" s="449"/>
      <c r="IK43" s="449"/>
      <c r="IL43" s="449"/>
      <c r="IM43" s="449"/>
      <c r="IN43" s="449"/>
      <c r="IO43" s="449"/>
      <c r="IP43" s="449"/>
      <c r="IQ43" s="449"/>
      <c r="IR43" s="449"/>
      <c r="IS43" s="449"/>
      <c r="IT43" s="449"/>
      <c r="IU43" s="449"/>
      <c r="IV43" s="449"/>
      <c r="IW43" s="449"/>
    </row>
    <row r="44" customFormat="false" ht="12.75" hidden="false" customHeight="false" outlineLevel="0" collapsed="false">
      <c r="A44" s="461" t="n">
        <f aca="false">A43+1</f>
        <v>41</v>
      </c>
      <c r="B44" s="466"/>
      <c r="C44" s="467" t="str">
        <f aca="false">'Plant Configuration'!C49</f>
        <v>Other</v>
      </c>
      <c r="D44" s="449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49"/>
      <c r="U44" s="449"/>
      <c r="V44" s="449"/>
      <c r="W44" s="449"/>
      <c r="X44" s="449"/>
      <c r="Y44" s="449"/>
      <c r="Z44" s="449"/>
      <c r="AA44" s="449"/>
      <c r="AB44" s="449"/>
      <c r="AC44" s="449"/>
      <c r="AD44" s="449"/>
      <c r="AE44" s="449"/>
      <c r="AF44" s="449"/>
      <c r="AG44" s="449"/>
      <c r="AH44" s="449"/>
      <c r="AI44" s="449"/>
      <c r="AJ44" s="449"/>
      <c r="AK44" s="449"/>
      <c r="AL44" s="449"/>
      <c r="AM44" s="449"/>
      <c r="AN44" s="449"/>
      <c r="AO44" s="449"/>
      <c r="AP44" s="449"/>
      <c r="AQ44" s="449"/>
      <c r="AR44" s="449"/>
      <c r="AS44" s="449"/>
      <c r="AT44" s="449"/>
      <c r="AU44" s="449"/>
      <c r="AV44" s="449"/>
      <c r="AW44" s="449"/>
      <c r="AX44" s="449"/>
      <c r="AY44" s="449"/>
      <c r="AZ44" s="449"/>
      <c r="BA44" s="449"/>
      <c r="BB44" s="449"/>
      <c r="BC44" s="449"/>
      <c r="BD44" s="449"/>
      <c r="BE44" s="449"/>
      <c r="BF44" s="449"/>
      <c r="BG44" s="449"/>
      <c r="BH44" s="449"/>
      <c r="BI44" s="449"/>
      <c r="BJ44" s="449"/>
      <c r="BK44" s="449"/>
      <c r="BL44" s="449"/>
      <c r="BM44" s="449"/>
      <c r="BN44" s="449"/>
      <c r="BO44" s="449"/>
      <c r="BP44" s="449"/>
      <c r="BQ44" s="449"/>
      <c r="BR44" s="449"/>
      <c r="BS44" s="449"/>
      <c r="BT44" s="449"/>
      <c r="BU44" s="449"/>
      <c r="BV44" s="449"/>
      <c r="BW44" s="449"/>
      <c r="BX44" s="449"/>
      <c r="BY44" s="449"/>
      <c r="BZ44" s="449"/>
      <c r="CA44" s="449"/>
      <c r="CB44" s="449"/>
      <c r="CC44" s="449"/>
      <c r="CD44" s="449"/>
      <c r="CE44" s="449"/>
      <c r="CF44" s="449"/>
      <c r="CG44" s="449"/>
      <c r="CH44" s="449"/>
      <c r="CI44" s="449"/>
      <c r="CJ44" s="449"/>
      <c r="CK44" s="449"/>
      <c r="CL44" s="449"/>
      <c r="CM44" s="449"/>
      <c r="CN44" s="449"/>
      <c r="CO44" s="449"/>
      <c r="CP44" s="449"/>
      <c r="CQ44" s="449"/>
      <c r="CR44" s="449"/>
      <c r="CS44" s="449"/>
      <c r="CT44" s="449"/>
      <c r="CU44" s="449"/>
      <c r="CV44" s="449"/>
      <c r="CW44" s="449"/>
      <c r="CX44" s="449"/>
      <c r="CY44" s="449"/>
      <c r="CZ44" s="449"/>
      <c r="DA44" s="449"/>
      <c r="DB44" s="449"/>
      <c r="DC44" s="449"/>
      <c r="DD44" s="449"/>
      <c r="DE44" s="449"/>
      <c r="DF44" s="449"/>
      <c r="DG44" s="449"/>
      <c r="DH44" s="449"/>
      <c r="DI44" s="449"/>
      <c r="DJ44" s="449"/>
      <c r="DK44" s="449"/>
      <c r="DL44" s="449"/>
      <c r="DM44" s="449"/>
      <c r="DN44" s="449"/>
      <c r="DO44" s="449"/>
      <c r="DP44" s="449"/>
      <c r="DQ44" s="449"/>
      <c r="DR44" s="449"/>
      <c r="DS44" s="449"/>
      <c r="DT44" s="449"/>
      <c r="DU44" s="449"/>
      <c r="DV44" s="449"/>
      <c r="DW44" s="449"/>
      <c r="DX44" s="449"/>
      <c r="DY44" s="449"/>
      <c r="DZ44" s="449"/>
      <c r="EA44" s="449"/>
      <c r="EB44" s="449"/>
      <c r="EC44" s="449"/>
      <c r="ED44" s="449"/>
      <c r="EE44" s="449"/>
      <c r="EF44" s="449"/>
      <c r="EG44" s="449"/>
      <c r="EH44" s="449"/>
      <c r="EI44" s="449"/>
      <c r="EJ44" s="449"/>
      <c r="EK44" s="449"/>
      <c r="EL44" s="449"/>
      <c r="EM44" s="449"/>
      <c r="EN44" s="449"/>
      <c r="EO44" s="449"/>
      <c r="EP44" s="449"/>
      <c r="EQ44" s="449"/>
      <c r="ER44" s="449"/>
      <c r="ES44" s="449"/>
      <c r="ET44" s="449"/>
      <c r="EU44" s="449"/>
      <c r="EV44" s="449"/>
      <c r="EW44" s="449"/>
      <c r="EX44" s="449"/>
      <c r="EY44" s="449"/>
      <c r="EZ44" s="449"/>
      <c r="FA44" s="449"/>
      <c r="FB44" s="449"/>
      <c r="FC44" s="449"/>
      <c r="FD44" s="449"/>
      <c r="FE44" s="449"/>
      <c r="FF44" s="449"/>
      <c r="FG44" s="449"/>
      <c r="FH44" s="449"/>
      <c r="FI44" s="449"/>
      <c r="FJ44" s="449"/>
      <c r="FK44" s="449"/>
      <c r="FL44" s="449"/>
      <c r="FM44" s="449"/>
      <c r="FN44" s="449"/>
      <c r="FO44" s="449"/>
      <c r="FP44" s="449"/>
      <c r="FQ44" s="449"/>
      <c r="FR44" s="449"/>
      <c r="FS44" s="449"/>
      <c r="FT44" s="449"/>
      <c r="FU44" s="449"/>
      <c r="FV44" s="449"/>
      <c r="FW44" s="449"/>
      <c r="FX44" s="449"/>
      <c r="FY44" s="449"/>
      <c r="FZ44" s="449"/>
      <c r="GA44" s="449"/>
      <c r="GB44" s="449"/>
      <c r="GC44" s="449"/>
      <c r="GD44" s="449"/>
      <c r="GE44" s="449"/>
      <c r="GF44" s="449"/>
      <c r="GG44" s="449"/>
      <c r="GH44" s="449"/>
      <c r="GI44" s="449"/>
      <c r="GJ44" s="449"/>
      <c r="GK44" s="449"/>
      <c r="GL44" s="449"/>
      <c r="GM44" s="449"/>
      <c r="GN44" s="449"/>
      <c r="GO44" s="449"/>
      <c r="GP44" s="449"/>
      <c r="GQ44" s="449"/>
      <c r="GR44" s="449"/>
      <c r="GS44" s="449"/>
      <c r="GT44" s="449"/>
      <c r="GU44" s="449"/>
      <c r="GV44" s="449"/>
      <c r="GW44" s="449"/>
      <c r="GX44" s="449"/>
      <c r="GY44" s="449"/>
      <c r="GZ44" s="449"/>
      <c r="HA44" s="449"/>
      <c r="HB44" s="449"/>
      <c r="HC44" s="449"/>
      <c r="HD44" s="449"/>
      <c r="HE44" s="449"/>
      <c r="HF44" s="449"/>
      <c r="HG44" s="449"/>
      <c r="HH44" s="449"/>
      <c r="HI44" s="449"/>
      <c r="HJ44" s="449"/>
      <c r="HK44" s="449"/>
      <c r="HL44" s="449"/>
      <c r="HM44" s="449"/>
      <c r="HN44" s="449"/>
      <c r="HO44" s="449"/>
      <c r="HP44" s="449"/>
      <c r="HQ44" s="449"/>
      <c r="HR44" s="449"/>
      <c r="HS44" s="449"/>
      <c r="HT44" s="449"/>
      <c r="HU44" s="449"/>
      <c r="HV44" s="449"/>
      <c r="HW44" s="449"/>
      <c r="HX44" s="449"/>
      <c r="HY44" s="449"/>
      <c r="HZ44" s="449"/>
      <c r="IA44" s="449"/>
      <c r="IB44" s="449"/>
      <c r="IC44" s="449"/>
      <c r="ID44" s="449"/>
      <c r="IE44" s="449"/>
      <c r="IF44" s="449"/>
      <c r="IG44" s="449"/>
      <c r="IH44" s="449"/>
      <c r="II44" s="449"/>
      <c r="IJ44" s="449"/>
      <c r="IK44" s="449"/>
      <c r="IL44" s="449"/>
      <c r="IM44" s="449"/>
      <c r="IN44" s="449"/>
      <c r="IO44" s="449"/>
      <c r="IP44" s="449"/>
      <c r="IQ44" s="449"/>
      <c r="IR44" s="449"/>
      <c r="IS44" s="449"/>
      <c r="IT44" s="449"/>
      <c r="IU44" s="449"/>
      <c r="IV44" s="449"/>
      <c r="IW44" s="449"/>
    </row>
    <row r="45" customFormat="false" ht="12.75" hidden="false" customHeight="false" outlineLevel="0" collapsed="false">
      <c r="A45" s="461" t="n">
        <f aca="false">A44+1</f>
        <v>42</v>
      </c>
      <c r="C45" s="449"/>
      <c r="D45" s="449"/>
      <c r="E45" s="469"/>
      <c r="F45" s="469"/>
      <c r="G45" s="469"/>
      <c r="H45" s="469"/>
      <c r="I45" s="469"/>
      <c r="J45" s="469"/>
      <c r="K45" s="46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449"/>
      <c r="Y45" s="449"/>
      <c r="Z45" s="449"/>
      <c r="AA45" s="449"/>
      <c r="AB45" s="449"/>
      <c r="AC45" s="449"/>
      <c r="AD45" s="449"/>
      <c r="AE45" s="449"/>
      <c r="AF45" s="449"/>
      <c r="AG45" s="449"/>
      <c r="AH45" s="449"/>
      <c r="AI45" s="449"/>
      <c r="AJ45" s="449"/>
      <c r="AK45" s="449"/>
      <c r="AL45" s="449"/>
      <c r="AM45" s="449"/>
      <c r="AN45" s="449"/>
      <c r="AO45" s="449"/>
      <c r="AP45" s="449"/>
      <c r="AQ45" s="449"/>
      <c r="AR45" s="449"/>
      <c r="AS45" s="449"/>
      <c r="AT45" s="449"/>
      <c r="AU45" s="449"/>
      <c r="AV45" s="449"/>
      <c r="AW45" s="449"/>
      <c r="AX45" s="449"/>
      <c r="AY45" s="449"/>
      <c r="AZ45" s="449"/>
      <c r="BA45" s="449"/>
      <c r="BB45" s="449"/>
      <c r="BC45" s="449"/>
      <c r="BD45" s="449"/>
      <c r="BE45" s="449"/>
      <c r="BF45" s="449"/>
      <c r="BG45" s="449"/>
      <c r="BH45" s="449"/>
      <c r="BI45" s="449"/>
      <c r="BJ45" s="449"/>
      <c r="BK45" s="449"/>
      <c r="BL45" s="449"/>
      <c r="BM45" s="449"/>
      <c r="BN45" s="449"/>
      <c r="BO45" s="449"/>
      <c r="BP45" s="449"/>
      <c r="BQ45" s="449"/>
      <c r="BR45" s="449"/>
      <c r="BS45" s="449"/>
      <c r="BT45" s="449"/>
      <c r="BU45" s="449"/>
      <c r="BV45" s="449"/>
      <c r="BW45" s="449"/>
      <c r="BX45" s="449"/>
      <c r="BY45" s="449"/>
      <c r="BZ45" s="449"/>
      <c r="CA45" s="449"/>
      <c r="CB45" s="449"/>
      <c r="CC45" s="449"/>
      <c r="CD45" s="449"/>
      <c r="CE45" s="449"/>
      <c r="CF45" s="449"/>
      <c r="CG45" s="449"/>
      <c r="CH45" s="449"/>
      <c r="CI45" s="449"/>
      <c r="CJ45" s="449"/>
      <c r="CK45" s="449"/>
      <c r="CL45" s="449"/>
      <c r="CM45" s="449"/>
      <c r="CN45" s="449"/>
      <c r="CO45" s="449"/>
      <c r="CP45" s="449"/>
      <c r="CQ45" s="449"/>
      <c r="CR45" s="449"/>
      <c r="CS45" s="449"/>
      <c r="CT45" s="449"/>
      <c r="CU45" s="449"/>
      <c r="CV45" s="449"/>
      <c r="CW45" s="449"/>
      <c r="CX45" s="449"/>
      <c r="CY45" s="449"/>
      <c r="CZ45" s="449"/>
      <c r="DA45" s="449"/>
      <c r="DB45" s="449"/>
      <c r="DC45" s="449"/>
      <c r="DD45" s="449"/>
      <c r="DE45" s="449"/>
      <c r="DF45" s="449"/>
      <c r="DG45" s="449"/>
      <c r="DH45" s="449"/>
      <c r="DI45" s="449"/>
      <c r="DJ45" s="449"/>
      <c r="DK45" s="449"/>
      <c r="DL45" s="449"/>
      <c r="DM45" s="449"/>
      <c r="DN45" s="449"/>
      <c r="DO45" s="449"/>
      <c r="DP45" s="449"/>
      <c r="DQ45" s="449"/>
      <c r="DR45" s="449"/>
      <c r="DS45" s="449"/>
      <c r="DT45" s="449"/>
      <c r="DU45" s="449"/>
      <c r="DV45" s="449"/>
      <c r="DW45" s="449"/>
      <c r="DX45" s="449"/>
      <c r="DY45" s="449"/>
      <c r="DZ45" s="449"/>
      <c r="EA45" s="449"/>
      <c r="EB45" s="449"/>
      <c r="EC45" s="449"/>
      <c r="ED45" s="449"/>
      <c r="EE45" s="449"/>
      <c r="EF45" s="449"/>
      <c r="EG45" s="449"/>
      <c r="EH45" s="449"/>
      <c r="EI45" s="449"/>
      <c r="EJ45" s="449"/>
      <c r="EK45" s="449"/>
      <c r="EL45" s="449"/>
      <c r="EM45" s="449"/>
      <c r="EN45" s="449"/>
      <c r="EO45" s="449"/>
      <c r="EP45" s="449"/>
      <c r="EQ45" s="449"/>
      <c r="ER45" s="449"/>
      <c r="ES45" s="449"/>
      <c r="ET45" s="449"/>
      <c r="EU45" s="449"/>
      <c r="EV45" s="449"/>
      <c r="EW45" s="449"/>
      <c r="EX45" s="449"/>
      <c r="EY45" s="449"/>
      <c r="EZ45" s="449"/>
      <c r="FA45" s="449"/>
      <c r="FB45" s="449"/>
      <c r="FC45" s="449"/>
      <c r="FD45" s="449"/>
      <c r="FE45" s="449"/>
      <c r="FF45" s="449"/>
      <c r="FG45" s="449"/>
      <c r="FH45" s="449"/>
      <c r="FI45" s="449"/>
      <c r="FJ45" s="449"/>
      <c r="FK45" s="449"/>
      <c r="FL45" s="449"/>
      <c r="FM45" s="449"/>
      <c r="FN45" s="449"/>
      <c r="FO45" s="449"/>
      <c r="FP45" s="449"/>
      <c r="FQ45" s="449"/>
      <c r="FR45" s="449"/>
      <c r="FS45" s="449"/>
      <c r="FT45" s="449"/>
      <c r="FU45" s="449"/>
      <c r="FV45" s="449"/>
      <c r="FW45" s="449"/>
      <c r="FX45" s="449"/>
      <c r="FY45" s="449"/>
      <c r="FZ45" s="449"/>
      <c r="GA45" s="449"/>
      <c r="GB45" s="449"/>
      <c r="GC45" s="449"/>
      <c r="GD45" s="449"/>
      <c r="GE45" s="449"/>
      <c r="GF45" s="449"/>
      <c r="GG45" s="449"/>
      <c r="GH45" s="449"/>
      <c r="GI45" s="449"/>
      <c r="GJ45" s="449"/>
      <c r="GK45" s="449"/>
      <c r="GL45" s="449"/>
      <c r="GM45" s="449"/>
      <c r="GN45" s="449"/>
      <c r="GO45" s="449"/>
      <c r="GP45" s="449"/>
      <c r="GQ45" s="449"/>
      <c r="GR45" s="449"/>
      <c r="GS45" s="449"/>
      <c r="GT45" s="449"/>
      <c r="GU45" s="449"/>
      <c r="GV45" s="449"/>
      <c r="GW45" s="449"/>
      <c r="GX45" s="449"/>
      <c r="GY45" s="449"/>
      <c r="GZ45" s="449"/>
      <c r="HA45" s="449"/>
      <c r="HB45" s="449"/>
      <c r="HC45" s="449"/>
      <c r="HD45" s="449"/>
      <c r="HE45" s="449"/>
      <c r="HF45" s="449"/>
      <c r="HG45" s="449"/>
      <c r="HH45" s="449"/>
      <c r="HI45" s="449"/>
      <c r="HJ45" s="449"/>
      <c r="HK45" s="449"/>
      <c r="HL45" s="449"/>
      <c r="HM45" s="449"/>
      <c r="HN45" s="449"/>
      <c r="HO45" s="449"/>
      <c r="HP45" s="449"/>
      <c r="HQ45" s="449"/>
      <c r="HR45" s="449"/>
      <c r="HS45" s="449"/>
      <c r="HT45" s="449"/>
      <c r="HU45" s="449"/>
      <c r="HV45" s="449"/>
      <c r="HW45" s="449"/>
      <c r="HX45" s="449"/>
      <c r="HY45" s="449"/>
      <c r="HZ45" s="449"/>
      <c r="IA45" s="449"/>
      <c r="IB45" s="449"/>
      <c r="IC45" s="449"/>
      <c r="ID45" s="449"/>
      <c r="IE45" s="449"/>
      <c r="IF45" s="449"/>
      <c r="IG45" s="449"/>
      <c r="IH45" s="449"/>
      <c r="II45" s="449"/>
      <c r="IJ45" s="449"/>
      <c r="IK45" s="449"/>
      <c r="IL45" s="449"/>
      <c r="IM45" s="449"/>
      <c r="IN45" s="449"/>
      <c r="IO45" s="449"/>
      <c r="IP45" s="449"/>
      <c r="IQ45" s="449"/>
      <c r="IR45" s="449"/>
      <c r="IS45" s="449"/>
      <c r="IT45" s="449"/>
      <c r="IU45" s="449"/>
      <c r="IV45" s="449"/>
      <c r="IW45" s="449"/>
    </row>
    <row r="46" customFormat="false" ht="12.75" hidden="false" customHeight="false" outlineLevel="0" collapsed="false">
      <c r="A46" s="461" t="n">
        <f aca="false">A45+1</f>
        <v>43</v>
      </c>
      <c r="C46" s="449"/>
      <c r="D46" s="449"/>
      <c r="E46" s="469"/>
      <c r="F46" s="469"/>
      <c r="G46" s="469"/>
      <c r="H46" s="469"/>
      <c r="I46" s="469"/>
      <c r="J46" s="469"/>
      <c r="K46" s="469"/>
      <c r="L46" s="449"/>
      <c r="M46" s="449"/>
      <c r="N46" s="449"/>
      <c r="O46" s="449"/>
      <c r="P46" s="449"/>
      <c r="Q46" s="449"/>
      <c r="R46" s="449"/>
      <c r="S46" s="449"/>
      <c r="T46" s="449"/>
      <c r="U46" s="449"/>
      <c r="V46" s="449"/>
      <c r="W46" s="449"/>
      <c r="X46" s="449"/>
      <c r="Y46" s="449"/>
      <c r="Z46" s="449"/>
      <c r="AA46" s="449"/>
      <c r="AB46" s="449"/>
      <c r="AC46" s="449"/>
      <c r="AD46" s="449"/>
      <c r="AE46" s="449"/>
      <c r="AF46" s="449"/>
      <c r="AG46" s="449"/>
      <c r="AH46" s="449"/>
      <c r="AI46" s="449"/>
      <c r="AJ46" s="449"/>
      <c r="AK46" s="449"/>
      <c r="AL46" s="449"/>
      <c r="AM46" s="449"/>
      <c r="AN46" s="449"/>
      <c r="AO46" s="449"/>
      <c r="AP46" s="449"/>
      <c r="AQ46" s="449"/>
      <c r="AR46" s="449"/>
      <c r="AS46" s="449"/>
      <c r="AT46" s="449"/>
      <c r="AU46" s="449"/>
      <c r="AV46" s="449"/>
      <c r="AW46" s="449"/>
      <c r="AX46" s="449"/>
      <c r="AY46" s="449"/>
      <c r="AZ46" s="449"/>
      <c r="BA46" s="449"/>
      <c r="BB46" s="449"/>
      <c r="BC46" s="449"/>
      <c r="BD46" s="449"/>
      <c r="BE46" s="449"/>
      <c r="BF46" s="449"/>
      <c r="BG46" s="449"/>
      <c r="BH46" s="449"/>
      <c r="BI46" s="449"/>
      <c r="BJ46" s="449"/>
      <c r="BK46" s="449"/>
      <c r="BL46" s="449"/>
      <c r="BM46" s="449"/>
      <c r="BN46" s="449"/>
      <c r="BO46" s="449"/>
      <c r="BP46" s="449"/>
      <c r="BQ46" s="449"/>
      <c r="BR46" s="449"/>
      <c r="BS46" s="449"/>
      <c r="BT46" s="449"/>
      <c r="BU46" s="449"/>
      <c r="BV46" s="449"/>
      <c r="BW46" s="449"/>
      <c r="BX46" s="449"/>
      <c r="BY46" s="449"/>
      <c r="BZ46" s="449"/>
      <c r="CA46" s="449"/>
      <c r="CB46" s="449"/>
      <c r="CC46" s="449"/>
      <c r="CD46" s="449"/>
      <c r="CE46" s="449"/>
      <c r="CF46" s="449"/>
      <c r="CG46" s="449"/>
      <c r="CH46" s="449"/>
      <c r="CI46" s="449"/>
      <c r="CJ46" s="449"/>
      <c r="CK46" s="449"/>
      <c r="CL46" s="449"/>
      <c r="CM46" s="449"/>
      <c r="CN46" s="449"/>
      <c r="CO46" s="449"/>
      <c r="CP46" s="449"/>
      <c r="CQ46" s="449"/>
      <c r="CR46" s="449"/>
      <c r="CS46" s="449"/>
      <c r="CT46" s="449"/>
      <c r="CU46" s="449"/>
      <c r="CV46" s="449"/>
      <c r="CW46" s="449"/>
      <c r="CX46" s="449"/>
      <c r="CY46" s="449"/>
      <c r="CZ46" s="449"/>
      <c r="DA46" s="449"/>
      <c r="DB46" s="449"/>
      <c r="DC46" s="449"/>
      <c r="DD46" s="449"/>
      <c r="DE46" s="449"/>
      <c r="DF46" s="449"/>
      <c r="DG46" s="449"/>
      <c r="DH46" s="449"/>
      <c r="DI46" s="449"/>
      <c r="DJ46" s="449"/>
      <c r="DK46" s="449"/>
      <c r="DL46" s="449"/>
      <c r="DM46" s="449"/>
      <c r="DN46" s="449"/>
      <c r="DO46" s="449"/>
      <c r="DP46" s="449"/>
      <c r="DQ46" s="449"/>
      <c r="DR46" s="449"/>
      <c r="DS46" s="449"/>
      <c r="DT46" s="449"/>
      <c r="DU46" s="449"/>
      <c r="DV46" s="449"/>
      <c r="DW46" s="449"/>
      <c r="DX46" s="449"/>
      <c r="DY46" s="449"/>
      <c r="DZ46" s="449"/>
      <c r="EA46" s="449"/>
      <c r="EB46" s="449"/>
      <c r="EC46" s="449"/>
      <c r="ED46" s="449"/>
      <c r="EE46" s="449"/>
      <c r="EF46" s="449"/>
      <c r="EG46" s="449"/>
      <c r="EH46" s="449"/>
      <c r="EI46" s="449"/>
      <c r="EJ46" s="449"/>
      <c r="EK46" s="449"/>
      <c r="EL46" s="449"/>
      <c r="EM46" s="449"/>
      <c r="EN46" s="449"/>
      <c r="EO46" s="449"/>
      <c r="EP46" s="449"/>
      <c r="EQ46" s="449"/>
      <c r="ER46" s="449"/>
      <c r="ES46" s="449"/>
      <c r="ET46" s="449"/>
      <c r="EU46" s="449"/>
      <c r="EV46" s="449"/>
      <c r="EW46" s="449"/>
      <c r="EX46" s="449"/>
      <c r="EY46" s="449"/>
      <c r="EZ46" s="449"/>
      <c r="FA46" s="449"/>
      <c r="FB46" s="449"/>
      <c r="FC46" s="449"/>
      <c r="FD46" s="449"/>
      <c r="FE46" s="449"/>
      <c r="FF46" s="449"/>
      <c r="FG46" s="449"/>
      <c r="FH46" s="449"/>
      <c r="FI46" s="449"/>
      <c r="FJ46" s="449"/>
      <c r="FK46" s="449"/>
      <c r="FL46" s="449"/>
      <c r="FM46" s="449"/>
      <c r="FN46" s="449"/>
      <c r="FO46" s="449"/>
      <c r="FP46" s="449"/>
      <c r="FQ46" s="449"/>
      <c r="FR46" s="449"/>
      <c r="FS46" s="449"/>
      <c r="FT46" s="449"/>
      <c r="FU46" s="449"/>
      <c r="FV46" s="449"/>
      <c r="FW46" s="449"/>
      <c r="FX46" s="449"/>
      <c r="FY46" s="449"/>
      <c r="FZ46" s="449"/>
      <c r="GA46" s="449"/>
      <c r="GB46" s="449"/>
      <c r="GC46" s="449"/>
      <c r="GD46" s="449"/>
      <c r="GE46" s="449"/>
      <c r="GF46" s="449"/>
      <c r="GG46" s="449"/>
      <c r="GH46" s="449"/>
      <c r="GI46" s="449"/>
      <c r="GJ46" s="449"/>
      <c r="GK46" s="449"/>
      <c r="GL46" s="449"/>
      <c r="GM46" s="449"/>
      <c r="GN46" s="449"/>
      <c r="GO46" s="449"/>
      <c r="GP46" s="449"/>
      <c r="GQ46" s="449"/>
      <c r="GR46" s="449"/>
      <c r="GS46" s="449"/>
      <c r="GT46" s="449"/>
      <c r="GU46" s="449"/>
      <c r="GV46" s="449"/>
      <c r="GW46" s="449"/>
      <c r="GX46" s="449"/>
      <c r="GY46" s="449"/>
      <c r="GZ46" s="449"/>
      <c r="HA46" s="449"/>
      <c r="HB46" s="449"/>
      <c r="HC46" s="449"/>
      <c r="HD46" s="449"/>
      <c r="HE46" s="449"/>
      <c r="HF46" s="449"/>
      <c r="HG46" s="449"/>
      <c r="HH46" s="449"/>
      <c r="HI46" s="449"/>
      <c r="HJ46" s="449"/>
      <c r="HK46" s="449"/>
      <c r="HL46" s="449"/>
      <c r="HM46" s="449"/>
      <c r="HN46" s="449"/>
      <c r="HO46" s="449"/>
      <c r="HP46" s="449"/>
      <c r="HQ46" s="449"/>
      <c r="HR46" s="449"/>
      <c r="HS46" s="449"/>
      <c r="HT46" s="449"/>
      <c r="HU46" s="449"/>
      <c r="HV46" s="449"/>
      <c r="HW46" s="449"/>
      <c r="HX46" s="449"/>
      <c r="HY46" s="449"/>
      <c r="HZ46" s="449"/>
      <c r="IA46" s="449"/>
      <c r="IB46" s="449"/>
      <c r="IC46" s="449"/>
      <c r="ID46" s="449"/>
      <c r="IE46" s="449"/>
      <c r="IF46" s="449"/>
      <c r="IG46" s="449"/>
      <c r="IH46" s="449"/>
      <c r="II46" s="449"/>
      <c r="IJ46" s="449"/>
      <c r="IK46" s="449"/>
      <c r="IL46" s="449"/>
      <c r="IM46" s="449"/>
      <c r="IN46" s="449"/>
      <c r="IO46" s="449"/>
      <c r="IP46" s="449"/>
      <c r="IQ46" s="449"/>
      <c r="IR46" s="449"/>
      <c r="IS46" s="449"/>
      <c r="IT46" s="449"/>
      <c r="IU46" s="449"/>
      <c r="IV46" s="449"/>
      <c r="IW46" s="449"/>
    </row>
    <row r="47" customFormat="false" ht="18" hidden="false" customHeight="false" outlineLevel="0" collapsed="false">
      <c r="A47" s="461" t="n">
        <f aca="false">A46+1</f>
        <v>44</v>
      </c>
      <c r="B47" s="470" t="s">
        <v>224</v>
      </c>
      <c r="C47" s="449"/>
      <c r="D47" s="449"/>
      <c r="E47" s="469"/>
      <c r="F47" s="469"/>
      <c r="G47" s="469"/>
      <c r="H47" s="469"/>
      <c r="I47" s="469"/>
      <c r="J47" s="469"/>
      <c r="K47" s="46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49"/>
      <c r="Z47" s="449"/>
      <c r="AA47" s="449"/>
      <c r="AB47" s="449"/>
      <c r="AC47" s="449"/>
      <c r="AD47" s="449"/>
      <c r="AE47" s="449"/>
      <c r="AF47" s="449"/>
      <c r="AG47" s="449"/>
      <c r="AH47" s="449"/>
      <c r="AI47" s="449"/>
      <c r="AJ47" s="449"/>
      <c r="AK47" s="449"/>
      <c r="AL47" s="449"/>
      <c r="AM47" s="449"/>
      <c r="AN47" s="449"/>
      <c r="AO47" s="449"/>
      <c r="AP47" s="449"/>
      <c r="AQ47" s="449"/>
      <c r="AR47" s="449"/>
      <c r="AS47" s="449"/>
      <c r="AT47" s="449"/>
      <c r="AU47" s="449"/>
      <c r="AV47" s="449"/>
      <c r="AW47" s="449"/>
      <c r="AX47" s="449"/>
      <c r="AY47" s="449"/>
      <c r="AZ47" s="449"/>
      <c r="BA47" s="449"/>
      <c r="BB47" s="449"/>
      <c r="BC47" s="449"/>
      <c r="BD47" s="449"/>
      <c r="BE47" s="449"/>
      <c r="BF47" s="449"/>
      <c r="BG47" s="449"/>
      <c r="BH47" s="449"/>
      <c r="BI47" s="449"/>
      <c r="BJ47" s="449"/>
      <c r="BK47" s="449"/>
      <c r="BL47" s="449"/>
      <c r="BM47" s="449"/>
      <c r="BN47" s="449"/>
      <c r="BO47" s="449"/>
      <c r="BP47" s="449"/>
      <c r="BQ47" s="449"/>
      <c r="BR47" s="449"/>
      <c r="BS47" s="449"/>
      <c r="BT47" s="449"/>
      <c r="BU47" s="449"/>
      <c r="BV47" s="449"/>
      <c r="BW47" s="449"/>
      <c r="BX47" s="449"/>
      <c r="BY47" s="449"/>
      <c r="BZ47" s="449"/>
      <c r="CA47" s="449"/>
      <c r="CB47" s="449"/>
      <c r="CC47" s="449"/>
      <c r="CD47" s="449"/>
      <c r="CE47" s="449"/>
      <c r="CF47" s="449"/>
      <c r="CG47" s="449"/>
      <c r="CH47" s="449"/>
      <c r="CI47" s="449"/>
      <c r="CJ47" s="449"/>
      <c r="CK47" s="449"/>
      <c r="CL47" s="449"/>
      <c r="CM47" s="449"/>
      <c r="CN47" s="449"/>
      <c r="CO47" s="449"/>
      <c r="CP47" s="449"/>
      <c r="CQ47" s="449"/>
      <c r="CR47" s="449"/>
      <c r="CS47" s="449"/>
      <c r="CT47" s="449"/>
      <c r="CU47" s="449"/>
      <c r="CV47" s="449"/>
      <c r="CW47" s="449"/>
      <c r="CX47" s="449"/>
      <c r="CY47" s="449"/>
      <c r="CZ47" s="449"/>
      <c r="DA47" s="449"/>
      <c r="DB47" s="449"/>
      <c r="DC47" s="449"/>
      <c r="DD47" s="449"/>
      <c r="DE47" s="449"/>
      <c r="DF47" s="449"/>
      <c r="DG47" s="449"/>
      <c r="DH47" s="449"/>
      <c r="DI47" s="449"/>
      <c r="DJ47" s="449"/>
      <c r="DK47" s="449"/>
      <c r="DL47" s="449"/>
      <c r="DM47" s="449"/>
      <c r="DN47" s="449"/>
      <c r="DO47" s="449"/>
      <c r="DP47" s="449"/>
      <c r="DQ47" s="449"/>
      <c r="DR47" s="449"/>
      <c r="DS47" s="449"/>
      <c r="DT47" s="449"/>
      <c r="DU47" s="449"/>
      <c r="DV47" s="449"/>
      <c r="DW47" s="449"/>
      <c r="DX47" s="449"/>
      <c r="DY47" s="449"/>
      <c r="DZ47" s="449"/>
      <c r="EA47" s="449"/>
      <c r="EB47" s="449"/>
      <c r="EC47" s="449"/>
      <c r="ED47" s="449"/>
      <c r="EE47" s="449"/>
      <c r="EF47" s="449"/>
      <c r="EG47" s="449"/>
      <c r="EH47" s="449"/>
      <c r="EI47" s="449"/>
      <c r="EJ47" s="449"/>
      <c r="EK47" s="449"/>
      <c r="EL47" s="449"/>
      <c r="EM47" s="449"/>
      <c r="EN47" s="449"/>
      <c r="EO47" s="449"/>
      <c r="EP47" s="449"/>
      <c r="EQ47" s="449"/>
      <c r="ER47" s="449"/>
      <c r="ES47" s="449"/>
      <c r="ET47" s="449"/>
      <c r="EU47" s="449"/>
      <c r="EV47" s="449"/>
      <c r="EW47" s="449"/>
      <c r="EX47" s="449"/>
      <c r="EY47" s="449"/>
      <c r="EZ47" s="449"/>
      <c r="FA47" s="449"/>
      <c r="FB47" s="449"/>
      <c r="FC47" s="449"/>
      <c r="FD47" s="449"/>
      <c r="FE47" s="449"/>
      <c r="FF47" s="449"/>
      <c r="FG47" s="449"/>
      <c r="FH47" s="449"/>
      <c r="FI47" s="449"/>
      <c r="FJ47" s="449"/>
      <c r="FK47" s="449"/>
      <c r="FL47" s="449"/>
      <c r="FM47" s="449"/>
      <c r="FN47" s="449"/>
      <c r="FO47" s="449"/>
      <c r="FP47" s="449"/>
      <c r="FQ47" s="449"/>
      <c r="FR47" s="449"/>
      <c r="FS47" s="449"/>
      <c r="FT47" s="449"/>
      <c r="FU47" s="449"/>
      <c r="FV47" s="449"/>
      <c r="FW47" s="449"/>
      <c r="FX47" s="449"/>
      <c r="FY47" s="449"/>
      <c r="FZ47" s="449"/>
      <c r="GA47" s="449"/>
      <c r="GB47" s="449"/>
      <c r="GC47" s="449"/>
      <c r="GD47" s="449"/>
      <c r="GE47" s="449"/>
      <c r="GF47" s="449"/>
      <c r="GG47" s="449"/>
      <c r="GH47" s="449"/>
      <c r="GI47" s="449"/>
      <c r="GJ47" s="449"/>
      <c r="GK47" s="449"/>
      <c r="GL47" s="449"/>
      <c r="GM47" s="449"/>
      <c r="GN47" s="449"/>
      <c r="GO47" s="449"/>
      <c r="GP47" s="449"/>
      <c r="GQ47" s="449"/>
      <c r="GR47" s="449"/>
      <c r="GS47" s="449"/>
      <c r="GT47" s="449"/>
      <c r="GU47" s="449"/>
      <c r="GV47" s="449"/>
      <c r="GW47" s="449"/>
      <c r="GX47" s="449"/>
      <c r="GY47" s="449"/>
      <c r="GZ47" s="449"/>
      <c r="HA47" s="449"/>
      <c r="HB47" s="449"/>
      <c r="HC47" s="449"/>
      <c r="HD47" s="449"/>
      <c r="HE47" s="449"/>
      <c r="HF47" s="449"/>
      <c r="HG47" s="449"/>
      <c r="HH47" s="449"/>
      <c r="HI47" s="449"/>
      <c r="HJ47" s="449"/>
      <c r="HK47" s="449"/>
      <c r="HL47" s="449"/>
      <c r="HM47" s="449"/>
      <c r="HN47" s="449"/>
      <c r="HO47" s="449"/>
      <c r="HP47" s="449"/>
      <c r="HQ47" s="449"/>
      <c r="HR47" s="449"/>
      <c r="HS47" s="449"/>
      <c r="HT47" s="449"/>
      <c r="HU47" s="449"/>
      <c r="HV47" s="449"/>
      <c r="HW47" s="449"/>
      <c r="HX47" s="449"/>
      <c r="HY47" s="449"/>
      <c r="HZ47" s="449"/>
      <c r="IA47" s="449"/>
      <c r="IB47" s="449"/>
      <c r="IC47" s="449"/>
      <c r="ID47" s="449"/>
      <c r="IE47" s="449"/>
      <c r="IF47" s="449"/>
      <c r="IG47" s="449"/>
      <c r="IH47" s="449"/>
      <c r="II47" s="449"/>
      <c r="IJ47" s="449"/>
      <c r="IK47" s="449"/>
      <c r="IL47" s="449"/>
      <c r="IM47" s="449"/>
      <c r="IN47" s="449"/>
      <c r="IO47" s="449"/>
      <c r="IP47" s="449"/>
      <c r="IQ47" s="449"/>
      <c r="IR47" s="449"/>
      <c r="IS47" s="449"/>
      <c r="IT47" s="449"/>
      <c r="IU47" s="449"/>
      <c r="IV47" s="449"/>
      <c r="IW47" s="449"/>
    </row>
    <row r="48" customFormat="false" ht="12.75" hidden="false" customHeight="false" outlineLevel="0" collapsed="false">
      <c r="A48" s="461" t="n">
        <f aca="false">A47+1</f>
        <v>45</v>
      </c>
      <c r="C48" s="471"/>
      <c r="D48" s="449"/>
      <c r="E48" s="469"/>
      <c r="F48" s="469"/>
      <c r="G48" s="469"/>
      <c r="H48" s="469"/>
      <c r="I48" s="469"/>
      <c r="J48" s="469"/>
      <c r="K48" s="469"/>
      <c r="L48" s="449"/>
      <c r="M48" s="449"/>
      <c r="N48" s="449"/>
      <c r="O48" s="449"/>
      <c r="P48" s="449"/>
      <c r="Q48" s="449"/>
      <c r="R48" s="449"/>
      <c r="S48" s="449"/>
      <c r="T48" s="449"/>
      <c r="U48" s="449"/>
      <c r="V48" s="449"/>
      <c r="W48" s="449"/>
      <c r="X48" s="449"/>
      <c r="Y48" s="449"/>
      <c r="Z48" s="449"/>
      <c r="AA48" s="449"/>
      <c r="AB48" s="449"/>
      <c r="AC48" s="449"/>
      <c r="AD48" s="449"/>
      <c r="AE48" s="449"/>
      <c r="AF48" s="449"/>
      <c r="AG48" s="449"/>
      <c r="AH48" s="449"/>
      <c r="AI48" s="449"/>
      <c r="AJ48" s="449"/>
      <c r="AK48" s="449"/>
      <c r="AL48" s="449"/>
      <c r="AM48" s="449"/>
      <c r="AN48" s="449"/>
      <c r="AO48" s="449"/>
      <c r="AP48" s="449"/>
      <c r="AQ48" s="449"/>
      <c r="AR48" s="449"/>
      <c r="AS48" s="449"/>
      <c r="AT48" s="449"/>
      <c r="AU48" s="449"/>
      <c r="AV48" s="449"/>
      <c r="AW48" s="449"/>
      <c r="AX48" s="449"/>
      <c r="AY48" s="449"/>
      <c r="AZ48" s="449"/>
      <c r="BA48" s="449"/>
      <c r="BB48" s="449"/>
      <c r="BC48" s="449"/>
      <c r="BD48" s="449"/>
      <c r="BE48" s="449"/>
      <c r="BF48" s="449"/>
      <c r="BG48" s="449"/>
      <c r="BH48" s="449"/>
      <c r="BI48" s="449"/>
      <c r="BJ48" s="449"/>
      <c r="BK48" s="449"/>
      <c r="BL48" s="449"/>
      <c r="BM48" s="449"/>
      <c r="BN48" s="449"/>
      <c r="BO48" s="449"/>
      <c r="BP48" s="449"/>
      <c r="BQ48" s="449"/>
      <c r="BR48" s="449"/>
      <c r="BS48" s="449"/>
      <c r="BT48" s="449"/>
      <c r="BU48" s="449"/>
      <c r="BV48" s="449"/>
      <c r="BW48" s="449"/>
      <c r="BX48" s="449"/>
      <c r="BY48" s="449"/>
      <c r="BZ48" s="449"/>
      <c r="CA48" s="449"/>
      <c r="CB48" s="449"/>
      <c r="CC48" s="449"/>
      <c r="CD48" s="449"/>
      <c r="CE48" s="449"/>
      <c r="CF48" s="449"/>
      <c r="CG48" s="449"/>
      <c r="CH48" s="449"/>
      <c r="CI48" s="449"/>
      <c r="CJ48" s="449"/>
      <c r="CK48" s="449"/>
      <c r="CL48" s="449"/>
      <c r="CM48" s="449"/>
      <c r="CN48" s="449"/>
      <c r="CO48" s="449"/>
      <c r="CP48" s="449"/>
      <c r="CQ48" s="449"/>
      <c r="CR48" s="449"/>
      <c r="CS48" s="449"/>
      <c r="CT48" s="449"/>
      <c r="CU48" s="449"/>
      <c r="CV48" s="449"/>
      <c r="CW48" s="449"/>
      <c r="CX48" s="449"/>
      <c r="CY48" s="449"/>
      <c r="CZ48" s="449"/>
      <c r="DA48" s="449"/>
      <c r="DB48" s="449"/>
      <c r="DC48" s="449"/>
      <c r="DD48" s="449"/>
      <c r="DE48" s="449"/>
      <c r="DF48" s="449"/>
      <c r="DG48" s="449"/>
      <c r="DH48" s="449"/>
      <c r="DI48" s="449"/>
      <c r="DJ48" s="449"/>
      <c r="DK48" s="449"/>
      <c r="DL48" s="449"/>
      <c r="DM48" s="449"/>
      <c r="DN48" s="449"/>
      <c r="DO48" s="449"/>
      <c r="DP48" s="449"/>
      <c r="DQ48" s="449"/>
      <c r="DR48" s="449"/>
      <c r="DS48" s="449"/>
      <c r="DT48" s="449"/>
      <c r="DU48" s="449"/>
      <c r="DV48" s="449"/>
      <c r="DW48" s="449"/>
      <c r="DX48" s="449"/>
      <c r="DY48" s="449"/>
      <c r="DZ48" s="449"/>
      <c r="EA48" s="449"/>
      <c r="EB48" s="449"/>
      <c r="EC48" s="449"/>
      <c r="ED48" s="449"/>
      <c r="EE48" s="449"/>
      <c r="EF48" s="449"/>
      <c r="EG48" s="449"/>
      <c r="EH48" s="449"/>
      <c r="EI48" s="449"/>
      <c r="EJ48" s="449"/>
      <c r="EK48" s="449"/>
      <c r="EL48" s="449"/>
      <c r="EM48" s="449"/>
      <c r="EN48" s="449"/>
      <c r="EO48" s="449"/>
      <c r="EP48" s="449"/>
      <c r="EQ48" s="449"/>
      <c r="ER48" s="449"/>
      <c r="ES48" s="449"/>
      <c r="ET48" s="449"/>
      <c r="EU48" s="449"/>
      <c r="EV48" s="449"/>
      <c r="EW48" s="449"/>
      <c r="EX48" s="449"/>
      <c r="EY48" s="449"/>
      <c r="EZ48" s="449"/>
      <c r="FA48" s="449"/>
      <c r="FB48" s="449"/>
      <c r="FC48" s="449"/>
      <c r="FD48" s="449"/>
      <c r="FE48" s="449"/>
      <c r="FF48" s="449"/>
      <c r="FG48" s="449"/>
      <c r="FH48" s="449"/>
      <c r="FI48" s="449"/>
      <c r="FJ48" s="449"/>
      <c r="FK48" s="449"/>
      <c r="FL48" s="449"/>
      <c r="FM48" s="449"/>
      <c r="FN48" s="449"/>
      <c r="FO48" s="449"/>
      <c r="FP48" s="449"/>
      <c r="FQ48" s="449"/>
      <c r="FR48" s="449"/>
      <c r="FS48" s="449"/>
      <c r="FT48" s="449"/>
      <c r="FU48" s="449"/>
      <c r="FV48" s="449"/>
      <c r="FW48" s="449"/>
      <c r="FX48" s="449"/>
      <c r="FY48" s="449"/>
      <c r="FZ48" s="449"/>
      <c r="GA48" s="449"/>
      <c r="GB48" s="449"/>
      <c r="GC48" s="449"/>
      <c r="GD48" s="449"/>
      <c r="GE48" s="449"/>
      <c r="GF48" s="449"/>
      <c r="GG48" s="449"/>
      <c r="GH48" s="449"/>
      <c r="GI48" s="449"/>
      <c r="GJ48" s="449"/>
      <c r="GK48" s="449"/>
      <c r="GL48" s="449"/>
      <c r="GM48" s="449"/>
      <c r="GN48" s="449"/>
      <c r="GO48" s="449"/>
      <c r="GP48" s="449"/>
      <c r="GQ48" s="449"/>
      <c r="GR48" s="449"/>
      <c r="GS48" s="449"/>
      <c r="GT48" s="449"/>
      <c r="GU48" s="449"/>
      <c r="GV48" s="449"/>
      <c r="GW48" s="449"/>
      <c r="GX48" s="449"/>
      <c r="GY48" s="449"/>
      <c r="GZ48" s="449"/>
      <c r="HA48" s="449"/>
      <c r="HB48" s="449"/>
      <c r="HC48" s="449"/>
      <c r="HD48" s="449"/>
      <c r="HE48" s="449"/>
      <c r="HF48" s="449"/>
      <c r="HG48" s="449"/>
      <c r="HH48" s="449"/>
      <c r="HI48" s="449"/>
      <c r="HJ48" s="449"/>
      <c r="HK48" s="449"/>
      <c r="HL48" s="449"/>
      <c r="HM48" s="449"/>
      <c r="HN48" s="449"/>
      <c r="HO48" s="449"/>
      <c r="HP48" s="449"/>
      <c r="HQ48" s="449"/>
      <c r="HR48" s="449"/>
      <c r="HS48" s="449"/>
      <c r="HT48" s="449"/>
      <c r="HU48" s="449"/>
      <c r="HV48" s="449"/>
      <c r="HW48" s="449"/>
      <c r="HX48" s="449"/>
      <c r="HY48" s="449"/>
      <c r="HZ48" s="449"/>
      <c r="IA48" s="449"/>
      <c r="IB48" s="449"/>
      <c r="IC48" s="449"/>
      <c r="ID48" s="449"/>
      <c r="IE48" s="449"/>
      <c r="IF48" s="449"/>
      <c r="IG48" s="449"/>
      <c r="IH48" s="449"/>
      <c r="II48" s="449"/>
      <c r="IJ48" s="449"/>
      <c r="IK48" s="449"/>
      <c r="IL48" s="449"/>
      <c r="IM48" s="449"/>
      <c r="IN48" s="449"/>
      <c r="IO48" s="449"/>
      <c r="IP48" s="449"/>
      <c r="IQ48" s="449"/>
      <c r="IR48" s="449"/>
      <c r="IS48" s="449"/>
      <c r="IT48" s="449"/>
      <c r="IU48" s="449"/>
      <c r="IV48" s="449"/>
      <c r="IW48" s="449"/>
    </row>
    <row r="49" customFormat="false" ht="12.75" hidden="false" customHeight="false" outlineLevel="0" collapsed="false">
      <c r="A49" s="461" t="n">
        <f aca="false">A48+1</f>
        <v>46</v>
      </c>
      <c r="C49" s="472" t="s">
        <v>881</v>
      </c>
      <c r="D49" s="449"/>
      <c r="E49" s="473" t="n">
        <f aca="false">(SUM(E8:E10)+SUM(E21:E24)+SUM(E34:E40))/14</f>
        <v>57857.1428571429</v>
      </c>
      <c r="F49" s="473" t="n">
        <f aca="false">(SUM(F8:F10)+SUM(F21:F24)+SUM(F34:F40))/14</f>
        <v>57857.1428571429</v>
      </c>
      <c r="G49" s="473" t="n">
        <f aca="false">(SUM(G8:G10)+SUM(G21:G24)+SUM(G34:G40))/14</f>
        <v>57857.1428571429</v>
      </c>
      <c r="H49" s="473" t="n">
        <f aca="false">(SUM(H8:H10)+SUM(H21:H24)+SUM(H34:H40))/14</f>
        <v>57857.1428571429</v>
      </c>
      <c r="I49" s="473" t="n">
        <f aca="false">(SUM(I8:I10)+SUM(I21:I24)+SUM(I34:I40))/14</f>
        <v>57857.1428571429</v>
      </c>
      <c r="J49" s="473" t="n">
        <f aca="false">(SUM(J8:J10)+SUM(J21:J24)+SUM(J34:J40))/14</f>
        <v>57857.1428571429</v>
      </c>
      <c r="K49" s="468"/>
      <c r="L49" s="474"/>
      <c r="M49" s="474"/>
      <c r="N49" s="474"/>
      <c r="O49" s="474"/>
      <c r="P49" s="474"/>
      <c r="Q49" s="474"/>
      <c r="R49" s="474"/>
      <c r="S49" s="474"/>
      <c r="T49" s="449"/>
      <c r="U49" s="449"/>
      <c r="V49" s="449"/>
      <c r="W49" s="449"/>
      <c r="X49" s="449"/>
      <c r="Y49" s="449"/>
      <c r="Z49" s="449"/>
      <c r="AA49" s="449"/>
      <c r="AB49" s="449"/>
      <c r="AC49" s="449"/>
      <c r="AD49" s="449"/>
      <c r="AE49" s="449"/>
      <c r="AF49" s="449"/>
      <c r="AG49" s="449"/>
      <c r="AH49" s="449"/>
      <c r="AI49" s="449"/>
      <c r="AJ49" s="449"/>
      <c r="AK49" s="449"/>
      <c r="AL49" s="449"/>
      <c r="AM49" s="449"/>
      <c r="AN49" s="449"/>
      <c r="AO49" s="449"/>
      <c r="AP49" s="449"/>
      <c r="AQ49" s="449"/>
      <c r="AR49" s="449"/>
      <c r="AS49" s="449"/>
      <c r="AT49" s="449"/>
      <c r="AU49" s="449"/>
      <c r="AV49" s="449"/>
      <c r="AW49" s="449"/>
      <c r="AX49" s="449"/>
      <c r="AY49" s="449"/>
      <c r="AZ49" s="449"/>
      <c r="BA49" s="449"/>
      <c r="BB49" s="449"/>
      <c r="BC49" s="449"/>
      <c r="BD49" s="449"/>
      <c r="BE49" s="449"/>
      <c r="BF49" s="449"/>
      <c r="BG49" s="449"/>
      <c r="BH49" s="449"/>
      <c r="BI49" s="449"/>
      <c r="BJ49" s="449"/>
      <c r="BK49" s="449"/>
      <c r="BL49" s="449"/>
      <c r="BM49" s="449"/>
      <c r="BN49" s="449"/>
      <c r="BO49" s="449"/>
      <c r="BP49" s="449"/>
      <c r="BQ49" s="449"/>
      <c r="BR49" s="449"/>
      <c r="BS49" s="449"/>
      <c r="BT49" s="449"/>
      <c r="BU49" s="449"/>
      <c r="BV49" s="449"/>
      <c r="BW49" s="449"/>
      <c r="BX49" s="449"/>
      <c r="BY49" s="449"/>
      <c r="BZ49" s="449"/>
      <c r="CA49" s="449"/>
      <c r="CB49" s="449"/>
      <c r="CC49" s="449"/>
      <c r="CD49" s="449"/>
      <c r="CE49" s="449"/>
      <c r="CF49" s="449"/>
      <c r="CG49" s="449"/>
      <c r="CH49" s="449"/>
      <c r="CI49" s="449"/>
      <c r="CJ49" s="449"/>
      <c r="CK49" s="449"/>
      <c r="CL49" s="449"/>
      <c r="CM49" s="449"/>
      <c r="CN49" s="449"/>
      <c r="CO49" s="449"/>
      <c r="CP49" s="449"/>
      <c r="CQ49" s="449"/>
      <c r="CR49" s="449"/>
      <c r="CS49" s="449"/>
      <c r="CT49" s="449"/>
      <c r="CU49" s="449"/>
      <c r="CV49" s="449"/>
      <c r="CW49" s="449"/>
      <c r="CX49" s="449"/>
      <c r="CY49" s="449"/>
      <c r="CZ49" s="449"/>
      <c r="DA49" s="449"/>
      <c r="DB49" s="449"/>
      <c r="DC49" s="449"/>
      <c r="DD49" s="449"/>
      <c r="DE49" s="449"/>
      <c r="DF49" s="449"/>
      <c r="DG49" s="449"/>
      <c r="DH49" s="449"/>
      <c r="DI49" s="449"/>
      <c r="DJ49" s="449"/>
      <c r="DK49" s="449"/>
      <c r="DL49" s="449"/>
      <c r="DM49" s="449"/>
      <c r="DN49" s="449"/>
      <c r="DO49" s="449"/>
      <c r="DP49" s="449"/>
      <c r="DQ49" s="449"/>
      <c r="DR49" s="449"/>
      <c r="DS49" s="449"/>
      <c r="DT49" s="449"/>
      <c r="DU49" s="449"/>
      <c r="DV49" s="449"/>
      <c r="DW49" s="449"/>
      <c r="DX49" s="449"/>
      <c r="DY49" s="449"/>
      <c r="DZ49" s="449"/>
      <c r="EA49" s="449"/>
      <c r="EB49" s="449"/>
      <c r="EC49" s="449"/>
      <c r="ED49" s="449"/>
      <c r="EE49" s="449"/>
      <c r="EF49" s="449"/>
      <c r="EG49" s="449"/>
      <c r="EH49" s="449"/>
      <c r="EI49" s="449"/>
      <c r="EJ49" s="449"/>
      <c r="EK49" s="449"/>
      <c r="EL49" s="449"/>
      <c r="EM49" s="449"/>
      <c r="EN49" s="449"/>
      <c r="EO49" s="449"/>
      <c r="EP49" s="449"/>
      <c r="EQ49" s="449"/>
      <c r="ER49" s="449"/>
      <c r="ES49" s="449"/>
      <c r="ET49" s="449"/>
      <c r="EU49" s="449"/>
      <c r="EV49" s="449"/>
      <c r="EW49" s="449"/>
      <c r="EX49" s="449"/>
      <c r="EY49" s="449"/>
      <c r="EZ49" s="449"/>
      <c r="FA49" s="449"/>
      <c r="FB49" s="449"/>
      <c r="FC49" s="449"/>
      <c r="FD49" s="449"/>
      <c r="FE49" s="449"/>
      <c r="FF49" s="449"/>
      <c r="FG49" s="449"/>
      <c r="FH49" s="449"/>
      <c r="FI49" s="449"/>
      <c r="FJ49" s="449"/>
      <c r="FK49" s="449"/>
      <c r="FL49" s="449"/>
      <c r="FM49" s="449"/>
      <c r="FN49" s="449"/>
      <c r="FO49" s="449"/>
      <c r="FP49" s="449"/>
      <c r="FQ49" s="449"/>
      <c r="FR49" s="449"/>
      <c r="FS49" s="449"/>
      <c r="FT49" s="449"/>
      <c r="FU49" s="449"/>
      <c r="FV49" s="449"/>
      <c r="FW49" s="449"/>
      <c r="FX49" s="449"/>
      <c r="FY49" s="449"/>
      <c r="FZ49" s="449"/>
      <c r="GA49" s="449"/>
      <c r="GB49" s="449"/>
      <c r="GC49" s="449"/>
      <c r="GD49" s="449"/>
      <c r="GE49" s="449"/>
      <c r="GF49" s="449"/>
      <c r="GG49" s="449"/>
      <c r="GH49" s="449"/>
      <c r="GI49" s="449"/>
      <c r="GJ49" s="449"/>
      <c r="GK49" s="449"/>
      <c r="GL49" s="449"/>
      <c r="GM49" s="449"/>
      <c r="GN49" s="449"/>
      <c r="GO49" s="449"/>
      <c r="GP49" s="449"/>
      <c r="GQ49" s="449"/>
      <c r="GR49" s="449"/>
      <c r="GS49" s="449"/>
      <c r="GT49" s="449"/>
      <c r="GU49" s="449"/>
      <c r="GV49" s="449"/>
      <c r="GW49" s="449"/>
      <c r="GX49" s="449"/>
      <c r="GY49" s="449"/>
      <c r="GZ49" s="449"/>
      <c r="HA49" s="449"/>
      <c r="HB49" s="449"/>
      <c r="HC49" s="449"/>
      <c r="HD49" s="449"/>
      <c r="HE49" s="449"/>
      <c r="HF49" s="449"/>
      <c r="HG49" s="449"/>
      <c r="HH49" s="449"/>
      <c r="HI49" s="449"/>
      <c r="HJ49" s="449"/>
      <c r="HK49" s="449"/>
      <c r="HL49" s="449"/>
      <c r="HM49" s="449"/>
      <c r="HN49" s="449"/>
      <c r="HO49" s="449"/>
      <c r="HP49" s="449"/>
      <c r="HQ49" s="449"/>
      <c r="HR49" s="449"/>
      <c r="HS49" s="449"/>
      <c r="HT49" s="449"/>
      <c r="HU49" s="449"/>
      <c r="HV49" s="449"/>
      <c r="HW49" s="449"/>
      <c r="HX49" s="449"/>
      <c r="HY49" s="449"/>
      <c r="HZ49" s="449"/>
      <c r="IA49" s="449"/>
      <c r="IB49" s="449"/>
      <c r="IC49" s="449"/>
      <c r="ID49" s="449"/>
      <c r="IE49" s="449"/>
      <c r="IF49" s="449"/>
      <c r="IG49" s="449"/>
      <c r="IH49" s="449"/>
      <c r="II49" s="449"/>
      <c r="IJ49" s="449"/>
      <c r="IK49" s="449"/>
      <c r="IL49" s="449"/>
      <c r="IM49" s="449"/>
      <c r="IN49" s="449"/>
      <c r="IO49" s="449"/>
      <c r="IP49" s="449"/>
      <c r="IQ49" s="449"/>
      <c r="IR49" s="449"/>
      <c r="IS49" s="449"/>
      <c r="IT49" s="449"/>
      <c r="IU49" s="449"/>
      <c r="IV49" s="449"/>
      <c r="IW49" s="449"/>
    </row>
    <row r="50" customFormat="false" ht="16.5" hidden="false" customHeight="true" outlineLevel="0" collapsed="false">
      <c r="A50" s="461" t="n">
        <f aca="false">A88+1</f>
        <v>87</v>
      </c>
      <c r="C50" s="475" t="s">
        <v>882</v>
      </c>
      <c r="D50" s="449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449"/>
      <c r="BQ50" s="449"/>
      <c r="BR50" s="449"/>
      <c r="BS50" s="449"/>
      <c r="BT50" s="449"/>
      <c r="BU50" s="449"/>
      <c r="BV50" s="449"/>
      <c r="BW50" s="449"/>
      <c r="BX50" s="449"/>
      <c r="BY50" s="449"/>
      <c r="BZ50" s="449"/>
      <c r="CA50" s="449"/>
      <c r="CB50" s="449"/>
      <c r="CC50" s="449"/>
      <c r="CD50" s="449"/>
      <c r="CE50" s="449"/>
      <c r="CF50" s="449"/>
      <c r="CG50" s="449"/>
      <c r="CH50" s="449"/>
      <c r="CI50" s="449"/>
      <c r="CJ50" s="449"/>
      <c r="CK50" s="449"/>
      <c r="CL50" s="449"/>
      <c r="CM50" s="449"/>
      <c r="CN50" s="449"/>
      <c r="CO50" s="449"/>
      <c r="CP50" s="449"/>
      <c r="CQ50" s="449"/>
      <c r="CR50" s="449"/>
      <c r="CS50" s="449"/>
      <c r="CT50" s="449"/>
      <c r="CU50" s="449"/>
      <c r="CV50" s="449"/>
      <c r="CW50" s="449"/>
      <c r="CX50" s="449"/>
      <c r="CY50" s="449"/>
      <c r="CZ50" s="449"/>
      <c r="DA50" s="449"/>
      <c r="DB50" s="449"/>
      <c r="DC50" s="449"/>
      <c r="DD50" s="449"/>
      <c r="DE50" s="449"/>
      <c r="DF50" s="449"/>
      <c r="DG50" s="449"/>
      <c r="DH50" s="449"/>
      <c r="DI50" s="449"/>
      <c r="DJ50" s="449"/>
      <c r="DK50" s="449"/>
      <c r="DL50" s="449"/>
      <c r="DM50" s="449"/>
      <c r="DN50" s="449"/>
      <c r="DO50" s="449"/>
      <c r="DP50" s="449"/>
      <c r="DQ50" s="449"/>
      <c r="DR50" s="449"/>
      <c r="DS50" s="449"/>
      <c r="DT50" s="449"/>
      <c r="DU50" s="449"/>
      <c r="DV50" s="449"/>
      <c r="DW50" s="449"/>
      <c r="DX50" s="449"/>
      <c r="DY50" s="449"/>
      <c r="DZ50" s="449"/>
      <c r="EA50" s="449"/>
      <c r="EB50" s="449"/>
      <c r="EC50" s="449"/>
      <c r="ED50" s="449"/>
      <c r="EE50" s="449"/>
      <c r="EF50" s="449"/>
      <c r="EG50" s="449"/>
      <c r="EH50" s="449"/>
      <c r="EI50" s="449"/>
      <c r="EJ50" s="449"/>
      <c r="EK50" s="449"/>
      <c r="EL50" s="449"/>
      <c r="EM50" s="449"/>
      <c r="EN50" s="449"/>
      <c r="EO50" s="449"/>
      <c r="EP50" s="449"/>
      <c r="EQ50" s="449"/>
      <c r="ER50" s="449"/>
      <c r="ES50" s="449"/>
      <c r="ET50" s="449"/>
      <c r="EU50" s="449"/>
      <c r="EV50" s="449"/>
      <c r="EW50" s="449"/>
      <c r="EX50" s="449"/>
      <c r="EY50" s="449"/>
      <c r="EZ50" s="449"/>
      <c r="FA50" s="449"/>
      <c r="FB50" s="449"/>
      <c r="FC50" s="449"/>
      <c r="FD50" s="449"/>
      <c r="FE50" s="449"/>
      <c r="FF50" s="449"/>
      <c r="FG50" s="449"/>
      <c r="FH50" s="449"/>
      <c r="FI50" s="449"/>
      <c r="FJ50" s="449"/>
      <c r="FK50" s="449"/>
      <c r="FL50" s="449"/>
      <c r="FM50" s="449"/>
      <c r="FN50" s="449"/>
      <c r="FO50" s="449"/>
      <c r="FP50" s="449"/>
      <c r="FQ50" s="449"/>
      <c r="FR50" s="449"/>
      <c r="FS50" s="449"/>
      <c r="FT50" s="449"/>
      <c r="FU50" s="449"/>
      <c r="FV50" s="449"/>
      <c r="FW50" s="449"/>
      <c r="FX50" s="449"/>
      <c r="FY50" s="449"/>
      <c r="FZ50" s="449"/>
      <c r="GA50" s="449"/>
      <c r="GB50" s="449"/>
      <c r="GC50" s="449"/>
      <c r="GD50" s="449"/>
      <c r="GE50" s="449"/>
      <c r="GF50" s="449"/>
      <c r="GG50" s="449"/>
      <c r="GH50" s="449"/>
      <c r="GI50" s="449"/>
      <c r="GJ50" s="449"/>
      <c r="GK50" s="449"/>
      <c r="GL50" s="449"/>
      <c r="GM50" s="449"/>
      <c r="GN50" s="449"/>
      <c r="GO50" s="449"/>
      <c r="GP50" s="449"/>
      <c r="GQ50" s="449"/>
      <c r="GR50" s="449"/>
      <c r="GS50" s="449"/>
      <c r="GT50" s="449"/>
      <c r="GU50" s="449"/>
      <c r="GV50" s="449"/>
      <c r="GW50" s="449"/>
      <c r="GX50" s="449"/>
      <c r="GY50" s="449"/>
      <c r="GZ50" s="449"/>
      <c r="HA50" s="449"/>
      <c r="HB50" s="449"/>
      <c r="HC50" s="449"/>
      <c r="HD50" s="449"/>
      <c r="HE50" s="449"/>
      <c r="HF50" s="449"/>
      <c r="HG50" s="449"/>
      <c r="HH50" s="449"/>
      <c r="HI50" s="449"/>
      <c r="HJ50" s="449"/>
      <c r="HK50" s="449"/>
      <c r="HL50" s="449"/>
      <c r="HM50" s="449"/>
      <c r="HN50" s="449"/>
      <c r="HO50" s="449"/>
      <c r="HP50" s="449"/>
      <c r="HQ50" s="449"/>
      <c r="HR50" s="449"/>
      <c r="HS50" s="449"/>
      <c r="HT50" s="449"/>
      <c r="HU50" s="449"/>
      <c r="HV50" s="449"/>
      <c r="HW50" s="449"/>
      <c r="HX50" s="449"/>
      <c r="HY50" s="449"/>
      <c r="HZ50" s="449"/>
      <c r="IA50" s="449"/>
      <c r="IB50" s="449"/>
      <c r="IC50" s="449"/>
      <c r="ID50" s="449"/>
      <c r="IE50" s="449"/>
      <c r="IF50" s="449"/>
      <c r="IG50" s="449"/>
      <c r="IH50" s="449"/>
      <c r="II50" s="449"/>
      <c r="IJ50" s="449"/>
      <c r="IK50" s="449"/>
      <c r="IL50" s="449"/>
      <c r="IM50" s="449"/>
      <c r="IN50" s="449"/>
      <c r="IO50" s="449"/>
      <c r="IP50" s="449"/>
      <c r="IQ50" s="449"/>
      <c r="IR50" s="449"/>
      <c r="IS50" s="449"/>
      <c r="IT50" s="449"/>
      <c r="IU50" s="449"/>
      <c r="IV50" s="449"/>
      <c r="IW50" s="449"/>
    </row>
    <row r="51" customFormat="false" ht="12.75" hidden="false" customHeight="false" outlineLevel="0" collapsed="false">
      <c r="A51" s="461"/>
      <c r="C51" s="476" t="s">
        <v>883</v>
      </c>
      <c r="D51" s="449"/>
      <c r="E51" s="477" t="n">
        <v>0.1434</v>
      </c>
      <c r="F51" s="477" t="n">
        <v>0.1434</v>
      </c>
      <c r="G51" s="477" t="n">
        <v>0.1434</v>
      </c>
      <c r="H51" s="477" t="n">
        <v>0.1434</v>
      </c>
      <c r="I51" s="477" t="n">
        <v>0.1434</v>
      </c>
      <c r="J51" s="477" t="n">
        <v>0.1434</v>
      </c>
      <c r="K51" s="478"/>
      <c r="L51" s="479"/>
      <c r="M51" s="479"/>
      <c r="N51" s="479"/>
      <c r="O51" s="479"/>
      <c r="P51" s="479"/>
      <c r="Q51" s="479"/>
      <c r="R51" s="479"/>
      <c r="S51" s="479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49"/>
      <c r="BC51" s="449"/>
      <c r="BD51" s="449"/>
      <c r="BE51" s="449"/>
      <c r="BF51" s="449"/>
      <c r="BG51" s="449"/>
      <c r="BH51" s="449"/>
      <c r="BI51" s="449"/>
      <c r="BJ51" s="449"/>
      <c r="BK51" s="449"/>
      <c r="BL51" s="449"/>
      <c r="BM51" s="449"/>
      <c r="BN51" s="449"/>
      <c r="BO51" s="449"/>
      <c r="BP51" s="449"/>
      <c r="BQ51" s="449"/>
      <c r="BR51" s="449"/>
      <c r="BS51" s="449"/>
      <c r="BT51" s="449"/>
      <c r="BU51" s="449"/>
      <c r="BV51" s="449"/>
      <c r="BW51" s="449"/>
      <c r="BX51" s="449"/>
      <c r="BY51" s="449"/>
      <c r="BZ51" s="449"/>
      <c r="CA51" s="449"/>
      <c r="CB51" s="449"/>
      <c r="CC51" s="449"/>
      <c r="CD51" s="449"/>
      <c r="CE51" s="449"/>
      <c r="CF51" s="449"/>
      <c r="CG51" s="449"/>
      <c r="CH51" s="449"/>
      <c r="CI51" s="449"/>
      <c r="CJ51" s="449"/>
      <c r="CK51" s="449"/>
      <c r="CL51" s="449"/>
      <c r="CM51" s="449"/>
      <c r="CN51" s="449"/>
      <c r="CO51" s="449"/>
      <c r="CP51" s="449"/>
      <c r="CQ51" s="449"/>
      <c r="CR51" s="449"/>
      <c r="CS51" s="449"/>
      <c r="CT51" s="449"/>
      <c r="CU51" s="449"/>
      <c r="CV51" s="449"/>
      <c r="CW51" s="449"/>
      <c r="CX51" s="449"/>
      <c r="CY51" s="449"/>
      <c r="CZ51" s="449"/>
      <c r="DA51" s="449"/>
      <c r="DB51" s="449"/>
      <c r="DC51" s="449"/>
      <c r="DD51" s="449"/>
      <c r="DE51" s="449"/>
      <c r="DF51" s="449"/>
      <c r="DG51" s="449"/>
      <c r="DH51" s="449"/>
      <c r="DI51" s="449"/>
      <c r="DJ51" s="449"/>
      <c r="DK51" s="449"/>
      <c r="DL51" s="449"/>
      <c r="DM51" s="449"/>
      <c r="DN51" s="449"/>
      <c r="DO51" s="449"/>
      <c r="DP51" s="449"/>
      <c r="DQ51" s="449"/>
      <c r="DR51" s="449"/>
      <c r="DS51" s="449"/>
      <c r="DT51" s="449"/>
      <c r="DU51" s="449"/>
      <c r="DV51" s="449"/>
      <c r="DW51" s="449"/>
      <c r="DX51" s="449"/>
      <c r="DY51" s="449"/>
      <c r="DZ51" s="449"/>
      <c r="EA51" s="449"/>
      <c r="EB51" s="449"/>
      <c r="EC51" s="449"/>
      <c r="ED51" s="449"/>
      <c r="EE51" s="449"/>
      <c r="EF51" s="449"/>
      <c r="EG51" s="449"/>
      <c r="EH51" s="449"/>
      <c r="EI51" s="449"/>
      <c r="EJ51" s="449"/>
      <c r="EK51" s="449"/>
      <c r="EL51" s="449"/>
      <c r="EM51" s="449"/>
      <c r="EN51" s="449"/>
      <c r="EO51" s="449"/>
      <c r="EP51" s="449"/>
      <c r="EQ51" s="449"/>
      <c r="ER51" s="449"/>
      <c r="ES51" s="449"/>
      <c r="ET51" s="449"/>
      <c r="EU51" s="449"/>
      <c r="EV51" s="449"/>
      <c r="EW51" s="449"/>
      <c r="EX51" s="449"/>
      <c r="EY51" s="449"/>
      <c r="EZ51" s="449"/>
      <c r="FA51" s="449"/>
      <c r="FB51" s="449"/>
      <c r="FC51" s="449"/>
      <c r="FD51" s="449"/>
      <c r="FE51" s="449"/>
      <c r="FF51" s="449"/>
      <c r="FG51" s="449"/>
      <c r="FH51" s="449"/>
      <c r="FI51" s="449"/>
      <c r="FJ51" s="449"/>
      <c r="FK51" s="449"/>
      <c r="FL51" s="449"/>
      <c r="FM51" s="449"/>
      <c r="FN51" s="449"/>
      <c r="FO51" s="449"/>
      <c r="FP51" s="449"/>
      <c r="FQ51" s="449"/>
      <c r="FR51" s="449"/>
      <c r="FS51" s="449"/>
      <c r="FT51" s="449"/>
      <c r="FU51" s="449"/>
      <c r="FV51" s="449"/>
      <c r="FW51" s="449"/>
      <c r="FX51" s="449"/>
      <c r="FY51" s="449"/>
      <c r="FZ51" s="449"/>
      <c r="GA51" s="449"/>
      <c r="GB51" s="449"/>
      <c r="GC51" s="449"/>
      <c r="GD51" s="449"/>
      <c r="GE51" s="449"/>
      <c r="GF51" s="449"/>
      <c r="GG51" s="449"/>
      <c r="GH51" s="449"/>
      <c r="GI51" s="449"/>
      <c r="GJ51" s="449"/>
      <c r="GK51" s="449"/>
      <c r="GL51" s="449"/>
      <c r="GM51" s="449"/>
      <c r="GN51" s="449"/>
      <c r="GO51" s="449"/>
      <c r="GP51" s="449"/>
      <c r="GQ51" s="449"/>
      <c r="GR51" s="449"/>
      <c r="GS51" s="449"/>
      <c r="GT51" s="449"/>
      <c r="GU51" s="449"/>
      <c r="GV51" s="449"/>
      <c r="GW51" s="449"/>
      <c r="GX51" s="449"/>
      <c r="GY51" s="449"/>
      <c r="GZ51" s="449"/>
      <c r="HA51" s="449"/>
      <c r="HB51" s="449"/>
      <c r="HC51" s="449"/>
      <c r="HD51" s="449"/>
      <c r="HE51" s="449"/>
      <c r="HF51" s="449"/>
      <c r="HG51" s="449"/>
      <c r="HH51" s="449"/>
      <c r="HI51" s="449"/>
      <c r="HJ51" s="449"/>
      <c r="HK51" s="449"/>
      <c r="HL51" s="449"/>
      <c r="HM51" s="449"/>
      <c r="HN51" s="449"/>
      <c r="HO51" s="449"/>
      <c r="HP51" s="449"/>
      <c r="HQ51" s="449"/>
      <c r="HR51" s="449"/>
      <c r="HS51" s="449"/>
      <c r="HT51" s="449"/>
      <c r="HU51" s="449"/>
      <c r="HV51" s="449"/>
      <c r="HW51" s="449"/>
      <c r="HX51" s="449"/>
      <c r="HY51" s="449"/>
      <c r="HZ51" s="449"/>
      <c r="IA51" s="449"/>
      <c r="IB51" s="449"/>
      <c r="IC51" s="449"/>
      <c r="ID51" s="449"/>
      <c r="IE51" s="449"/>
      <c r="IF51" s="449"/>
      <c r="IG51" s="449"/>
      <c r="IH51" s="449"/>
      <c r="II51" s="449"/>
      <c r="IJ51" s="449"/>
      <c r="IK51" s="449"/>
      <c r="IL51" s="449"/>
      <c r="IM51" s="449"/>
      <c r="IN51" s="449"/>
      <c r="IO51" s="449"/>
      <c r="IP51" s="449"/>
      <c r="IQ51" s="449"/>
      <c r="IR51" s="449"/>
      <c r="IS51" s="449"/>
      <c r="IT51" s="449"/>
      <c r="IU51" s="449"/>
      <c r="IV51" s="449"/>
      <c r="IW51" s="449"/>
    </row>
    <row r="52" customFormat="false" ht="12.75" hidden="false" customHeight="false" outlineLevel="0" collapsed="false">
      <c r="A52" s="461"/>
      <c r="C52" s="476" t="s">
        <v>884</v>
      </c>
      <c r="D52" s="449"/>
      <c r="E52" s="477" t="n">
        <v>0.0778</v>
      </c>
      <c r="F52" s="477" t="n">
        <v>0.0778</v>
      </c>
      <c r="G52" s="477" t="n">
        <v>0.0778</v>
      </c>
      <c r="H52" s="477" t="n">
        <v>0.0778</v>
      </c>
      <c r="I52" s="477" t="n">
        <v>0.0778</v>
      </c>
      <c r="J52" s="477" t="n">
        <v>0.0778</v>
      </c>
      <c r="K52" s="478"/>
      <c r="L52" s="479"/>
      <c r="M52" s="479"/>
      <c r="N52" s="479"/>
      <c r="O52" s="479"/>
      <c r="P52" s="479"/>
      <c r="Q52" s="479"/>
      <c r="R52" s="479"/>
      <c r="S52" s="479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49"/>
      <c r="BC52" s="449"/>
      <c r="BD52" s="449"/>
      <c r="BE52" s="449"/>
      <c r="BF52" s="449"/>
      <c r="BG52" s="449"/>
      <c r="BH52" s="449"/>
      <c r="BI52" s="449"/>
      <c r="BJ52" s="449"/>
      <c r="BK52" s="449"/>
      <c r="BL52" s="449"/>
      <c r="BM52" s="449"/>
      <c r="BN52" s="449"/>
      <c r="BO52" s="449"/>
      <c r="BP52" s="449"/>
      <c r="BQ52" s="449"/>
      <c r="BR52" s="449"/>
      <c r="BS52" s="449"/>
      <c r="BT52" s="449"/>
      <c r="BU52" s="449"/>
      <c r="BV52" s="449"/>
      <c r="BW52" s="449"/>
      <c r="BX52" s="449"/>
      <c r="BY52" s="449"/>
      <c r="BZ52" s="449"/>
      <c r="CA52" s="449"/>
      <c r="CB52" s="449"/>
      <c r="CC52" s="449"/>
      <c r="CD52" s="449"/>
      <c r="CE52" s="449"/>
      <c r="CF52" s="449"/>
      <c r="CG52" s="449"/>
      <c r="CH52" s="449"/>
      <c r="CI52" s="449"/>
      <c r="CJ52" s="449"/>
      <c r="CK52" s="449"/>
      <c r="CL52" s="449"/>
      <c r="CM52" s="449"/>
      <c r="CN52" s="449"/>
      <c r="CO52" s="449"/>
      <c r="CP52" s="449"/>
      <c r="CQ52" s="449"/>
      <c r="CR52" s="449"/>
      <c r="CS52" s="449"/>
      <c r="CT52" s="449"/>
      <c r="CU52" s="449"/>
      <c r="CV52" s="449"/>
      <c r="CW52" s="449"/>
      <c r="CX52" s="449"/>
      <c r="CY52" s="449"/>
      <c r="CZ52" s="449"/>
      <c r="DA52" s="449"/>
      <c r="DB52" s="449"/>
      <c r="DC52" s="449"/>
      <c r="DD52" s="449"/>
      <c r="DE52" s="449"/>
      <c r="DF52" s="449"/>
      <c r="DG52" s="449"/>
      <c r="DH52" s="449"/>
      <c r="DI52" s="449"/>
      <c r="DJ52" s="449"/>
      <c r="DK52" s="449"/>
      <c r="DL52" s="449"/>
      <c r="DM52" s="449"/>
      <c r="DN52" s="449"/>
      <c r="DO52" s="449"/>
      <c r="DP52" s="449"/>
      <c r="DQ52" s="449"/>
      <c r="DR52" s="449"/>
      <c r="DS52" s="449"/>
      <c r="DT52" s="449"/>
      <c r="DU52" s="449"/>
      <c r="DV52" s="449"/>
      <c r="DW52" s="449"/>
      <c r="DX52" s="449"/>
      <c r="DY52" s="449"/>
      <c r="DZ52" s="449"/>
      <c r="EA52" s="449"/>
      <c r="EB52" s="449"/>
      <c r="EC52" s="449"/>
      <c r="ED52" s="449"/>
      <c r="EE52" s="449"/>
      <c r="EF52" s="449"/>
      <c r="EG52" s="449"/>
      <c r="EH52" s="449"/>
      <c r="EI52" s="449"/>
      <c r="EJ52" s="449"/>
      <c r="EK52" s="449"/>
      <c r="EL52" s="449"/>
      <c r="EM52" s="449"/>
      <c r="EN52" s="449"/>
      <c r="EO52" s="449"/>
      <c r="EP52" s="449"/>
      <c r="EQ52" s="449"/>
      <c r="ER52" s="449"/>
      <c r="ES52" s="449"/>
      <c r="ET52" s="449"/>
      <c r="EU52" s="449"/>
      <c r="EV52" s="449"/>
      <c r="EW52" s="449"/>
      <c r="EX52" s="449"/>
      <c r="EY52" s="449"/>
      <c r="EZ52" s="449"/>
      <c r="FA52" s="449"/>
      <c r="FB52" s="449"/>
      <c r="FC52" s="449"/>
      <c r="FD52" s="449"/>
      <c r="FE52" s="449"/>
      <c r="FF52" s="449"/>
      <c r="FG52" s="449"/>
      <c r="FH52" s="449"/>
      <c r="FI52" s="449"/>
      <c r="FJ52" s="449"/>
      <c r="FK52" s="449"/>
      <c r="FL52" s="449"/>
      <c r="FM52" s="449"/>
      <c r="FN52" s="449"/>
      <c r="FO52" s="449"/>
      <c r="FP52" s="449"/>
      <c r="FQ52" s="449"/>
      <c r="FR52" s="449"/>
      <c r="FS52" s="449"/>
      <c r="FT52" s="449"/>
      <c r="FU52" s="449"/>
      <c r="FV52" s="449"/>
      <c r="FW52" s="449"/>
      <c r="FX52" s="449"/>
      <c r="FY52" s="449"/>
      <c r="FZ52" s="449"/>
      <c r="GA52" s="449"/>
      <c r="GB52" s="449"/>
      <c r="GC52" s="449"/>
      <c r="GD52" s="449"/>
      <c r="GE52" s="449"/>
      <c r="GF52" s="449"/>
      <c r="GG52" s="449"/>
      <c r="GH52" s="449"/>
      <c r="GI52" s="449"/>
      <c r="GJ52" s="449"/>
      <c r="GK52" s="449"/>
      <c r="GL52" s="449"/>
      <c r="GM52" s="449"/>
      <c r="GN52" s="449"/>
      <c r="GO52" s="449"/>
      <c r="GP52" s="449"/>
      <c r="GQ52" s="449"/>
      <c r="GR52" s="449"/>
      <c r="GS52" s="449"/>
      <c r="GT52" s="449"/>
      <c r="GU52" s="449"/>
      <c r="GV52" s="449"/>
      <c r="GW52" s="449"/>
      <c r="GX52" s="449"/>
      <c r="GY52" s="449"/>
      <c r="GZ52" s="449"/>
      <c r="HA52" s="449"/>
      <c r="HB52" s="449"/>
      <c r="HC52" s="449"/>
      <c r="HD52" s="449"/>
      <c r="HE52" s="449"/>
      <c r="HF52" s="449"/>
      <c r="HG52" s="449"/>
      <c r="HH52" s="449"/>
      <c r="HI52" s="449"/>
      <c r="HJ52" s="449"/>
      <c r="HK52" s="449"/>
      <c r="HL52" s="449"/>
      <c r="HM52" s="449"/>
      <c r="HN52" s="449"/>
      <c r="HO52" s="449"/>
      <c r="HP52" s="449"/>
      <c r="HQ52" s="449"/>
      <c r="HR52" s="449"/>
      <c r="HS52" s="449"/>
      <c r="HT52" s="449"/>
      <c r="HU52" s="449"/>
      <c r="HV52" s="449"/>
      <c r="HW52" s="449"/>
      <c r="HX52" s="449"/>
      <c r="HY52" s="449"/>
      <c r="HZ52" s="449"/>
      <c r="IA52" s="449"/>
      <c r="IB52" s="449"/>
      <c r="IC52" s="449"/>
      <c r="ID52" s="449"/>
      <c r="IE52" s="449"/>
      <c r="IF52" s="449"/>
      <c r="IG52" s="449"/>
      <c r="IH52" s="449"/>
      <c r="II52" s="449"/>
      <c r="IJ52" s="449"/>
      <c r="IK52" s="449"/>
      <c r="IL52" s="449"/>
      <c r="IM52" s="449"/>
      <c r="IN52" s="449"/>
      <c r="IO52" s="449"/>
      <c r="IP52" s="449"/>
      <c r="IQ52" s="449"/>
      <c r="IR52" s="449"/>
      <c r="IS52" s="449"/>
      <c r="IT52" s="449"/>
      <c r="IU52" s="449"/>
      <c r="IV52" s="449"/>
      <c r="IW52" s="449"/>
    </row>
    <row r="53" customFormat="false" ht="12.75" hidden="false" customHeight="false" outlineLevel="0" collapsed="false">
      <c r="A53" s="461"/>
      <c r="C53" s="476" t="s">
        <v>885</v>
      </c>
      <c r="D53" s="449"/>
      <c r="E53" s="477" t="n">
        <v>0.25</v>
      </c>
      <c r="F53" s="477" t="n">
        <v>0.25</v>
      </c>
      <c r="G53" s="477" t="n">
        <v>0.25</v>
      </c>
      <c r="H53" s="477" t="n">
        <v>0.25</v>
      </c>
      <c r="I53" s="477" t="n">
        <v>0.25</v>
      </c>
      <c r="J53" s="477" t="n">
        <v>0.25</v>
      </c>
      <c r="K53" s="478"/>
      <c r="L53" s="479"/>
      <c r="M53" s="479"/>
      <c r="N53" s="479"/>
      <c r="O53" s="479"/>
      <c r="P53" s="479"/>
      <c r="Q53" s="479"/>
      <c r="R53" s="479"/>
      <c r="S53" s="479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49"/>
      <c r="BC53" s="449"/>
      <c r="BD53" s="449"/>
      <c r="BE53" s="449"/>
      <c r="BF53" s="449"/>
      <c r="BG53" s="449"/>
      <c r="BH53" s="449"/>
      <c r="BI53" s="449"/>
      <c r="BJ53" s="449"/>
      <c r="BK53" s="449"/>
      <c r="BL53" s="449"/>
      <c r="BM53" s="449"/>
      <c r="BN53" s="449"/>
      <c r="BO53" s="449"/>
      <c r="BP53" s="449"/>
      <c r="BQ53" s="449"/>
      <c r="BR53" s="449"/>
      <c r="BS53" s="449"/>
      <c r="BT53" s="449"/>
      <c r="BU53" s="449"/>
      <c r="BV53" s="449"/>
      <c r="BW53" s="449"/>
      <c r="BX53" s="449"/>
      <c r="BY53" s="449"/>
      <c r="BZ53" s="449"/>
      <c r="CA53" s="449"/>
      <c r="CB53" s="449"/>
      <c r="CC53" s="449"/>
      <c r="CD53" s="449"/>
      <c r="CE53" s="449"/>
      <c r="CF53" s="449"/>
      <c r="CG53" s="449"/>
      <c r="CH53" s="449"/>
      <c r="CI53" s="449"/>
      <c r="CJ53" s="449"/>
      <c r="CK53" s="449"/>
      <c r="CL53" s="449"/>
      <c r="CM53" s="449"/>
      <c r="CN53" s="449"/>
      <c r="CO53" s="449"/>
      <c r="CP53" s="449"/>
      <c r="CQ53" s="449"/>
      <c r="CR53" s="449"/>
      <c r="CS53" s="449"/>
      <c r="CT53" s="449"/>
      <c r="CU53" s="449"/>
      <c r="CV53" s="449"/>
      <c r="CW53" s="449"/>
      <c r="CX53" s="449"/>
      <c r="CY53" s="449"/>
      <c r="CZ53" s="449"/>
      <c r="DA53" s="449"/>
      <c r="DB53" s="449"/>
      <c r="DC53" s="449"/>
      <c r="DD53" s="449"/>
      <c r="DE53" s="449"/>
      <c r="DF53" s="449"/>
      <c r="DG53" s="449"/>
      <c r="DH53" s="449"/>
      <c r="DI53" s="449"/>
      <c r="DJ53" s="449"/>
      <c r="DK53" s="449"/>
      <c r="DL53" s="449"/>
      <c r="DM53" s="449"/>
      <c r="DN53" s="449"/>
      <c r="DO53" s="449"/>
      <c r="DP53" s="449"/>
      <c r="DQ53" s="449"/>
      <c r="DR53" s="449"/>
      <c r="DS53" s="449"/>
      <c r="DT53" s="449"/>
      <c r="DU53" s="449"/>
      <c r="DV53" s="449"/>
      <c r="DW53" s="449"/>
      <c r="DX53" s="449"/>
      <c r="DY53" s="449"/>
      <c r="DZ53" s="449"/>
      <c r="EA53" s="449"/>
      <c r="EB53" s="449"/>
      <c r="EC53" s="449"/>
      <c r="ED53" s="449"/>
      <c r="EE53" s="449"/>
      <c r="EF53" s="449"/>
      <c r="EG53" s="449"/>
      <c r="EH53" s="449"/>
      <c r="EI53" s="449"/>
      <c r="EJ53" s="449"/>
      <c r="EK53" s="449"/>
      <c r="EL53" s="449"/>
      <c r="EM53" s="449"/>
      <c r="EN53" s="449"/>
      <c r="EO53" s="449"/>
      <c r="EP53" s="449"/>
      <c r="EQ53" s="449"/>
      <c r="ER53" s="449"/>
      <c r="ES53" s="449"/>
      <c r="ET53" s="449"/>
      <c r="EU53" s="449"/>
      <c r="EV53" s="449"/>
      <c r="EW53" s="449"/>
      <c r="EX53" s="449"/>
      <c r="EY53" s="449"/>
      <c r="EZ53" s="449"/>
      <c r="FA53" s="449"/>
      <c r="FB53" s="449"/>
      <c r="FC53" s="449"/>
      <c r="FD53" s="449"/>
      <c r="FE53" s="449"/>
      <c r="FF53" s="449"/>
      <c r="FG53" s="449"/>
      <c r="FH53" s="449"/>
      <c r="FI53" s="449"/>
      <c r="FJ53" s="449"/>
      <c r="FK53" s="449"/>
      <c r="FL53" s="449"/>
      <c r="FM53" s="449"/>
      <c r="FN53" s="449"/>
      <c r="FO53" s="449"/>
      <c r="FP53" s="449"/>
      <c r="FQ53" s="449"/>
      <c r="FR53" s="449"/>
      <c r="FS53" s="449"/>
      <c r="FT53" s="449"/>
      <c r="FU53" s="449"/>
      <c r="FV53" s="449"/>
      <c r="FW53" s="449"/>
      <c r="FX53" s="449"/>
      <c r="FY53" s="449"/>
      <c r="FZ53" s="449"/>
      <c r="GA53" s="449"/>
      <c r="GB53" s="449"/>
      <c r="GC53" s="449"/>
      <c r="GD53" s="449"/>
      <c r="GE53" s="449"/>
      <c r="GF53" s="449"/>
      <c r="GG53" s="449"/>
      <c r="GH53" s="449"/>
      <c r="GI53" s="449"/>
      <c r="GJ53" s="449"/>
      <c r="GK53" s="449"/>
      <c r="GL53" s="449"/>
      <c r="GM53" s="449"/>
      <c r="GN53" s="449"/>
      <c r="GO53" s="449"/>
      <c r="GP53" s="449"/>
      <c r="GQ53" s="449"/>
      <c r="GR53" s="449"/>
      <c r="GS53" s="449"/>
      <c r="GT53" s="449"/>
      <c r="GU53" s="449"/>
      <c r="GV53" s="449"/>
      <c r="GW53" s="449"/>
      <c r="GX53" s="449"/>
      <c r="GY53" s="449"/>
      <c r="GZ53" s="449"/>
      <c r="HA53" s="449"/>
      <c r="HB53" s="449"/>
      <c r="HC53" s="449"/>
      <c r="HD53" s="449"/>
      <c r="HE53" s="449"/>
      <c r="HF53" s="449"/>
      <c r="HG53" s="449"/>
      <c r="HH53" s="449"/>
      <c r="HI53" s="449"/>
      <c r="HJ53" s="449"/>
      <c r="HK53" s="449"/>
      <c r="HL53" s="449"/>
      <c r="HM53" s="449"/>
      <c r="HN53" s="449"/>
      <c r="HO53" s="449"/>
      <c r="HP53" s="449"/>
      <c r="HQ53" s="449"/>
      <c r="HR53" s="449"/>
      <c r="HS53" s="449"/>
      <c r="HT53" s="449"/>
      <c r="HU53" s="449"/>
      <c r="HV53" s="449"/>
      <c r="HW53" s="449"/>
      <c r="HX53" s="449"/>
      <c r="HY53" s="449"/>
      <c r="HZ53" s="449"/>
      <c r="IA53" s="449"/>
      <c r="IB53" s="449"/>
      <c r="IC53" s="449"/>
      <c r="ID53" s="449"/>
      <c r="IE53" s="449"/>
      <c r="IF53" s="449"/>
      <c r="IG53" s="449"/>
      <c r="IH53" s="449"/>
      <c r="II53" s="449"/>
      <c r="IJ53" s="449"/>
      <c r="IK53" s="449"/>
      <c r="IL53" s="449"/>
      <c r="IM53" s="449"/>
      <c r="IN53" s="449"/>
      <c r="IO53" s="449"/>
      <c r="IP53" s="449"/>
      <c r="IQ53" s="449"/>
      <c r="IR53" s="449"/>
      <c r="IS53" s="449"/>
      <c r="IT53" s="449"/>
      <c r="IU53" s="449"/>
      <c r="IV53" s="449"/>
      <c r="IW53" s="449"/>
    </row>
    <row r="54" customFormat="false" ht="12.75" hidden="false" customHeight="false" outlineLevel="0" collapsed="false">
      <c r="A54" s="461"/>
      <c r="C54" s="476" t="s">
        <v>886</v>
      </c>
      <c r="D54" s="449"/>
      <c r="E54" s="477" t="n">
        <f aca="false">440*12/E49</f>
        <v>0.0912592592592593</v>
      </c>
      <c r="F54" s="477" t="n">
        <f aca="false">440*12/F49</f>
        <v>0.0912592592592593</v>
      </c>
      <c r="G54" s="477" t="n">
        <f aca="false">440*12/G49</f>
        <v>0.0912592592592593</v>
      </c>
      <c r="H54" s="477" t="n">
        <f aca="false">440*12/H49</f>
        <v>0.0912592592592593</v>
      </c>
      <c r="I54" s="477" t="n">
        <f aca="false">440*12/I49</f>
        <v>0.0912592592592593</v>
      </c>
      <c r="J54" s="477" t="n">
        <f aca="false">440*12/J49</f>
        <v>0.0912592592592593</v>
      </c>
      <c r="K54" s="478"/>
      <c r="L54" s="479"/>
      <c r="M54" s="479"/>
      <c r="N54" s="479"/>
      <c r="O54" s="479"/>
      <c r="P54" s="479"/>
      <c r="Q54" s="479"/>
      <c r="R54" s="479"/>
      <c r="S54" s="479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49"/>
      <c r="BC54" s="449"/>
      <c r="BD54" s="449"/>
      <c r="BE54" s="449"/>
      <c r="BF54" s="449"/>
      <c r="BG54" s="449"/>
      <c r="BH54" s="449"/>
      <c r="BI54" s="449"/>
      <c r="BJ54" s="449"/>
      <c r="BK54" s="449"/>
      <c r="BL54" s="449"/>
      <c r="BM54" s="449"/>
      <c r="BN54" s="449"/>
      <c r="BO54" s="449"/>
      <c r="BP54" s="449"/>
      <c r="BQ54" s="449"/>
      <c r="BR54" s="449"/>
      <c r="BS54" s="449"/>
      <c r="BT54" s="449"/>
      <c r="BU54" s="449"/>
      <c r="BV54" s="449"/>
      <c r="BW54" s="449"/>
      <c r="BX54" s="449"/>
      <c r="BY54" s="449"/>
      <c r="BZ54" s="449"/>
      <c r="CA54" s="449"/>
      <c r="CB54" s="449"/>
      <c r="CC54" s="449"/>
      <c r="CD54" s="449"/>
      <c r="CE54" s="449"/>
      <c r="CF54" s="449"/>
      <c r="CG54" s="449"/>
      <c r="CH54" s="449"/>
      <c r="CI54" s="449"/>
      <c r="CJ54" s="449"/>
      <c r="CK54" s="449"/>
      <c r="CL54" s="449"/>
      <c r="CM54" s="449"/>
      <c r="CN54" s="449"/>
      <c r="CO54" s="449"/>
      <c r="CP54" s="449"/>
      <c r="CQ54" s="449"/>
      <c r="CR54" s="449"/>
      <c r="CS54" s="449"/>
      <c r="CT54" s="449"/>
      <c r="CU54" s="449"/>
      <c r="CV54" s="449"/>
      <c r="CW54" s="449"/>
      <c r="CX54" s="449"/>
      <c r="CY54" s="449"/>
      <c r="CZ54" s="449"/>
      <c r="DA54" s="449"/>
      <c r="DB54" s="449"/>
      <c r="DC54" s="449"/>
      <c r="DD54" s="449"/>
      <c r="DE54" s="449"/>
      <c r="DF54" s="449"/>
      <c r="DG54" s="449"/>
      <c r="DH54" s="449"/>
      <c r="DI54" s="449"/>
      <c r="DJ54" s="449"/>
      <c r="DK54" s="449"/>
      <c r="DL54" s="449"/>
      <c r="DM54" s="449"/>
      <c r="DN54" s="449"/>
      <c r="DO54" s="449"/>
      <c r="DP54" s="449"/>
      <c r="DQ54" s="449"/>
      <c r="DR54" s="449"/>
      <c r="DS54" s="449"/>
      <c r="DT54" s="449"/>
      <c r="DU54" s="449"/>
      <c r="DV54" s="449"/>
      <c r="DW54" s="449"/>
      <c r="DX54" s="449"/>
      <c r="DY54" s="449"/>
      <c r="DZ54" s="449"/>
      <c r="EA54" s="449"/>
      <c r="EB54" s="449"/>
      <c r="EC54" s="449"/>
      <c r="ED54" s="449"/>
      <c r="EE54" s="449"/>
      <c r="EF54" s="449"/>
      <c r="EG54" s="449"/>
      <c r="EH54" s="449"/>
      <c r="EI54" s="449"/>
      <c r="EJ54" s="449"/>
      <c r="EK54" s="449"/>
      <c r="EL54" s="449"/>
      <c r="EM54" s="449"/>
      <c r="EN54" s="449"/>
      <c r="EO54" s="449"/>
      <c r="EP54" s="449"/>
      <c r="EQ54" s="449"/>
      <c r="ER54" s="449"/>
      <c r="ES54" s="449"/>
      <c r="ET54" s="449"/>
      <c r="EU54" s="449"/>
      <c r="EV54" s="449"/>
      <c r="EW54" s="449"/>
      <c r="EX54" s="449"/>
      <c r="EY54" s="449"/>
      <c r="EZ54" s="449"/>
      <c r="FA54" s="449"/>
      <c r="FB54" s="449"/>
      <c r="FC54" s="449"/>
      <c r="FD54" s="449"/>
      <c r="FE54" s="449"/>
      <c r="FF54" s="449"/>
      <c r="FG54" s="449"/>
      <c r="FH54" s="449"/>
      <c r="FI54" s="449"/>
      <c r="FJ54" s="449"/>
      <c r="FK54" s="449"/>
      <c r="FL54" s="449"/>
      <c r="FM54" s="449"/>
      <c r="FN54" s="449"/>
      <c r="FO54" s="449"/>
      <c r="FP54" s="449"/>
      <c r="FQ54" s="449"/>
      <c r="FR54" s="449"/>
      <c r="FS54" s="449"/>
      <c r="FT54" s="449"/>
      <c r="FU54" s="449"/>
      <c r="FV54" s="449"/>
      <c r="FW54" s="449"/>
      <c r="FX54" s="449"/>
      <c r="FY54" s="449"/>
      <c r="FZ54" s="449"/>
      <c r="GA54" s="449"/>
      <c r="GB54" s="449"/>
      <c r="GC54" s="449"/>
      <c r="GD54" s="449"/>
      <c r="GE54" s="449"/>
      <c r="GF54" s="449"/>
      <c r="GG54" s="449"/>
      <c r="GH54" s="449"/>
      <c r="GI54" s="449"/>
      <c r="GJ54" s="449"/>
      <c r="GK54" s="449"/>
      <c r="GL54" s="449"/>
      <c r="GM54" s="449"/>
      <c r="GN54" s="449"/>
      <c r="GO54" s="449"/>
      <c r="GP54" s="449"/>
      <c r="GQ54" s="449"/>
      <c r="GR54" s="449"/>
      <c r="GS54" s="449"/>
      <c r="GT54" s="449"/>
      <c r="GU54" s="449"/>
      <c r="GV54" s="449"/>
      <c r="GW54" s="449"/>
      <c r="GX54" s="449"/>
      <c r="GY54" s="449"/>
      <c r="GZ54" s="449"/>
      <c r="HA54" s="449"/>
      <c r="HB54" s="449"/>
      <c r="HC54" s="449"/>
      <c r="HD54" s="449"/>
      <c r="HE54" s="449"/>
      <c r="HF54" s="449"/>
      <c r="HG54" s="449"/>
      <c r="HH54" s="449"/>
      <c r="HI54" s="449"/>
      <c r="HJ54" s="449"/>
      <c r="HK54" s="449"/>
      <c r="HL54" s="449"/>
      <c r="HM54" s="449"/>
      <c r="HN54" s="449"/>
      <c r="HO54" s="449"/>
      <c r="HP54" s="449"/>
      <c r="HQ54" s="449"/>
      <c r="HR54" s="449"/>
      <c r="HS54" s="449"/>
      <c r="HT54" s="449"/>
      <c r="HU54" s="449"/>
      <c r="HV54" s="449"/>
      <c r="HW54" s="449"/>
      <c r="HX54" s="449"/>
      <c r="HY54" s="449"/>
      <c r="HZ54" s="449"/>
      <c r="IA54" s="449"/>
      <c r="IB54" s="449"/>
      <c r="IC54" s="449"/>
      <c r="ID54" s="449"/>
      <c r="IE54" s="449"/>
      <c r="IF54" s="449"/>
      <c r="IG54" s="449"/>
      <c r="IH54" s="449"/>
      <c r="II54" s="449"/>
      <c r="IJ54" s="449"/>
      <c r="IK54" s="449"/>
      <c r="IL54" s="449"/>
      <c r="IM54" s="449"/>
      <c r="IN54" s="449"/>
      <c r="IO54" s="449"/>
      <c r="IP54" s="449"/>
      <c r="IQ54" s="449"/>
      <c r="IR54" s="449"/>
      <c r="IS54" s="449"/>
      <c r="IT54" s="449"/>
      <c r="IU54" s="449"/>
      <c r="IV54" s="449"/>
      <c r="IW54" s="449"/>
    </row>
    <row r="55" customFormat="false" ht="12.75" hidden="false" customHeight="false" outlineLevel="0" collapsed="false">
      <c r="A55" s="461"/>
      <c r="C55" s="476" t="s">
        <v>887</v>
      </c>
      <c r="D55" s="449"/>
      <c r="E55" s="477" t="n">
        <v>0.01</v>
      </c>
      <c r="F55" s="477" t="n">
        <v>0.01</v>
      </c>
      <c r="G55" s="477" t="n">
        <v>0.01</v>
      </c>
      <c r="H55" s="477" t="n">
        <v>0.01</v>
      </c>
      <c r="I55" s="477" t="n">
        <v>0.01</v>
      </c>
      <c r="J55" s="477" t="n">
        <v>0.01</v>
      </c>
      <c r="K55" s="478"/>
      <c r="L55" s="479"/>
      <c r="M55" s="479"/>
      <c r="N55" s="479"/>
      <c r="O55" s="479"/>
      <c r="P55" s="479"/>
      <c r="Q55" s="479"/>
      <c r="R55" s="479"/>
      <c r="S55" s="479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  <c r="AF55" s="480"/>
      <c r="AG55" s="480"/>
      <c r="AH55" s="480"/>
      <c r="AI55" s="480"/>
      <c r="AJ55" s="480"/>
      <c r="AK55" s="480"/>
      <c r="AL55" s="480"/>
      <c r="AM55" s="480"/>
      <c r="AN55" s="480"/>
      <c r="AO55" s="480"/>
      <c r="AP55" s="480"/>
      <c r="AQ55" s="480"/>
      <c r="AR55" s="480"/>
      <c r="AS55" s="480"/>
      <c r="AT55" s="480"/>
      <c r="AU55" s="480"/>
      <c r="AV55" s="480"/>
      <c r="AW55" s="480"/>
      <c r="AX55" s="480"/>
      <c r="AY55" s="480"/>
      <c r="AZ55" s="480"/>
      <c r="BA55" s="480"/>
      <c r="BB55" s="449"/>
      <c r="BC55" s="449"/>
      <c r="BD55" s="449"/>
      <c r="BE55" s="449"/>
      <c r="BF55" s="449"/>
      <c r="BG55" s="449"/>
      <c r="BH55" s="449"/>
      <c r="BI55" s="449"/>
      <c r="BJ55" s="449"/>
      <c r="BK55" s="449"/>
      <c r="BL55" s="449"/>
      <c r="BM55" s="449"/>
      <c r="BN55" s="449"/>
      <c r="BO55" s="449"/>
      <c r="BP55" s="449"/>
      <c r="BQ55" s="449"/>
      <c r="BR55" s="449"/>
      <c r="BS55" s="449"/>
      <c r="BT55" s="449"/>
      <c r="BU55" s="449"/>
      <c r="BV55" s="449"/>
      <c r="BW55" s="449"/>
      <c r="BX55" s="449"/>
      <c r="BY55" s="449"/>
      <c r="BZ55" s="449"/>
      <c r="CA55" s="449"/>
      <c r="CB55" s="449"/>
      <c r="CC55" s="449"/>
      <c r="CD55" s="449"/>
      <c r="CE55" s="449"/>
      <c r="CF55" s="449"/>
      <c r="CG55" s="449"/>
      <c r="CH55" s="449"/>
      <c r="CI55" s="449"/>
      <c r="CJ55" s="449"/>
      <c r="CK55" s="449"/>
      <c r="CL55" s="449"/>
      <c r="CM55" s="449"/>
      <c r="CN55" s="449"/>
      <c r="CO55" s="449"/>
      <c r="CP55" s="449"/>
      <c r="CQ55" s="449"/>
      <c r="CR55" s="449"/>
      <c r="CS55" s="449"/>
      <c r="CT55" s="449"/>
      <c r="CU55" s="449"/>
      <c r="CV55" s="449"/>
      <c r="CW55" s="449"/>
      <c r="CX55" s="449"/>
      <c r="CY55" s="449"/>
      <c r="CZ55" s="449"/>
      <c r="DA55" s="449"/>
      <c r="DB55" s="449"/>
      <c r="DC55" s="449"/>
      <c r="DD55" s="449"/>
      <c r="DE55" s="449"/>
      <c r="DF55" s="449"/>
      <c r="DG55" s="449"/>
      <c r="DH55" s="449"/>
      <c r="DI55" s="449"/>
      <c r="DJ55" s="449"/>
      <c r="DK55" s="449"/>
      <c r="DL55" s="449"/>
      <c r="DM55" s="449"/>
      <c r="DN55" s="449"/>
      <c r="DO55" s="449"/>
      <c r="DP55" s="449"/>
      <c r="DQ55" s="449"/>
      <c r="DR55" s="449"/>
      <c r="DS55" s="449"/>
      <c r="DT55" s="449"/>
      <c r="DU55" s="449"/>
      <c r="DV55" s="449"/>
      <c r="DW55" s="449"/>
      <c r="DX55" s="449"/>
      <c r="DY55" s="449"/>
      <c r="DZ55" s="449"/>
      <c r="EA55" s="449"/>
      <c r="EB55" s="449"/>
      <c r="EC55" s="449"/>
      <c r="ED55" s="449"/>
      <c r="EE55" s="449"/>
      <c r="EF55" s="449"/>
      <c r="EG55" s="449"/>
      <c r="EH55" s="449"/>
      <c r="EI55" s="449"/>
      <c r="EJ55" s="449"/>
      <c r="EK55" s="449"/>
      <c r="EL55" s="449"/>
      <c r="EM55" s="449"/>
      <c r="EN55" s="449"/>
      <c r="EO55" s="449"/>
      <c r="EP55" s="449"/>
      <c r="EQ55" s="449"/>
      <c r="ER55" s="449"/>
      <c r="ES55" s="449"/>
      <c r="ET55" s="449"/>
      <c r="EU55" s="449"/>
      <c r="EV55" s="449"/>
      <c r="EW55" s="449"/>
      <c r="EX55" s="449"/>
      <c r="EY55" s="449"/>
      <c r="EZ55" s="449"/>
      <c r="FA55" s="449"/>
      <c r="FB55" s="449"/>
      <c r="FC55" s="449"/>
      <c r="FD55" s="449"/>
      <c r="FE55" s="449"/>
      <c r="FF55" s="449"/>
      <c r="FG55" s="449"/>
      <c r="FH55" s="449"/>
      <c r="FI55" s="449"/>
      <c r="FJ55" s="449"/>
      <c r="FK55" s="449"/>
      <c r="FL55" s="449"/>
      <c r="FM55" s="449"/>
      <c r="FN55" s="449"/>
      <c r="FO55" s="449"/>
      <c r="FP55" s="449"/>
      <c r="FQ55" s="449"/>
      <c r="FR55" s="449"/>
      <c r="FS55" s="449"/>
      <c r="FT55" s="449"/>
      <c r="FU55" s="449"/>
      <c r="FV55" s="449"/>
      <c r="FW55" s="449"/>
      <c r="FX55" s="449"/>
      <c r="FY55" s="449"/>
      <c r="FZ55" s="449"/>
      <c r="GA55" s="449"/>
      <c r="GB55" s="449"/>
      <c r="GC55" s="449"/>
      <c r="GD55" s="449"/>
      <c r="GE55" s="449"/>
      <c r="GF55" s="449"/>
      <c r="GG55" s="449"/>
      <c r="GH55" s="449"/>
      <c r="GI55" s="449"/>
      <c r="GJ55" s="449"/>
      <c r="GK55" s="449"/>
      <c r="GL55" s="449"/>
      <c r="GM55" s="449"/>
      <c r="GN55" s="449"/>
      <c r="GO55" s="449"/>
      <c r="GP55" s="449"/>
      <c r="GQ55" s="449"/>
      <c r="GR55" s="449"/>
      <c r="GS55" s="449"/>
      <c r="GT55" s="449"/>
      <c r="GU55" s="449"/>
      <c r="GV55" s="449"/>
      <c r="GW55" s="449"/>
      <c r="GX55" s="449"/>
      <c r="GY55" s="449"/>
      <c r="GZ55" s="449"/>
      <c r="HA55" s="449"/>
      <c r="HB55" s="449"/>
      <c r="HC55" s="449"/>
      <c r="HD55" s="449"/>
      <c r="HE55" s="449"/>
      <c r="HF55" s="449"/>
      <c r="HG55" s="449"/>
      <c r="HH55" s="449"/>
      <c r="HI55" s="449"/>
      <c r="HJ55" s="449"/>
      <c r="HK55" s="449"/>
      <c r="HL55" s="449"/>
      <c r="HM55" s="449"/>
      <c r="HN55" s="449"/>
      <c r="HO55" s="449"/>
      <c r="HP55" s="449"/>
      <c r="HQ55" s="449"/>
      <c r="HR55" s="449"/>
      <c r="HS55" s="449"/>
      <c r="HT55" s="449"/>
      <c r="HU55" s="449"/>
      <c r="HV55" s="449"/>
      <c r="HW55" s="449"/>
      <c r="HX55" s="449"/>
      <c r="HY55" s="449"/>
      <c r="HZ55" s="449"/>
      <c r="IA55" s="449"/>
      <c r="IB55" s="449"/>
      <c r="IC55" s="449"/>
      <c r="ID55" s="449"/>
      <c r="IE55" s="449"/>
      <c r="IF55" s="449"/>
      <c r="IG55" s="449"/>
      <c r="IH55" s="449"/>
      <c r="II55" s="449"/>
      <c r="IJ55" s="449"/>
      <c r="IK55" s="449"/>
      <c r="IL55" s="449"/>
      <c r="IM55" s="449"/>
      <c r="IN55" s="449"/>
      <c r="IO55" s="449"/>
      <c r="IP55" s="449"/>
      <c r="IQ55" s="449"/>
      <c r="IR55" s="449"/>
      <c r="IS55" s="449"/>
      <c r="IT55" s="449"/>
      <c r="IU55" s="449"/>
      <c r="IV55" s="449"/>
      <c r="IW55" s="449"/>
    </row>
    <row r="56" customFormat="false" ht="12.75" hidden="false" customHeight="false" outlineLevel="0" collapsed="false">
      <c r="A56" s="461"/>
      <c r="C56" s="476" t="s">
        <v>888</v>
      </c>
      <c r="D56" s="449"/>
      <c r="E56" s="477" t="n">
        <v>0.05</v>
      </c>
      <c r="F56" s="477" t="n">
        <v>0.05</v>
      </c>
      <c r="G56" s="477" t="n">
        <v>0.05</v>
      </c>
      <c r="H56" s="477" t="n">
        <v>0.05</v>
      </c>
      <c r="I56" s="477" t="n">
        <v>0.05</v>
      </c>
      <c r="J56" s="477" t="n">
        <v>0.05</v>
      </c>
      <c r="K56" s="478"/>
      <c r="L56" s="479"/>
      <c r="M56" s="479"/>
      <c r="N56" s="479"/>
      <c r="O56" s="479"/>
      <c r="P56" s="479"/>
      <c r="Q56" s="479"/>
      <c r="R56" s="479"/>
      <c r="S56" s="479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  <c r="AF56" s="480"/>
      <c r="AG56" s="480"/>
      <c r="AH56" s="480"/>
      <c r="AI56" s="480"/>
      <c r="AJ56" s="480"/>
      <c r="AK56" s="480"/>
      <c r="AL56" s="480"/>
      <c r="AM56" s="480"/>
      <c r="AN56" s="480"/>
      <c r="AO56" s="480"/>
      <c r="AP56" s="480"/>
      <c r="AQ56" s="480"/>
      <c r="AR56" s="480"/>
      <c r="AS56" s="480"/>
      <c r="AT56" s="480"/>
      <c r="AU56" s="480"/>
      <c r="AV56" s="480"/>
      <c r="AW56" s="480"/>
      <c r="AX56" s="480"/>
      <c r="AY56" s="480"/>
      <c r="AZ56" s="480"/>
      <c r="BA56" s="480"/>
      <c r="BB56" s="449"/>
      <c r="BC56" s="449"/>
      <c r="BD56" s="449"/>
      <c r="BE56" s="449"/>
      <c r="BF56" s="449"/>
      <c r="BG56" s="449"/>
      <c r="BH56" s="449"/>
      <c r="BI56" s="449"/>
      <c r="BJ56" s="449"/>
      <c r="BK56" s="449"/>
      <c r="BL56" s="449"/>
      <c r="BM56" s="449"/>
      <c r="BN56" s="449"/>
      <c r="BO56" s="449"/>
      <c r="BP56" s="449"/>
      <c r="BQ56" s="449"/>
      <c r="BR56" s="449"/>
      <c r="BS56" s="449"/>
      <c r="BT56" s="449"/>
      <c r="BU56" s="449"/>
      <c r="BV56" s="449"/>
      <c r="BW56" s="449"/>
      <c r="BX56" s="449"/>
      <c r="BY56" s="449"/>
      <c r="BZ56" s="449"/>
      <c r="CA56" s="449"/>
      <c r="CB56" s="449"/>
      <c r="CC56" s="449"/>
      <c r="CD56" s="449"/>
      <c r="CE56" s="449"/>
      <c r="CF56" s="449"/>
      <c r="CG56" s="449"/>
      <c r="CH56" s="449"/>
      <c r="CI56" s="449"/>
      <c r="CJ56" s="449"/>
      <c r="CK56" s="449"/>
      <c r="CL56" s="449"/>
      <c r="CM56" s="449"/>
      <c r="CN56" s="449"/>
      <c r="CO56" s="449"/>
      <c r="CP56" s="449"/>
      <c r="CQ56" s="449"/>
      <c r="CR56" s="449"/>
      <c r="CS56" s="449"/>
      <c r="CT56" s="449"/>
      <c r="CU56" s="449"/>
      <c r="CV56" s="449"/>
      <c r="CW56" s="449"/>
      <c r="CX56" s="449"/>
      <c r="CY56" s="449"/>
      <c r="CZ56" s="449"/>
      <c r="DA56" s="449"/>
      <c r="DB56" s="449"/>
      <c r="DC56" s="449"/>
      <c r="DD56" s="449"/>
      <c r="DE56" s="449"/>
      <c r="DF56" s="449"/>
      <c r="DG56" s="449"/>
      <c r="DH56" s="449"/>
      <c r="DI56" s="449"/>
      <c r="DJ56" s="449"/>
      <c r="DK56" s="449"/>
      <c r="DL56" s="449"/>
      <c r="DM56" s="449"/>
      <c r="DN56" s="449"/>
      <c r="DO56" s="449"/>
      <c r="DP56" s="449"/>
      <c r="DQ56" s="449"/>
      <c r="DR56" s="449"/>
      <c r="DS56" s="449"/>
      <c r="DT56" s="449"/>
      <c r="DU56" s="449"/>
      <c r="DV56" s="449"/>
      <c r="DW56" s="449"/>
      <c r="DX56" s="449"/>
      <c r="DY56" s="449"/>
      <c r="DZ56" s="449"/>
      <c r="EA56" s="449"/>
      <c r="EB56" s="449"/>
      <c r="EC56" s="449"/>
      <c r="ED56" s="449"/>
      <c r="EE56" s="449"/>
      <c r="EF56" s="449"/>
      <c r="EG56" s="449"/>
      <c r="EH56" s="449"/>
      <c r="EI56" s="449"/>
      <c r="EJ56" s="449"/>
      <c r="EK56" s="449"/>
      <c r="EL56" s="449"/>
      <c r="EM56" s="449"/>
      <c r="EN56" s="449"/>
      <c r="EO56" s="449"/>
      <c r="EP56" s="449"/>
      <c r="EQ56" s="449"/>
      <c r="ER56" s="449"/>
      <c r="ES56" s="449"/>
      <c r="ET56" s="449"/>
      <c r="EU56" s="449"/>
      <c r="EV56" s="449"/>
      <c r="EW56" s="449"/>
      <c r="EX56" s="449"/>
      <c r="EY56" s="449"/>
      <c r="EZ56" s="449"/>
      <c r="FA56" s="449"/>
      <c r="FB56" s="449"/>
      <c r="FC56" s="449"/>
      <c r="FD56" s="449"/>
      <c r="FE56" s="449"/>
      <c r="FF56" s="449"/>
      <c r="FG56" s="449"/>
      <c r="FH56" s="449"/>
      <c r="FI56" s="449"/>
      <c r="FJ56" s="449"/>
      <c r="FK56" s="449"/>
      <c r="FL56" s="449"/>
      <c r="FM56" s="449"/>
      <c r="FN56" s="449"/>
      <c r="FO56" s="449"/>
      <c r="FP56" s="449"/>
      <c r="FQ56" s="449"/>
      <c r="FR56" s="449"/>
      <c r="FS56" s="449"/>
      <c r="FT56" s="449"/>
      <c r="FU56" s="449"/>
      <c r="FV56" s="449"/>
      <c r="FW56" s="449"/>
      <c r="FX56" s="449"/>
      <c r="FY56" s="449"/>
      <c r="FZ56" s="449"/>
      <c r="GA56" s="449"/>
      <c r="GB56" s="449"/>
      <c r="GC56" s="449"/>
      <c r="GD56" s="449"/>
      <c r="GE56" s="449"/>
      <c r="GF56" s="449"/>
      <c r="GG56" s="449"/>
      <c r="GH56" s="449"/>
      <c r="GI56" s="449"/>
      <c r="GJ56" s="449"/>
      <c r="GK56" s="449"/>
      <c r="GL56" s="449"/>
      <c r="GM56" s="449"/>
      <c r="GN56" s="449"/>
      <c r="GO56" s="449"/>
      <c r="GP56" s="449"/>
      <c r="GQ56" s="449"/>
      <c r="GR56" s="449"/>
      <c r="GS56" s="449"/>
      <c r="GT56" s="449"/>
      <c r="GU56" s="449"/>
      <c r="GV56" s="449"/>
      <c r="GW56" s="449"/>
      <c r="GX56" s="449"/>
      <c r="GY56" s="449"/>
      <c r="GZ56" s="449"/>
      <c r="HA56" s="449"/>
      <c r="HB56" s="449"/>
      <c r="HC56" s="449"/>
      <c r="HD56" s="449"/>
      <c r="HE56" s="449"/>
      <c r="HF56" s="449"/>
      <c r="HG56" s="449"/>
      <c r="HH56" s="449"/>
      <c r="HI56" s="449"/>
      <c r="HJ56" s="449"/>
      <c r="HK56" s="449"/>
      <c r="HL56" s="449"/>
      <c r="HM56" s="449"/>
      <c r="HN56" s="449"/>
      <c r="HO56" s="449"/>
      <c r="HP56" s="449"/>
      <c r="HQ56" s="449"/>
      <c r="HR56" s="449"/>
      <c r="HS56" s="449"/>
      <c r="HT56" s="449"/>
      <c r="HU56" s="449"/>
      <c r="HV56" s="449"/>
      <c r="HW56" s="449"/>
      <c r="HX56" s="449"/>
      <c r="HY56" s="449"/>
      <c r="HZ56" s="449"/>
      <c r="IA56" s="449"/>
      <c r="IB56" s="449"/>
      <c r="IC56" s="449"/>
      <c r="ID56" s="449"/>
      <c r="IE56" s="449"/>
      <c r="IF56" s="449"/>
      <c r="IG56" s="449"/>
      <c r="IH56" s="449"/>
      <c r="II56" s="449"/>
      <c r="IJ56" s="449"/>
      <c r="IK56" s="449"/>
      <c r="IL56" s="449"/>
      <c r="IM56" s="449"/>
      <c r="IN56" s="449"/>
      <c r="IO56" s="449"/>
      <c r="IP56" s="449"/>
      <c r="IQ56" s="449"/>
      <c r="IR56" s="449"/>
      <c r="IS56" s="449"/>
      <c r="IT56" s="449"/>
      <c r="IU56" s="449"/>
      <c r="IV56" s="449"/>
      <c r="IW56" s="449"/>
    </row>
    <row r="57" customFormat="false" ht="12.75" hidden="false" customHeight="false" outlineLevel="0" collapsed="false">
      <c r="A57" s="461"/>
      <c r="C57" s="476" t="s">
        <v>889</v>
      </c>
      <c r="D57" s="449"/>
      <c r="E57" s="477" t="n">
        <v>0.05</v>
      </c>
      <c r="F57" s="477" t="n">
        <v>0.05</v>
      </c>
      <c r="G57" s="477" t="n">
        <v>0.05</v>
      </c>
      <c r="H57" s="477" t="n">
        <v>0.05</v>
      </c>
      <c r="I57" s="477" t="n">
        <v>0.05</v>
      </c>
      <c r="J57" s="477" t="n">
        <v>0.05</v>
      </c>
      <c r="K57" s="478"/>
      <c r="L57" s="479"/>
      <c r="M57" s="479"/>
      <c r="N57" s="479"/>
      <c r="O57" s="479"/>
      <c r="P57" s="479"/>
      <c r="Q57" s="479"/>
      <c r="R57" s="479"/>
      <c r="S57" s="479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  <c r="AF57" s="480"/>
      <c r="AG57" s="480"/>
      <c r="AH57" s="480"/>
      <c r="AI57" s="480"/>
      <c r="AJ57" s="480"/>
      <c r="AK57" s="480"/>
      <c r="AL57" s="480"/>
      <c r="AM57" s="480"/>
      <c r="AN57" s="480"/>
      <c r="AO57" s="480"/>
      <c r="AP57" s="480"/>
      <c r="AQ57" s="480"/>
      <c r="AR57" s="480"/>
      <c r="AS57" s="480"/>
      <c r="AT57" s="480"/>
      <c r="AU57" s="480"/>
      <c r="AV57" s="480"/>
      <c r="AW57" s="480"/>
      <c r="AX57" s="480"/>
      <c r="AY57" s="480"/>
      <c r="AZ57" s="480"/>
      <c r="BA57" s="480"/>
      <c r="BB57" s="449"/>
      <c r="BC57" s="449"/>
      <c r="BD57" s="449"/>
      <c r="BE57" s="449"/>
      <c r="BF57" s="449"/>
      <c r="BG57" s="449"/>
      <c r="BH57" s="449"/>
      <c r="BI57" s="449"/>
      <c r="BJ57" s="449"/>
      <c r="BK57" s="449"/>
      <c r="BL57" s="449"/>
      <c r="BM57" s="449"/>
      <c r="BN57" s="449"/>
      <c r="BO57" s="449"/>
      <c r="BP57" s="449"/>
      <c r="BQ57" s="449"/>
      <c r="BR57" s="449"/>
      <c r="BS57" s="449"/>
      <c r="BT57" s="449"/>
      <c r="BU57" s="449"/>
      <c r="BV57" s="449"/>
      <c r="BW57" s="449"/>
      <c r="BX57" s="449"/>
      <c r="BY57" s="449"/>
      <c r="BZ57" s="449"/>
      <c r="CA57" s="449"/>
      <c r="CB57" s="449"/>
      <c r="CC57" s="449"/>
      <c r="CD57" s="449"/>
      <c r="CE57" s="449"/>
      <c r="CF57" s="449"/>
      <c r="CG57" s="449"/>
      <c r="CH57" s="449"/>
      <c r="CI57" s="449"/>
      <c r="CJ57" s="449"/>
      <c r="CK57" s="449"/>
      <c r="CL57" s="449"/>
      <c r="CM57" s="449"/>
      <c r="CN57" s="449"/>
      <c r="CO57" s="449"/>
      <c r="CP57" s="449"/>
      <c r="CQ57" s="449"/>
      <c r="CR57" s="449"/>
      <c r="CS57" s="449"/>
      <c r="CT57" s="449"/>
      <c r="CU57" s="449"/>
      <c r="CV57" s="449"/>
      <c r="CW57" s="449"/>
      <c r="CX57" s="449"/>
      <c r="CY57" s="449"/>
      <c r="CZ57" s="449"/>
      <c r="DA57" s="449"/>
      <c r="DB57" s="449"/>
      <c r="DC57" s="449"/>
      <c r="DD57" s="449"/>
      <c r="DE57" s="449"/>
      <c r="DF57" s="449"/>
      <c r="DG57" s="449"/>
      <c r="DH57" s="449"/>
      <c r="DI57" s="449"/>
      <c r="DJ57" s="449"/>
      <c r="DK57" s="449"/>
      <c r="DL57" s="449"/>
      <c r="DM57" s="449"/>
      <c r="DN57" s="449"/>
      <c r="DO57" s="449"/>
      <c r="DP57" s="449"/>
      <c r="DQ57" s="449"/>
      <c r="DR57" s="449"/>
      <c r="DS57" s="449"/>
      <c r="DT57" s="449"/>
      <c r="DU57" s="449"/>
      <c r="DV57" s="449"/>
      <c r="DW57" s="449"/>
      <c r="DX57" s="449"/>
      <c r="DY57" s="449"/>
      <c r="DZ57" s="449"/>
      <c r="EA57" s="449"/>
      <c r="EB57" s="449"/>
      <c r="EC57" s="449"/>
      <c r="ED57" s="449"/>
      <c r="EE57" s="449"/>
      <c r="EF57" s="449"/>
      <c r="EG57" s="449"/>
      <c r="EH57" s="449"/>
      <c r="EI57" s="449"/>
      <c r="EJ57" s="449"/>
      <c r="EK57" s="449"/>
      <c r="EL57" s="449"/>
      <c r="EM57" s="449"/>
      <c r="EN57" s="449"/>
      <c r="EO57" s="449"/>
      <c r="EP57" s="449"/>
      <c r="EQ57" s="449"/>
      <c r="ER57" s="449"/>
      <c r="ES57" s="449"/>
      <c r="ET57" s="449"/>
      <c r="EU57" s="449"/>
      <c r="EV57" s="449"/>
      <c r="EW57" s="449"/>
      <c r="EX57" s="449"/>
      <c r="EY57" s="449"/>
      <c r="EZ57" s="449"/>
      <c r="FA57" s="449"/>
      <c r="FB57" s="449"/>
      <c r="FC57" s="449"/>
      <c r="FD57" s="449"/>
      <c r="FE57" s="449"/>
      <c r="FF57" s="449"/>
      <c r="FG57" s="449"/>
      <c r="FH57" s="449"/>
      <c r="FI57" s="449"/>
      <c r="FJ57" s="449"/>
      <c r="FK57" s="449"/>
      <c r="FL57" s="449"/>
      <c r="FM57" s="449"/>
      <c r="FN57" s="449"/>
      <c r="FO57" s="449"/>
      <c r="FP57" s="449"/>
      <c r="FQ57" s="449"/>
      <c r="FR57" s="449"/>
      <c r="FS57" s="449"/>
      <c r="FT57" s="449"/>
      <c r="FU57" s="449"/>
      <c r="FV57" s="449"/>
      <c r="FW57" s="449"/>
      <c r="FX57" s="449"/>
      <c r="FY57" s="449"/>
      <c r="FZ57" s="449"/>
      <c r="GA57" s="449"/>
      <c r="GB57" s="449"/>
      <c r="GC57" s="449"/>
      <c r="GD57" s="449"/>
      <c r="GE57" s="449"/>
      <c r="GF57" s="449"/>
      <c r="GG57" s="449"/>
      <c r="GH57" s="449"/>
      <c r="GI57" s="449"/>
      <c r="GJ57" s="449"/>
      <c r="GK57" s="449"/>
      <c r="GL57" s="449"/>
      <c r="GM57" s="449"/>
      <c r="GN57" s="449"/>
      <c r="GO57" s="449"/>
      <c r="GP57" s="449"/>
      <c r="GQ57" s="449"/>
      <c r="GR57" s="449"/>
      <c r="GS57" s="449"/>
      <c r="GT57" s="449"/>
      <c r="GU57" s="449"/>
      <c r="GV57" s="449"/>
      <c r="GW57" s="449"/>
      <c r="GX57" s="449"/>
      <c r="GY57" s="449"/>
      <c r="GZ57" s="449"/>
      <c r="HA57" s="449"/>
      <c r="HB57" s="449"/>
      <c r="HC57" s="449"/>
      <c r="HD57" s="449"/>
      <c r="HE57" s="449"/>
      <c r="HF57" s="449"/>
      <c r="HG57" s="449"/>
      <c r="HH57" s="449"/>
      <c r="HI57" s="449"/>
      <c r="HJ57" s="449"/>
      <c r="HK57" s="449"/>
      <c r="HL57" s="449"/>
      <c r="HM57" s="449"/>
      <c r="HN57" s="449"/>
      <c r="HO57" s="449"/>
      <c r="HP57" s="449"/>
      <c r="HQ57" s="449"/>
      <c r="HR57" s="449"/>
      <c r="HS57" s="449"/>
      <c r="HT57" s="449"/>
      <c r="HU57" s="449"/>
      <c r="HV57" s="449"/>
      <c r="HW57" s="449"/>
      <c r="HX57" s="449"/>
      <c r="HY57" s="449"/>
      <c r="HZ57" s="449"/>
      <c r="IA57" s="449"/>
      <c r="IB57" s="449"/>
      <c r="IC57" s="449"/>
      <c r="ID57" s="449"/>
      <c r="IE57" s="449"/>
      <c r="IF57" s="449"/>
      <c r="IG57" s="449"/>
      <c r="IH57" s="449"/>
      <c r="II57" s="449"/>
      <c r="IJ57" s="449"/>
      <c r="IK57" s="449"/>
      <c r="IL57" s="449"/>
      <c r="IM57" s="449"/>
      <c r="IN57" s="449"/>
      <c r="IO57" s="449"/>
      <c r="IP57" s="449"/>
      <c r="IQ57" s="449"/>
      <c r="IR57" s="449"/>
      <c r="IS57" s="449"/>
      <c r="IT57" s="449"/>
      <c r="IU57" s="449"/>
      <c r="IV57" s="449"/>
      <c r="IW57" s="449"/>
    </row>
    <row r="58" customFormat="false" ht="12.75" hidden="false" customHeight="false" outlineLevel="0" collapsed="false">
      <c r="A58" s="461"/>
      <c r="C58" s="476" t="s">
        <v>890</v>
      </c>
      <c r="D58" s="449"/>
      <c r="E58" s="477" t="n">
        <v>0.03</v>
      </c>
      <c r="F58" s="477" t="n">
        <v>0.03</v>
      </c>
      <c r="G58" s="477" t="n">
        <v>0.03</v>
      </c>
      <c r="H58" s="477" t="n">
        <v>0.03</v>
      </c>
      <c r="I58" s="477" t="n">
        <v>0.03</v>
      </c>
      <c r="J58" s="477" t="n">
        <v>0.03</v>
      </c>
      <c r="K58" s="478"/>
      <c r="L58" s="479"/>
      <c r="M58" s="479"/>
      <c r="N58" s="479"/>
      <c r="O58" s="479"/>
      <c r="P58" s="479"/>
      <c r="Q58" s="479"/>
      <c r="R58" s="479"/>
      <c r="S58" s="479"/>
      <c r="T58" s="480"/>
      <c r="U58" s="480"/>
      <c r="V58" s="480"/>
      <c r="W58" s="480"/>
      <c r="X58" s="480"/>
      <c r="Y58" s="480"/>
      <c r="Z58" s="480"/>
      <c r="AA58" s="480"/>
      <c r="AB58" s="480"/>
      <c r="AC58" s="480"/>
      <c r="AD58" s="480"/>
      <c r="AE58" s="480"/>
      <c r="AF58" s="480"/>
      <c r="AG58" s="480"/>
      <c r="AH58" s="480"/>
      <c r="AI58" s="480"/>
      <c r="AJ58" s="480"/>
      <c r="AK58" s="480"/>
      <c r="AL58" s="480"/>
      <c r="AM58" s="480"/>
      <c r="AN58" s="480"/>
      <c r="AO58" s="480"/>
      <c r="AP58" s="480"/>
      <c r="AQ58" s="480"/>
      <c r="AR58" s="480"/>
      <c r="AS58" s="480"/>
      <c r="AT58" s="480"/>
      <c r="AU58" s="480"/>
      <c r="AV58" s="480"/>
      <c r="AW58" s="480"/>
      <c r="AX58" s="480"/>
      <c r="AY58" s="480"/>
      <c r="AZ58" s="480"/>
      <c r="BA58" s="480"/>
      <c r="BB58" s="449"/>
      <c r="BC58" s="449"/>
      <c r="BD58" s="449"/>
      <c r="BE58" s="449"/>
      <c r="BF58" s="449"/>
      <c r="BG58" s="449"/>
      <c r="BH58" s="449"/>
      <c r="BI58" s="449"/>
      <c r="BJ58" s="449"/>
      <c r="BK58" s="449"/>
      <c r="BL58" s="449"/>
      <c r="BM58" s="449"/>
      <c r="BN58" s="449"/>
      <c r="BO58" s="449"/>
      <c r="BP58" s="449"/>
      <c r="BQ58" s="449"/>
      <c r="BR58" s="449"/>
      <c r="BS58" s="449"/>
      <c r="BT58" s="449"/>
      <c r="BU58" s="449"/>
      <c r="BV58" s="449"/>
      <c r="BW58" s="449"/>
      <c r="BX58" s="449"/>
      <c r="BY58" s="449"/>
      <c r="BZ58" s="449"/>
      <c r="CA58" s="449"/>
      <c r="CB58" s="449"/>
      <c r="CC58" s="449"/>
      <c r="CD58" s="449"/>
      <c r="CE58" s="449"/>
      <c r="CF58" s="449"/>
      <c r="CG58" s="449"/>
      <c r="CH58" s="449"/>
      <c r="CI58" s="449"/>
      <c r="CJ58" s="449"/>
      <c r="CK58" s="449"/>
      <c r="CL58" s="449"/>
      <c r="CM58" s="449"/>
      <c r="CN58" s="449"/>
      <c r="CO58" s="449"/>
      <c r="CP58" s="449"/>
      <c r="CQ58" s="449"/>
      <c r="CR58" s="449"/>
      <c r="CS58" s="449"/>
      <c r="CT58" s="449"/>
      <c r="CU58" s="449"/>
      <c r="CV58" s="449"/>
      <c r="CW58" s="449"/>
      <c r="CX58" s="449"/>
      <c r="CY58" s="449"/>
      <c r="CZ58" s="449"/>
      <c r="DA58" s="449"/>
      <c r="DB58" s="449"/>
      <c r="DC58" s="449"/>
      <c r="DD58" s="449"/>
      <c r="DE58" s="449"/>
      <c r="DF58" s="449"/>
      <c r="DG58" s="449"/>
      <c r="DH58" s="449"/>
      <c r="DI58" s="449"/>
      <c r="DJ58" s="449"/>
      <c r="DK58" s="449"/>
      <c r="DL58" s="449"/>
      <c r="DM58" s="449"/>
      <c r="DN58" s="449"/>
      <c r="DO58" s="449"/>
      <c r="DP58" s="449"/>
      <c r="DQ58" s="449"/>
      <c r="DR58" s="449"/>
      <c r="DS58" s="449"/>
      <c r="DT58" s="449"/>
      <c r="DU58" s="449"/>
      <c r="DV58" s="449"/>
      <c r="DW58" s="449"/>
      <c r="DX58" s="449"/>
      <c r="DY58" s="449"/>
      <c r="DZ58" s="449"/>
      <c r="EA58" s="449"/>
      <c r="EB58" s="449"/>
      <c r="EC58" s="449"/>
      <c r="ED58" s="449"/>
      <c r="EE58" s="449"/>
      <c r="EF58" s="449"/>
      <c r="EG58" s="449"/>
      <c r="EH58" s="449"/>
      <c r="EI58" s="449"/>
      <c r="EJ58" s="449"/>
      <c r="EK58" s="449"/>
      <c r="EL58" s="449"/>
      <c r="EM58" s="449"/>
      <c r="EN58" s="449"/>
      <c r="EO58" s="449"/>
      <c r="EP58" s="449"/>
      <c r="EQ58" s="449"/>
      <c r="ER58" s="449"/>
      <c r="ES58" s="449"/>
      <c r="ET58" s="449"/>
      <c r="EU58" s="449"/>
      <c r="EV58" s="449"/>
      <c r="EW58" s="449"/>
      <c r="EX58" s="449"/>
      <c r="EY58" s="449"/>
      <c r="EZ58" s="449"/>
      <c r="FA58" s="449"/>
      <c r="FB58" s="449"/>
      <c r="FC58" s="449"/>
      <c r="FD58" s="449"/>
      <c r="FE58" s="449"/>
      <c r="FF58" s="449"/>
      <c r="FG58" s="449"/>
      <c r="FH58" s="449"/>
      <c r="FI58" s="449"/>
      <c r="FJ58" s="449"/>
      <c r="FK58" s="449"/>
      <c r="FL58" s="449"/>
      <c r="FM58" s="449"/>
      <c r="FN58" s="449"/>
      <c r="FO58" s="449"/>
      <c r="FP58" s="449"/>
      <c r="FQ58" s="449"/>
      <c r="FR58" s="449"/>
      <c r="FS58" s="449"/>
      <c r="FT58" s="449"/>
      <c r="FU58" s="449"/>
      <c r="FV58" s="449"/>
      <c r="FW58" s="449"/>
      <c r="FX58" s="449"/>
      <c r="FY58" s="449"/>
      <c r="FZ58" s="449"/>
      <c r="GA58" s="449"/>
      <c r="GB58" s="449"/>
      <c r="GC58" s="449"/>
      <c r="GD58" s="449"/>
      <c r="GE58" s="449"/>
      <c r="GF58" s="449"/>
      <c r="GG58" s="449"/>
      <c r="GH58" s="449"/>
      <c r="GI58" s="449"/>
      <c r="GJ58" s="449"/>
      <c r="GK58" s="449"/>
      <c r="GL58" s="449"/>
      <c r="GM58" s="449"/>
      <c r="GN58" s="449"/>
      <c r="GO58" s="449"/>
      <c r="GP58" s="449"/>
      <c r="GQ58" s="449"/>
      <c r="GR58" s="449"/>
      <c r="GS58" s="449"/>
      <c r="GT58" s="449"/>
      <c r="GU58" s="449"/>
      <c r="GV58" s="449"/>
      <c r="GW58" s="449"/>
      <c r="GX58" s="449"/>
      <c r="GY58" s="449"/>
      <c r="GZ58" s="449"/>
      <c r="HA58" s="449"/>
      <c r="HB58" s="449"/>
      <c r="HC58" s="449"/>
      <c r="HD58" s="449"/>
      <c r="HE58" s="449"/>
      <c r="HF58" s="449"/>
      <c r="HG58" s="449"/>
      <c r="HH58" s="449"/>
      <c r="HI58" s="449"/>
      <c r="HJ58" s="449"/>
      <c r="HK58" s="449"/>
      <c r="HL58" s="449"/>
      <c r="HM58" s="449"/>
      <c r="HN58" s="449"/>
      <c r="HO58" s="449"/>
      <c r="HP58" s="449"/>
      <c r="HQ58" s="449"/>
      <c r="HR58" s="449"/>
      <c r="HS58" s="449"/>
      <c r="HT58" s="449"/>
      <c r="HU58" s="449"/>
      <c r="HV58" s="449"/>
      <c r="HW58" s="449"/>
      <c r="HX58" s="449"/>
      <c r="HY58" s="449"/>
      <c r="HZ58" s="449"/>
      <c r="IA58" s="449"/>
      <c r="IB58" s="449"/>
      <c r="IC58" s="449"/>
      <c r="ID58" s="449"/>
      <c r="IE58" s="449"/>
      <c r="IF58" s="449"/>
      <c r="IG58" s="449"/>
      <c r="IH58" s="449"/>
      <c r="II58" s="449"/>
      <c r="IJ58" s="449"/>
      <c r="IK58" s="449"/>
      <c r="IL58" s="449"/>
      <c r="IM58" s="449"/>
      <c r="IN58" s="449"/>
      <c r="IO58" s="449"/>
      <c r="IP58" s="449"/>
      <c r="IQ58" s="449"/>
      <c r="IR58" s="449"/>
      <c r="IS58" s="449"/>
      <c r="IT58" s="449"/>
      <c r="IU58" s="449"/>
      <c r="IV58" s="449"/>
      <c r="IW58" s="449"/>
    </row>
    <row r="59" customFormat="false" ht="12.75" hidden="false" customHeight="false" outlineLevel="0" collapsed="false">
      <c r="A59" s="481"/>
      <c r="B59" s="456"/>
      <c r="C59" s="475" t="s">
        <v>891</v>
      </c>
      <c r="D59" s="471"/>
      <c r="E59" s="482" t="n">
        <f aca="false">SUM(E51:E58)</f>
        <v>0.702459259259259</v>
      </c>
      <c r="F59" s="482" t="n">
        <f aca="false">SUM(F51:F58)</f>
        <v>0.702459259259259</v>
      </c>
      <c r="G59" s="482" t="n">
        <f aca="false">SUM(G51:G58)</f>
        <v>0.702459259259259</v>
      </c>
      <c r="H59" s="482" t="n">
        <f aca="false">SUM(H51:H58)</f>
        <v>0.702459259259259</v>
      </c>
      <c r="I59" s="482" t="n">
        <f aca="false">SUM(I51:I58)</f>
        <v>0.702459259259259</v>
      </c>
      <c r="J59" s="482" t="n">
        <f aca="false">SUM(J51:J58)</f>
        <v>0.702459259259259</v>
      </c>
      <c r="K59" s="483"/>
      <c r="L59" s="484"/>
      <c r="M59" s="484"/>
      <c r="N59" s="484"/>
      <c r="O59" s="484"/>
      <c r="P59" s="484"/>
      <c r="Q59" s="484"/>
      <c r="R59" s="484"/>
      <c r="S59" s="484"/>
      <c r="T59" s="485"/>
      <c r="U59" s="485"/>
      <c r="V59" s="485"/>
      <c r="W59" s="485"/>
      <c r="X59" s="485"/>
      <c r="Y59" s="485"/>
      <c r="Z59" s="485"/>
      <c r="AA59" s="485"/>
      <c r="AB59" s="485"/>
      <c r="AC59" s="485"/>
      <c r="AD59" s="485"/>
      <c r="AE59" s="485"/>
      <c r="AF59" s="485"/>
      <c r="AG59" s="485"/>
      <c r="AH59" s="485"/>
      <c r="AI59" s="485"/>
      <c r="AJ59" s="485"/>
      <c r="AK59" s="485"/>
      <c r="AL59" s="485"/>
      <c r="AM59" s="485"/>
      <c r="AN59" s="485"/>
      <c r="AO59" s="485"/>
      <c r="AP59" s="485"/>
      <c r="AQ59" s="485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71"/>
      <c r="BC59" s="471"/>
      <c r="BD59" s="471"/>
      <c r="BE59" s="471"/>
      <c r="BF59" s="471"/>
      <c r="BG59" s="471"/>
      <c r="BH59" s="471"/>
      <c r="BI59" s="471"/>
      <c r="BJ59" s="471"/>
      <c r="BK59" s="471"/>
      <c r="BL59" s="471"/>
      <c r="BM59" s="471"/>
      <c r="BN59" s="471"/>
      <c r="BO59" s="471"/>
      <c r="BP59" s="471"/>
      <c r="BQ59" s="471"/>
      <c r="BR59" s="471"/>
      <c r="BS59" s="471"/>
      <c r="BT59" s="471"/>
      <c r="BU59" s="471"/>
      <c r="BV59" s="471"/>
      <c r="BW59" s="471"/>
      <c r="BX59" s="471"/>
      <c r="BY59" s="471"/>
      <c r="BZ59" s="471"/>
      <c r="CA59" s="471"/>
      <c r="CB59" s="471"/>
      <c r="CC59" s="471"/>
      <c r="CD59" s="471"/>
      <c r="CE59" s="471"/>
      <c r="CF59" s="471"/>
      <c r="CG59" s="471"/>
      <c r="CH59" s="471"/>
      <c r="CI59" s="471"/>
      <c r="CJ59" s="471"/>
      <c r="CK59" s="471"/>
      <c r="CL59" s="471"/>
      <c r="CM59" s="471"/>
      <c r="CN59" s="471"/>
      <c r="CO59" s="471"/>
      <c r="CP59" s="471"/>
      <c r="CQ59" s="471"/>
      <c r="CR59" s="471"/>
      <c r="CS59" s="471"/>
      <c r="CT59" s="471"/>
      <c r="CU59" s="471"/>
      <c r="CV59" s="471"/>
      <c r="CW59" s="471"/>
      <c r="CX59" s="471"/>
      <c r="CY59" s="471"/>
      <c r="CZ59" s="471"/>
      <c r="DA59" s="471"/>
      <c r="DB59" s="471"/>
      <c r="DC59" s="471"/>
      <c r="DD59" s="471"/>
      <c r="DE59" s="471"/>
      <c r="DF59" s="471"/>
      <c r="DG59" s="471"/>
      <c r="DH59" s="471"/>
      <c r="DI59" s="471"/>
      <c r="DJ59" s="471"/>
      <c r="DK59" s="471"/>
      <c r="DL59" s="471"/>
      <c r="DM59" s="471"/>
      <c r="DN59" s="471"/>
      <c r="DO59" s="471"/>
      <c r="DP59" s="471"/>
      <c r="DQ59" s="471"/>
      <c r="DR59" s="471"/>
      <c r="DS59" s="471"/>
      <c r="DT59" s="471"/>
      <c r="DU59" s="471"/>
      <c r="DV59" s="471"/>
      <c r="DW59" s="471"/>
      <c r="DX59" s="471"/>
      <c r="DY59" s="471"/>
      <c r="DZ59" s="471"/>
      <c r="EA59" s="471"/>
      <c r="EB59" s="471"/>
      <c r="EC59" s="471"/>
      <c r="ED59" s="471"/>
      <c r="EE59" s="471"/>
      <c r="EF59" s="471"/>
      <c r="EG59" s="471"/>
      <c r="EH59" s="471"/>
      <c r="EI59" s="471"/>
      <c r="EJ59" s="471"/>
      <c r="EK59" s="471"/>
      <c r="EL59" s="471"/>
      <c r="EM59" s="471"/>
      <c r="EN59" s="471"/>
      <c r="EO59" s="471"/>
      <c r="EP59" s="471"/>
      <c r="EQ59" s="471"/>
      <c r="ER59" s="471"/>
      <c r="ES59" s="471"/>
      <c r="ET59" s="471"/>
      <c r="EU59" s="471"/>
      <c r="EV59" s="471"/>
      <c r="EW59" s="471"/>
      <c r="EX59" s="471"/>
      <c r="EY59" s="471"/>
      <c r="EZ59" s="471"/>
      <c r="FA59" s="471"/>
      <c r="FB59" s="471"/>
      <c r="FC59" s="471"/>
      <c r="FD59" s="471"/>
      <c r="FE59" s="471"/>
      <c r="FF59" s="471"/>
      <c r="FG59" s="471"/>
      <c r="FH59" s="471"/>
      <c r="FI59" s="471"/>
      <c r="FJ59" s="471"/>
      <c r="FK59" s="471"/>
      <c r="FL59" s="471"/>
      <c r="FM59" s="471"/>
      <c r="FN59" s="471"/>
      <c r="FO59" s="471"/>
      <c r="FP59" s="471"/>
      <c r="FQ59" s="471"/>
      <c r="FR59" s="471"/>
      <c r="FS59" s="471"/>
      <c r="FT59" s="471"/>
      <c r="FU59" s="471"/>
      <c r="FV59" s="471"/>
      <c r="FW59" s="471"/>
      <c r="FX59" s="471"/>
      <c r="FY59" s="471"/>
      <c r="FZ59" s="471"/>
      <c r="GA59" s="471"/>
      <c r="GB59" s="471"/>
      <c r="GC59" s="471"/>
      <c r="GD59" s="471"/>
      <c r="GE59" s="471"/>
      <c r="GF59" s="471"/>
      <c r="GG59" s="471"/>
      <c r="GH59" s="471"/>
      <c r="GI59" s="471"/>
      <c r="GJ59" s="471"/>
      <c r="GK59" s="471"/>
      <c r="GL59" s="471"/>
      <c r="GM59" s="471"/>
      <c r="GN59" s="471"/>
      <c r="GO59" s="471"/>
      <c r="GP59" s="471"/>
      <c r="GQ59" s="471"/>
      <c r="GR59" s="471"/>
      <c r="GS59" s="471"/>
      <c r="GT59" s="471"/>
      <c r="GU59" s="471"/>
      <c r="GV59" s="471"/>
      <c r="GW59" s="471"/>
      <c r="GX59" s="471"/>
      <c r="GY59" s="471"/>
      <c r="GZ59" s="471"/>
      <c r="HA59" s="471"/>
      <c r="HB59" s="471"/>
      <c r="HC59" s="471"/>
      <c r="HD59" s="471"/>
      <c r="HE59" s="471"/>
      <c r="HF59" s="471"/>
      <c r="HG59" s="471"/>
      <c r="HH59" s="471"/>
      <c r="HI59" s="471"/>
      <c r="HJ59" s="471"/>
      <c r="HK59" s="471"/>
      <c r="HL59" s="471"/>
      <c r="HM59" s="471"/>
      <c r="HN59" s="471"/>
      <c r="HO59" s="471"/>
      <c r="HP59" s="471"/>
      <c r="HQ59" s="471"/>
      <c r="HR59" s="471"/>
      <c r="HS59" s="471"/>
      <c r="HT59" s="471"/>
      <c r="HU59" s="471"/>
      <c r="HV59" s="471"/>
      <c r="HW59" s="471"/>
      <c r="HX59" s="471"/>
      <c r="HY59" s="471"/>
      <c r="HZ59" s="471"/>
      <c r="IA59" s="471"/>
      <c r="IB59" s="471"/>
      <c r="IC59" s="471"/>
      <c r="ID59" s="471"/>
      <c r="IE59" s="471"/>
      <c r="IF59" s="471"/>
      <c r="IG59" s="471"/>
      <c r="IH59" s="471"/>
      <c r="II59" s="471"/>
      <c r="IJ59" s="471"/>
      <c r="IK59" s="471"/>
      <c r="IL59" s="471"/>
      <c r="IM59" s="471"/>
      <c r="IN59" s="471"/>
      <c r="IO59" s="471"/>
      <c r="IP59" s="471"/>
      <c r="IQ59" s="471"/>
      <c r="IR59" s="471"/>
      <c r="IS59" s="471"/>
      <c r="IT59" s="471"/>
      <c r="IU59" s="471"/>
      <c r="IV59" s="471"/>
      <c r="IW59" s="471"/>
    </row>
    <row r="60" customFormat="false" ht="12.75" hidden="false" customHeight="false" outlineLevel="0" collapsed="false">
      <c r="A60" s="481"/>
      <c r="B60" s="456"/>
      <c r="C60" s="475" t="s">
        <v>892</v>
      </c>
      <c r="D60" s="471"/>
      <c r="E60" s="482" t="n">
        <f aca="false">E51+E52+E53+E55+E56</f>
        <v>0.5312</v>
      </c>
      <c r="F60" s="482" t="n">
        <f aca="false">F51+F52+F53+F55+F56</f>
        <v>0.5312</v>
      </c>
      <c r="G60" s="482" t="n">
        <f aca="false">G51+G52+G53+G55+G56</f>
        <v>0.5312</v>
      </c>
      <c r="H60" s="482" t="n">
        <f aca="false">H51+H52+H53+H55+H56</f>
        <v>0.5312</v>
      </c>
      <c r="I60" s="482" t="n">
        <f aca="false">I51+I52+I53+I55+I56</f>
        <v>0.5312</v>
      </c>
      <c r="J60" s="482" t="n">
        <f aca="false">J51+J52+J53+J55+J56</f>
        <v>0.5312</v>
      </c>
      <c r="K60" s="486"/>
      <c r="L60" s="473"/>
      <c r="M60" s="473"/>
      <c r="N60" s="473"/>
      <c r="O60" s="473"/>
      <c r="P60" s="473"/>
      <c r="Q60" s="473"/>
      <c r="R60" s="473"/>
      <c r="S60" s="473"/>
      <c r="T60" s="471"/>
      <c r="U60" s="471"/>
      <c r="V60" s="471"/>
      <c r="W60" s="471"/>
      <c r="X60" s="471"/>
      <c r="Y60" s="471"/>
      <c r="Z60" s="471"/>
      <c r="AA60" s="471"/>
      <c r="AB60" s="471"/>
      <c r="AC60" s="471"/>
      <c r="AD60" s="471"/>
      <c r="AE60" s="471"/>
      <c r="AF60" s="471"/>
      <c r="AG60" s="471"/>
      <c r="AH60" s="471"/>
      <c r="AI60" s="471"/>
      <c r="AJ60" s="471"/>
      <c r="AK60" s="471"/>
      <c r="AL60" s="471"/>
      <c r="AM60" s="471"/>
      <c r="AN60" s="471"/>
      <c r="AO60" s="471"/>
      <c r="AP60" s="471"/>
      <c r="AQ60" s="471"/>
      <c r="AR60" s="471"/>
      <c r="AS60" s="471"/>
      <c r="AT60" s="471"/>
      <c r="AU60" s="471"/>
      <c r="AV60" s="471"/>
      <c r="AW60" s="471"/>
      <c r="AX60" s="471"/>
      <c r="AY60" s="471"/>
      <c r="AZ60" s="471"/>
      <c r="BA60" s="471"/>
      <c r="BB60" s="471"/>
      <c r="BC60" s="471"/>
      <c r="BD60" s="471"/>
      <c r="BE60" s="471"/>
      <c r="BF60" s="471"/>
      <c r="BG60" s="471"/>
      <c r="BH60" s="471"/>
      <c r="BI60" s="471"/>
      <c r="BJ60" s="471"/>
      <c r="BK60" s="471"/>
      <c r="BL60" s="471"/>
      <c r="BM60" s="471"/>
      <c r="BN60" s="471"/>
      <c r="BO60" s="471"/>
      <c r="BP60" s="471"/>
      <c r="BQ60" s="471"/>
      <c r="BR60" s="471"/>
      <c r="BS60" s="471"/>
      <c r="BT60" s="471"/>
      <c r="BU60" s="471"/>
      <c r="BV60" s="471"/>
      <c r="BW60" s="471"/>
      <c r="BX60" s="471"/>
      <c r="BY60" s="471"/>
      <c r="BZ60" s="471"/>
      <c r="CA60" s="471"/>
      <c r="CB60" s="471"/>
      <c r="CC60" s="471"/>
      <c r="CD60" s="471"/>
      <c r="CE60" s="471"/>
      <c r="CF60" s="471"/>
      <c r="CG60" s="471"/>
      <c r="CH60" s="471"/>
      <c r="CI60" s="471"/>
      <c r="CJ60" s="471"/>
      <c r="CK60" s="471"/>
      <c r="CL60" s="471"/>
      <c r="CM60" s="471"/>
      <c r="CN60" s="471"/>
      <c r="CO60" s="471"/>
      <c r="CP60" s="471"/>
      <c r="CQ60" s="471"/>
      <c r="CR60" s="471"/>
      <c r="CS60" s="471"/>
      <c r="CT60" s="471"/>
      <c r="CU60" s="471"/>
      <c r="CV60" s="471"/>
      <c r="CW60" s="471"/>
      <c r="CX60" s="471"/>
      <c r="CY60" s="471"/>
      <c r="CZ60" s="471"/>
      <c r="DA60" s="471"/>
      <c r="DB60" s="471"/>
      <c r="DC60" s="471"/>
      <c r="DD60" s="471"/>
      <c r="DE60" s="471"/>
      <c r="DF60" s="471"/>
      <c r="DG60" s="471"/>
      <c r="DH60" s="471"/>
      <c r="DI60" s="471"/>
      <c r="DJ60" s="471"/>
      <c r="DK60" s="471"/>
      <c r="DL60" s="471"/>
      <c r="DM60" s="471"/>
      <c r="DN60" s="471"/>
      <c r="DO60" s="471"/>
      <c r="DP60" s="471"/>
      <c r="DQ60" s="471"/>
      <c r="DR60" s="471"/>
      <c r="DS60" s="471"/>
      <c r="DT60" s="471"/>
      <c r="DU60" s="471"/>
      <c r="DV60" s="471"/>
      <c r="DW60" s="471"/>
      <c r="DX60" s="471"/>
      <c r="DY60" s="471"/>
      <c r="DZ60" s="471"/>
      <c r="EA60" s="471"/>
      <c r="EB60" s="471"/>
      <c r="EC60" s="471"/>
      <c r="ED60" s="471"/>
      <c r="EE60" s="471"/>
      <c r="EF60" s="471"/>
      <c r="EG60" s="471"/>
      <c r="EH60" s="471"/>
      <c r="EI60" s="471"/>
      <c r="EJ60" s="471"/>
      <c r="EK60" s="471"/>
      <c r="EL60" s="471"/>
      <c r="EM60" s="471"/>
      <c r="EN60" s="471"/>
      <c r="EO60" s="471"/>
      <c r="EP60" s="471"/>
      <c r="EQ60" s="471"/>
      <c r="ER60" s="471"/>
      <c r="ES60" s="471"/>
      <c r="ET60" s="471"/>
      <c r="EU60" s="471"/>
      <c r="EV60" s="471"/>
      <c r="EW60" s="471"/>
      <c r="EX60" s="471"/>
      <c r="EY60" s="471"/>
      <c r="EZ60" s="471"/>
      <c r="FA60" s="471"/>
      <c r="FB60" s="471"/>
      <c r="FC60" s="471"/>
      <c r="FD60" s="471"/>
      <c r="FE60" s="471"/>
      <c r="FF60" s="471"/>
      <c r="FG60" s="471"/>
      <c r="FH60" s="471"/>
      <c r="FI60" s="471"/>
      <c r="FJ60" s="471"/>
      <c r="FK60" s="471"/>
      <c r="FL60" s="471"/>
      <c r="FM60" s="471"/>
      <c r="FN60" s="471"/>
      <c r="FO60" s="471"/>
      <c r="FP60" s="471"/>
      <c r="FQ60" s="471"/>
      <c r="FR60" s="471"/>
      <c r="FS60" s="471"/>
      <c r="FT60" s="471"/>
      <c r="FU60" s="471"/>
      <c r="FV60" s="471"/>
      <c r="FW60" s="471"/>
      <c r="FX60" s="471"/>
      <c r="FY60" s="471"/>
      <c r="FZ60" s="471"/>
      <c r="GA60" s="471"/>
      <c r="GB60" s="471"/>
      <c r="GC60" s="471"/>
      <c r="GD60" s="471"/>
      <c r="GE60" s="471"/>
      <c r="GF60" s="471"/>
      <c r="GG60" s="471"/>
      <c r="GH60" s="471"/>
      <c r="GI60" s="471"/>
      <c r="GJ60" s="471"/>
      <c r="GK60" s="471"/>
      <c r="GL60" s="471"/>
      <c r="GM60" s="471"/>
      <c r="GN60" s="471"/>
      <c r="GO60" s="471"/>
      <c r="GP60" s="471"/>
      <c r="GQ60" s="471"/>
      <c r="GR60" s="471"/>
      <c r="GS60" s="471"/>
      <c r="GT60" s="471"/>
      <c r="GU60" s="471"/>
      <c r="GV60" s="471"/>
      <c r="GW60" s="471"/>
      <c r="GX60" s="471"/>
      <c r="GY60" s="471"/>
      <c r="GZ60" s="471"/>
      <c r="HA60" s="471"/>
      <c r="HB60" s="471"/>
      <c r="HC60" s="471"/>
      <c r="HD60" s="471"/>
      <c r="HE60" s="471"/>
      <c r="HF60" s="471"/>
      <c r="HG60" s="471"/>
      <c r="HH60" s="471"/>
      <c r="HI60" s="471"/>
      <c r="HJ60" s="471"/>
      <c r="HK60" s="471"/>
      <c r="HL60" s="471"/>
      <c r="HM60" s="471"/>
      <c r="HN60" s="471"/>
      <c r="HO60" s="471"/>
      <c r="HP60" s="471"/>
      <c r="HQ60" s="471"/>
      <c r="HR60" s="471"/>
      <c r="HS60" s="471"/>
      <c r="HT60" s="471"/>
      <c r="HU60" s="471"/>
      <c r="HV60" s="471"/>
      <c r="HW60" s="471"/>
      <c r="HX60" s="471"/>
      <c r="HY60" s="471"/>
      <c r="HZ60" s="471"/>
      <c r="IA60" s="471"/>
      <c r="IB60" s="471"/>
      <c r="IC60" s="471"/>
      <c r="ID60" s="471"/>
      <c r="IE60" s="471"/>
      <c r="IF60" s="471"/>
      <c r="IG60" s="471"/>
      <c r="IH60" s="471"/>
      <c r="II60" s="471"/>
      <c r="IJ60" s="471"/>
      <c r="IK60" s="471"/>
      <c r="IL60" s="471"/>
      <c r="IM60" s="471"/>
      <c r="IN60" s="471"/>
      <c r="IO60" s="471"/>
      <c r="IP60" s="471"/>
      <c r="IQ60" s="471"/>
      <c r="IR60" s="471"/>
      <c r="IS60" s="471"/>
      <c r="IT60" s="471"/>
      <c r="IU60" s="471"/>
      <c r="IV60" s="471"/>
      <c r="IW60" s="471"/>
    </row>
    <row r="61" customFormat="false" ht="12.75" hidden="false" customHeight="false" outlineLevel="0" collapsed="false">
      <c r="A61" s="0"/>
      <c r="B61" s="0"/>
      <c r="C61" s="0"/>
      <c r="D61" s="0"/>
      <c r="E61" s="0"/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12.75" hidden="false" customHeight="false" outlineLevel="0" collapsed="false">
      <c r="A62" s="0" t="n">
        <f aca="false">A109+1</f>
        <v>64</v>
      </c>
      <c r="B62" s="0"/>
      <c r="C62" s="17" t="s">
        <v>893</v>
      </c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12.75" hidden="false" customHeight="false" outlineLevel="0" collapsed="false">
      <c r="A63" s="461" t="n">
        <f aca="false">A62+1</f>
        <v>65</v>
      </c>
      <c r="C63" s="487" t="s">
        <v>894</v>
      </c>
      <c r="D63" s="449"/>
      <c r="E63" s="468"/>
      <c r="F63" s="468"/>
      <c r="G63" s="468"/>
      <c r="H63" s="468"/>
      <c r="I63" s="468"/>
      <c r="J63" s="468"/>
      <c r="K63" s="468"/>
      <c r="L63" s="474"/>
      <c r="M63" s="474"/>
      <c r="N63" s="474"/>
      <c r="O63" s="474"/>
      <c r="P63" s="474"/>
      <c r="Q63" s="474"/>
      <c r="R63" s="474"/>
      <c r="S63" s="474"/>
      <c r="T63" s="449"/>
      <c r="U63" s="449"/>
      <c r="V63" s="449"/>
      <c r="W63" s="449"/>
      <c r="X63" s="449"/>
      <c r="Y63" s="449"/>
      <c r="Z63" s="449"/>
      <c r="AA63" s="449"/>
      <c r="AB63" s="449"/>
      <c r="AC63" s="449"/>
      <c r="AD63" s="449"/>
      <c r="AE63" s="449"/>
      <c r="AF63" s="449"/>
      <c r="AG63" s="449"/>
      <c r="AH63" s="449"/>
      <c r="AI63" s="449"/>
      <c r="AJ63" s="449"/>
      <c r="AK63" s="449"/>
      <c r="AL63" s="449"/>
      <c r="AM63" s="449"/>
      <c r="AN63" s="449"/>
      <c r="AO63" s="449"/>
      <c r="AP63" s="449"/>
      <c r="AQ63" s="449"/>
      <c r="AR63" s="449"/>
      <c r="AS63" s="449"/>
      <c r="AT63" s="449"/>
      <c r="AU63" s="449"/>
      <c r="AV63" s="449"/>
      <c r="AW63" s="449"/>
      <c r="AX63" s="449"/>
      <c r="AY63" s="449"/>
      <c r="AZ63" s="449"/>
      <c r="BA63" s="449"/>
      <c r="BB63" s="449"/>
      <c r="BC63" s="449"/>
      <c r="BD63" s="449"/>
      <c r="BE63" s="449"/>
      <c r="BF63" s="449"/>
      <c r="BG63" s="449"/>
      <c r="BH63" s="449"/>
      <c r="BI63" s="449"/>
      <c r="BJ63" s="449"/>
      <c r="BK63" s="449"/>
      <c r="BL63" s="449"/>
      <c r="BM63" s="449"/>
      <c r="BN63" s="449"/>
      <c r="BO63" s="449"/>
      <c r="BP63" s="449"/>
      <c r="BQ63" s="449"/>
      <c r="BR63" s="449"/>
      <c r="BS63" s="449"/>
      <c r="BT63" s="449"/>
      <c r="BU63" s="449"/>
      <c r="BV63" s="449"/>
      <c r="BW63" s="449"/>
      <c r="BX63" s="449"/>
      <c r="BY63" s="449"/>
      <c r="BZ63" s="449"/>
      <c r="CA63" s="449"/>
      <c r="CB63" s="449"/>
      <c r="CC63" s="449"/>
      <c r="CD63" s="449"/>
      <c r="CE63" s="449"/>
      <c r="CF63" s="449"/>
      <c r="CG63" s="449"/>
      <c r="CH63" s="449"/>
      <c r="CI63" s="449"/>
      <c r="CJ63" s="449"/>
      <c r="CK63" s="449"/>
      <c r="CL63" s="449"/>
      <c r="CM63" s="449"/>
      <c r="CN63" s="449"/>
      <c r="CO63" s="449"/>
      <c r="CP63" s="449"/>
      <c r="CQ63" s="449"/>
      <c r="CR63" s="449"/>
      <c r="CS63" s="449"/>
      <c r="CT63" s="449"/>
      <c r="CU63" s="449"/>
      <c r="CV63" s="449"/>
      <c r="CW63" s="449"/>
      <c r="CX63" s="449"/>
      <c r="CY63" s="449"/>
      <c r="CZ63" s="449"/>
      <c r="DA63" s="449"/>
      <c r="DB63" s="449"/>
      <c r="DC63" s="449"/>
      <c r="DD63" s="449"/>
      <c r="DE63" s="449"/>
      <c r="DF63" s="449"/>
      <c r="DG63" s="449"/>
      <c r="DH63" s="449"/>
      <c r="DI63" s="449"/>
      <c r="DJ63" s="449"/>
      <c r="DK63" s="449"/>
      <c r="DL63" s="449"/>
      <c r="DM63" s="449"/>
      <c r="DN63" s="449"/>
      <c r="DO63" s="449"/>
      <c r="DP63" s="449"/>
      <c r="DQ63" s="449"/>
      <c r="DR63" s="449"/>
      <c r="DS63" s="449"/>
      <c r="DT63" s="449"/>
      <c r="DU63" s="449"/>
      <c r="DV63" s="449"/>
      <c r="DW63" s="449"/>
      <c r="DX63" s="449"/>
      <c r="DY63" s="449"/>
      <c r="DZ63" s="449"/>
      <c r="EA63" s="449"/>
      <c r="EB63" s="449"/>
      <c r="EC63" s="449"/>
      <c r="ED63" s="449"/>
      <c r="EE63" s="449"/>
      <c r="EF63" s="449"/>
      <c r="EG63" s="449"/>
      <c r="EH63" s="449"/>
      <c r="EI63" s="449"/>
      <c r="EJ63" s="449"/>
      <c r="EK63" s="449"/>
      <c r="EL63" s="449"/>
      <c r="EM63" s="449"/>
      <c r="EN63" s="449"/>
      <c r="EO63" s="449"/>
      <c r="EP63" s="449"/>
      <c r="EQ63" s="449"/>
      <c r="ER63" s="449"/>
      <c r="ES63" s="449"/>
      <c r="ET63" s="449"/>
      <c r="EU63" s="449"/>
      <c r="EV63" s="449"/>
      <c r="EW63" s="449"/>
      <c r="EX63" s="449"/>
      <c r="EY63" s="449"/>
      <c r="EZ63" s="449"/>
      <c r="FA63" s="449"/>
      <c r="FB63" s="449"/>
      <c r="FC63" s="449"/>
      <c r="FD63" s="449"/>
      <c r="FE63" s="449"/>
      <c r="FF63" s="449"/>
      <c r="FG63" s="449"/>
      <c r="FH63" s="449"/>
      <c r="FI63" s="449"/>
      <c r="FJ63" s="449"/>
      <c r="FK63" s="449"/>
      <c r="FL63" s="449"/>
      <c r="FM63" s="449"/>
      <c r="FN63" s="449"/>
      <c r="FO63" s="449"/>
      <c r="FP63" s="449"/>
      <c r="FQ63" s="449"/>
      <c r="FR63" s="449"/>
      <c r="FS63" s="449"/>
      <c r="FT63" s="449"/>
      <c r="FU63" s="449"/>
      <c r="FV63" s="449"/>
      <c r="FW63" s="449"/>
      <c r="FX63" s="449"/>
      <c r="FY63" s="449"/>
      <c r="FZ63" s="449"/>
      <c r="GA63" s="449"/>
      <c r="GB63" s="449"/>
      <c r="GC63" s="449"/>
      <c r="GD63" s="449"/>
      <c r="GE63" s="449"/>
      <c r="GF63" s="449"/>
      <c r="GG63" s="449"/>
      <c r="GH63" s="449"/>
      <c r="GI63" s="449"/>
      <c r="GJ63" s="449"/>
      <c r="GK63" s="449"/>
      <c r="GL63" s="449"/>
      <c r="GM63" s="449"/>
      <c r="GN63" s="449"/>
      <c r="GO63" s="449"/>
      <c r="GP63" s="449"/>
      <c r="GQ63" s="449"/>
      <c r="GR63" s="449"/>
      <c r="GS63" s="449"/>
      <c r="GT63" s="449"/>
      <c r="GU63" s="449"/>
      <c r="GV63" s="449"/>
      <c r="GW63" s="449"/>
      <c r="GX63" s="449"/>
      <c r="GY63" s="449"/>
      <c r="GZ63" s="449"/>
      <c r="HA63" s="449"/>
      <c r="HB63" s="449"/>
      <c r="HC63" s="449"/>
      <c r="HD63" s="449"/>
      <c r="HE63" s="449"/>
      <c r="HF63" s="449"/>
      <c r="HG63" s="449"/>
      <c r="HH63" s="449"/>
      <c r="HI63" s="449"/>
      <c r="HJ63" s="449"/>
      <c r="HK63" s="449"/>
      <c r="HL63" s="449"/>
      <c r="HM63" s="449"/>
      <c r="HN63" s="449"/>
      <c r="HO63" s="449"/>
      <c r="HP63" s="449"/>
      <c r="HQ63" s="449"/>
      <c r="HR63" s="449"/>
      <c r="HS63" s="449"/>
      <c r="HT63" s="449"/>
      <c r="HU63" s="449"/>
      <c r="HV63" s="449"/>
      <c r="HW63" s="449"/>
      <c r="HX63" s="449"/>
      <c r="HY63" s="449"/>
      <c r="HZ63" s="449"/>
      <c r="IA63" s="449"/>
      <c r="IB63" s="449"/>
      <c r="IC63" s="449"/>
      <c r="ID63" s="449"/>
      <c r="IE63" s="449"/>
      <c r="IF63" s="449"/>
      <c r="IG63" s="449"/>
      <c r="IH63" s="449"/>
      <c r="II63" s="449"/>
      <c r="IJ63" s="449"/>
      <c r="IK63" s="449"/>
      <c r="IL63" s="449"/>
      <c r="IM63" s="449"/>
      <c r="IN63" s="449"/>
      <c r="IO63" s="449"/>
      <c r="IP63" s="449"/>
      <c r="IQ63" s="449"/>
      <c r="IR63" s="449"/>
      <c r="IS63" s="449"/>
      <c r="IT63" s="449"/>
      <c r="IU63" s="449"/>
      <c r="IV63" s="449"/>
      <c r="IW63" s="449"/>
    </row>
    <row r="64" customFormat="false" ht="12.75" hidden="false" customHeight="false" outlineLevel="0" collapsed="false">
      <c r="A64" s="461" t="n">
        <f aca="false">A63+1</f>
        <v>66</v>
      </c>
      <c r="C64" s="487" t="s">
        <v>895</v>
      </c>
      <c r="D64" s="449"/>
      <c r="E64" s="468"/>
      <c r="F64" s="468"/>
      <c r="G64" s="468"/>
      <c r="H64" s="468"/>
      <c r="I64" s="468"/>
      <c r="J64" s="468"/>
      <c r="K64" s="468"/>
      <c r="L64" s="474"/>
      <c r="M64" s="474"/>
      <c r="N64" s="474"/>
      <c r="O64" s="474"/>
      <c r="P64" s="474"/>
      <c r="Q64" s="474"/>
      <c r="R64" s="474"/>
      <c r="S64" s="474"/>
      <c r="T64" s="449"/>
      <c r="U64" s="449"/>
      <c r="V64" s="449"/>
      <c r="W64" s="449"/>
      <c r="X64" s="449"/>
      <c r="Y64" s="449"/>
      <c r="Z64" s="449"/>
      <c r="AA64" s="449"/>
      <c r="AB64" s="449"/>
      <c r="AC64" s="449"/>
      <c r="AD64" s="449"/>
      <c r="AE64" s="449"/>
      <c r="AF64" s="449"/>
      <c r="AG64" s="449"/>
      <c r="AH64" s="449"/>
      <c r="AI64" s="449"/>
      <c r="AJ64" s="449"/>
      <c r="AK64" s="449"/>
      <c r="AL64" s="449"/>
      <c r="AM64" s="449"/>
      <c r="AN64" s="449"/>
      <c r="AO64" s="449"/>
      <c r="AP64" s="449"/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49"/>
      <c r="BH64" s="449"/>
      <c r="BI64" s="449"/>
      <c r="BJ64" s="449"/>
      <c r="BK64" s="449"/>
      <c r="BL64" s="449"/>
      <c r="BM64" s="449"/>
      <c r="BN64" s="449"/>
      <c r="BO64" s="449"/>
      <c r="BP64" s="449"/>
      <c r="BQ64" s="449"/>
      <c r="BR64" s="449"/>
      <c r="BS64" s="449"/>
      <c r="BT64" s="449"/>
      <c r="BU64" s="449"/>
      <c r="BV64" s="449"/>
      <c r="BW64" s="449"/>
      <c r="BX64" s="449"/>
      <c r="BY64" s="449"/>
      <c r="BZ64" s="449"/>
      <c r="CA64" s="449"/>
      <c r="CB64" s="449"/>
      <c r="CC64" s="449"/>
      <c r="CD64" s="449"/>
      <c r="CE64" s="449"/>
      <c r="CF64" s="449"/>
      <c r="CG64" s="449"/>
      <c r="CH64" s="449"/>
      <c r="CI64" s="449"/>
      <c r="CJ64" s="449"/>
      <c r="CK64" s="449"/>
      <c r="CL64" s="449"/>
      <c r="CM64" s="449"/>
      <c r="CN64" s="449"/>
      <c r="CO64" s="449"/>
      <c r="CP64" s="449"/>
      <c r="CQ64" s="449"/>
      <c r="CR64" s="449"/>
      <c r="CS64" s="449"/>
      <c r="CT64" s="449"/>
      <c r="CU64" s="449"/>
      <c r="CV64" s="449"/>
      <c r="CW64" s="449"/>
      <c r="CX64" s="449"/>
      <c r="CY64" s="449"/>
      <c r="CZ64" s="449"/>
      <c r="DA64" s="449"/>
      <c r="DB64" s="449"/>
      <c r="DC64" s="449"/>
      <c r="DD64" s="449"/>
      <c r="DE64" s="449"/>
      <c r="DF64" s="449"/>
      <c r="DG64" s="449"/>
      <c r="DH64" s="449"/>
      <c r="DI64" s="449"/>
      <c r="DJ64" s="449"/>
      <c r="DK64" s="449"/>
      <c r="DL64" s="449"/>
      <c r="DM64" s="449"/>
      <c r="DN64" s="449"/>
      <c r="DO64" s="449"/>
      <c r="DP64" s="449"/>
      <c r="DQ64" s="449"/>
      <c r="DR64" s="449"/>
      <c r="DS64" s="449"/>
      <c r="DT64" s="449"/>
      <c r="DU64" s="449"/>
      <c r="DV64" s="449"/>
      <c r="DW64" s="449"/>
      <c r="DX64" s="449"/>
      <c r="DY64" s="449"/>
      <c r="DZ64" s="449"/>
      <c r="EA64" s="449"/>
      <c r="EB64" s="449"/>
      <c r="EC64" s="449"/>
      <c r="ED64" s="449"/>
      <c r="EE64" s="449"/>
      <c r="EF64" s="449"/>
      <c r="EG64" s="449"/>
      <c r="EH64" s="449"/>
      <c r="EI64" s="449"/>
      <c r="EJ64" s="449"/>
      <c r="EK64" s="449"/>
      <c r="EL64" s="449"/>
      <c r="EM64" s="449"/>
      <c r="EN64" s="449"/>
      <c r="EO64" s="449"/>
      <c r="EP64" s="449"/>
      <c r="EQ64" s="449"/>
      <c r="ER64" s="449"/>
      <c r="ES64" s="449"/>
      <c r="ET64" s="449"/>
      <c r="EU64" s="449"/>
      <c r="EV64" s="449"/>
      <c r="EW64" s="449"/>
      <c r="EX64" s="449"/>
      <c r="EY64" s="449"/>
      <c r="EZ64" s="449"/>
      <c r="FA64" s="449"/>
      <c r="FB64" s="449"/>
      <c r="FC64" s="449"/>
      <c r="FD64" s="449"/>
      <c r="FE64" s="449"/>
      <c r="FF64" s="449"/>
      <c r="FG64" s="449"/>
      <c r="FH64" s="449"/>
      <c r="FI64" s="449"/>
      <c r="FJ64" s="449"/>
      <c r="FK64" s="449"/>
      <c r="FL64" s="449"/>
      <c r="FM64" s="449"/>
      <c r="FN64" s="449"/>
      <c r="FO64" s="449"/>
      <c r="FP64" s="449"/>
      <c r="FQ64" s="449"/>
      <c r="FR64" s="449"/>
      <c r="FS64" s="449"/>
      <c r="FT64" s="449"/>
      <c r="FU64" s="449"/>
      <c r="FV64" s="449"/>
      <c r="FW64" s="449"/>
      <c r="FX64" s="449"/>
      <c r="FY64" s="449"/>
      <c r="FZ64" s="449"/>
      <c r="GA64" s="449"/>
      <c r="GB64" s="449"/>
      <c r="GC64" s="449"/>
      <c r="GD64" s="449"/>
      <c r="GE64" s="449"/>
      <c r="GF64" s="449"/>
      <c r="GG64" s="449"/>
      <c r="GH64" s="449"/>
      <c r="GI64" s="449"/>
      <c r="GJ64" s="449"/>
      <c r="GK64" s="449"/>
      <c r="GL64" s="449"/>
      <c r="GM64" s="449"/>
      <c r="GN64" s="449"/>
      <c r="GO64" s="449"/>
      <c r="GP64" s="449"/>
      <c r="GQ64" s="449"/>
      <c r="GR64" s="449"/>
      <c r="GS64" s="449"/>
      <c r="GT64" s="449"/>
      <c r="GU64" s="449"/>
      <c r="GV64" s="449"/>
      <c r="GW64" s="449"/>
      <c r="GX64" s="449"/>
      <c r="GY64" s="449"/>
      <c r="GZ64" s="449"/>
      <c r="HA64" s="449"/>
      <c r="HB64" s="449"/>
      <c r="HC64" s="449"/>
      <c r="HD64" s="449"/>
      <c r="HE64" s="449"/>
      <c r="HF64" s="449"/>
      <c r="HG64" s="449"/>
      <c r="HH64" s="449"/>
      <c r="HI64" s="449"/>
      <c r="HJ64" s="449"/>
      <c r="HK64" s="449"/>
      <c r="HL64" s="449"/>
      <c r="HM64" s="449"/>
      <c r="HN64" s="449"/>
      <c r="HO64" s="449"/>
      <c r="HP64" s="449"/>
      <c r="HQ64" s="449"/>
      <c r="HR64" s="449"/>
      <c r="HS64" s="449"/>
      <c r="HT64" s="449"/>
      <c r="HU64" s="449"/>
      <c r="HV64" s="449"/>
      <c r="HW64" s="449"/>
      <c r="HX64" s="449"/>
      <c r="HY64" s="449"/>
      <c r="HZ64" s="449"/>
      <c r="IA64" s="449"/>
      <c r="IB64" s="449"/>
      <c r="IC64" s="449"/>
      <c r="ID64" s="449"/>
      <c r="IE64" s="449"/>
      <c r="IF64" s="449"/>
      <c r="IG64" s="449"/>
      <c r="IH64" s="449"/>
      <c r="II64" s="449"/>
      <c r="IJ64" s="449"/>
      <c r="IK64" s="449"/>
      <c r="IL64" s="449"/>
      <c r="IM64" s="449"/>
      <c r="IN64" s="449"/>
      <c r="IO64" s="449"/>
      <c r="IP64" s="449"/>
      <c r="IQ64" s="449"/>
      <c r="IR64" s="449"/>
      <c r="IS64" s="449"/>
      <c r="IT64" s="449"/>
      <c r="IU64" s="449"/>
      <c r="IV64" s="449"/>
      <c r="IW64" s="449"/>
    </row>
    <row r="65" customFormat="false" ht="12.75" hidden="false" customHeight="false" outlineLevel="0" collapsed="false">
      <c r="A65" s="461" t="n">
        <f aca="false">A64+1</f>
        <v>67</v>
      </c>
      <c r="C65" s="487" t="s">
        <v>896</v>
      </c>
      <c r="D65" s="449"/>
      <c r="E65" s="468"/>
      <c r="F65" s="468"/>
      <c r="G65" s="468"/>
      <c r="H65" s="468"/>
      <c r="I65" s="468"/>
      <c r="J65" s="468"/>
      <c r="K65" s="468"/>
      <c r="L65" s="474"/>
      <c r="M65" s="474"/>
      <c r="N65" s="474"/>
      <c r="O65" s="474"/>
      <c r="P65" s="474"/>
      <c r="Q65" s="474"/>
      <c r="R65" s="474"/>
      <c r="S65" s="474"/>
      <c r="T65" s="449"/>
      <c r="U65" s="449"/>
      <c r="V65" s="449"/>
      <c r="W65" s="449"/>
      <c r="X65" s="449"/>
      <c r="Y65" s="449"/>
      <c r="Z65" s="449"/>
      <c r="AA65" s="449"/>
      <c r="AB65" s="449"/>
      <c r="AC65" s="449"/>
      <c r="AD65" s="449"/>
      <c r="AE65" s="449"/>
      <c r="AF65" s="449"/>
      <c r="AG65" s="449"/>
      <c r="AH65" s="449"/>
      <c r="AI65" s="449"/>
      <c r="AJ65" s="449"/>
      <c r="AK65" s="449"/>
      <c r="AL65" s="449"/>
      <c r="AM65" s="449"/>
      <c r="AN65" s="449"/>
      <c r="AO65" s="449"/>
      <c r="AP65" s="449"/>
      <c r="AQ65" s="449"/>
      <c r="AR65" s="449"/>
      <c r="AS65" s="449"/>
      <c r="AT65" s="449"/>
      <c r="AU65" s="449"/>
      <c r="AV65" s="449"/>
      <c r="AW65" s="449"/>
      <c r="AX65" s="449"/>
      <c r="AY65" s="449"/>
      <c r="AZ65" s="449"/>
      <c r="BA65" s="449"/>
      <c r="BB65" s="449"/>
      <c r="BC65" s="449"/>
      <c r="BD65" s="449"/>
      <c r="BE65" s="449"/>
      <c r="BF65" s="449"/>
      <c r="BG65" s="449"/>
      <c r="BH65" s="449"/>
      <c r="BI65" s="449"/>
      <c r="BJ65" s="449"/>
      <c r="BK65" s="449"/>
      <c r="BL65" s="449"/>
      <c r="BM65" s="449"/>
      <c r="BN65" s="449"/>
      <c r="BO65" s="449"/>
      <c r="BP65" s="449"/>
      <c r="BQ65" s="449"/>
      <c r="BR65" s="449"/>
      <c r="BS65" s="449"/>
      <c r="BT65" s="449"/>
      <c r="BU65" s="449"/>
      <c r="BV65" s="449"/>
      <c r="BW65" s="449"/>
      <c r="BX65" s="449"/>
      <c r="BY65" s="449"/>
      <c r="BZ65" s="449"/>
      <c r="CA65" s="449"/>
      <c r="CB65" s="449"/>
      <c r="CC65" s="449"/>
      <c r="CD65" s="449"/>
      <c r="CE65" s="449"/>
      <c r="CF65" s="449"/>
      <c r="CG65" s="449"/>
      <c r="CH65" s="449"/>
      <c r="CI65" s="449"/>
      <c r="CJ65" s="449"/>
      <c r="CK65" s="449"/>
      <c r="CL65" s="449"/>
      <c r="CM65" s="449"/>
      <c r="CN65" s="449"/>
      <c r="CO65" s="449"/>
      <c r="CP65" s="449"/>
      <c r="CQ65" s="449"/>
      <c r="CR65" s="449"/>
      <c r="CS65" s="449"/>
      <c r="CT65" s="449"/>
      <c r="CU65" s="449"/>
      <c r="CV65" s="449"/>
      <c r="CW65" s="449"/>
      <c r="CX65" s="449"/>
      <c r="CY65" s="449"/>
      <c r="CZ65" s="449"/>
      <c r="DA65" s="449"/>
      <c r="DB65" s="449"/>
      <c r="DC65" s="449"/>
      <c r="DD65" s="449"/>
      <c r="DE65" s="449"/>
      <c r="DF65" s="449"/>
      <c r="DG65" s="449"/>
      <c r="DH65" s="449"/>
      <c r="DI65" s="449"/>
      <c r="DJ65" s="449"/>
      <c r="DK65" s="449"/>
      <c r="DL65" s="449"/>
      <c r="DM65" s="449"/>
      <c r="DN65" s="449"/>
      <c r="DO65" s="449"/>
      <c r="DP65" s="449"/>
      <c r="DQ65" s="449"/>
      <c r="DR65" s="449"/>
      <c r="DS65" s="449"/>
      <c r="DT65" s="449"/>
      <c r="DU65" s="449"/>
      <c r="DV65" s="449"/>
      <c r="DW65" s="449"/>
      <c r="DX65" s="449"/>
      <c r="DY65" s="449"/>
      <c r="DZ65" s="449"/>
      <c r="EA65" s="449"/>
      <c r="EB65" s="449"/>
      <c r="EC65" s="449"/>
      <c r="ED65" s="449"/>
      <c r="EE65" s="449"/>
      <c r="EF65" s="449"/>
      <c r="EG65" s="449"/>
      <c r="EH65" s="449"/>
      <c r="EI65" s="449"/>
      <c r="EJ65" s="449"/>
      <c r="EK65" s="449"/>
      <c r="EL65" s="449"/>
      <c r="EM65" s="449"/>
      <c r="EN65" s="449"/>
      <c r="EO65" s="449"/>
      <c r="EP65" s="449"/>
      <c r="EQ65" s="449"/>
      <c r="ER65" s="449"/>
      <c r="ES65" s="449"/>
      <c r="ET65" s="449"/>
      <c r="EU65" s="449"/>
      <c r="EV65" s="449"/>
      <c r="EW65" s="449"/>
      <c r="EX65" s="449"/>
      <c r="EY65" s="449"/>
      <c r="EZ65" s="449"/>
      <c r="FA65" s="449"/>
      <c r="FB65" s="449"/>
      <c r="FC65" s="449"/>
      <c r="FD65" s="449"/>
      <c r="FE65" s="449"/>
      <c r="FF65" s="449"/>
      <c r="FG65" s="449"/>
      <c r="FH65" s="449"/>
      <c r="FI65" s="449"/>
      <c r="FJ65" s="449"/>
      <c r="FK65" s="449"/>
      <c r="FL65" s="449"/>
      <c r="FM65" s="449"/>
      <c r="FN65" s="449"/>
      <c r="FO65" s="449"/>
      <c r="FP65" s="449"/>
      <c r="FQ65" s="449"/>
      <c r="FR65" s="449"/>
      <c r="FS65" s="449"/>
      <c r="FT65" s="449"/>
      <c r="FU65" s="449"/>
      <c r="FV65" s="449"/>
      <c r="FW65" s="449"/>
      <c r="FX65" s="449"/>
      <c r="FY65" s="449"/>
      <c r="FZ65" s="449"/>
      <c r="GA65" s="449"/>
      <c r="GB65" s="449"/>
      <c r="GC65" s="449"/>
      <c r="GD65" s="449"/>
      <c r="GE65" s="449"/>
      <c r="GF65" s="449"/>
      <c r="GG65" s="449"/>
      <c r="GH65" s="449"/>
      <c r="GI65" s="449"/>
      <c r="GJ65" s="449"/>
      <c r="GK65" s="449"/>
      <c r="GL65" s="449"/>
      <c r="GM65" s="449"/>
      <c r="GN65" s="449"/>
      <c r="GO65" s="449"/>
      <c r="GP65" s="449"/>
      <c r="GQ65" s="449"/>
      <c r="GR65" s="449"/>
      <c r="GS65" s="449"/>
      <c r="GT65" s="449"/>
      <c r="GU65" s="449"/>
      <c r="GV65" s="449"/>
      <c r="GW65" s="449"/>
      <c r="GX65" s="449"/>
      <c r="GY65" s="449"/>
      <c r="GZ65" s="449"/>
      <c r="HA65" s="449"/>
      <c r="HB65" s="449"/>
      <c r="HC65" s="449"/>
      <c r="HD65" s="449"/>
      <c r="HE65" s="449"/>
      <c r="HF65" s="449"/>
      <c r="HG65" s="449"/>
      <c r="HH65" s="449"/>
      <c r="HI65" s="449"/>
      <c r="HJ65" s="449"/>
      <c r="HK65" s="449"/>
      <c r="HL65" s="449"/>
      <c r="HM65" s="449"/>
      <c r="HN65" s="449"/>
      <c r="HO65" s="449"/>
      <c r="HP65" s="449"/>
      <c r="HQ65" s="449"/>
      <c r="HR65" s="449"/>
      <c r="HS65" s="449"/>
      <c r="HT65" s="449"/>
      <c r="HU65" s="449"/>
      <c r="HV65" s="449"/>
      <c r="HW65" s="449"/>
      <c r="HX65" s="449"/>
      <c r="HY65" s="449"/>
      <c r="HZ65" s="449"/>
      <c r="IA65" s="449"/>
      <c r="IB65" s="449"/>
      <c r="IC65" s="449"/>
      <c r="ID65" s="449"/>
      <c r="IE65" s="449"/>
      <c r="IF65" s="449"/>
      <c r="IG65" s="449"/>
      <c r="IH65" s="449"/>
      <c r="II65" s="449"/>
      <c r="IJ65" s="449"/>
      <c r="IK65" s="449"/>
      <c r="IL65" s="449"/>
      <c r="IM65" s="449"/>
      <c r="IN65" s="449"/>
      <c r="IO65" s="449"/>
      <c r="IP65" s="449"/>
      <c r="IQ65" s="449"/>
      <c r="IR65" s="449"/>
      <c r="IS65" s="449"/>
      <c r="IT65" s="449"/>
      <c r="IU65" s="449"/>
      <c r="IV65" s="449"/>
      <c r="IW65" s="449"/>
    </row>
    <row r="66" customFormat="false" ht="12.75" hidden="false" customHeight="false" outlineLevel="0" collapsed="false">
      <c r="A66" s="461" t="n">
        <f aca="false">A65+1</f>
        <v>68</v>
      </c>
      <c r="C66" s="487" t="s">
        <v>897</v>
      </c>
      <c r="D66" s="449"/>
      <c r="E66" s="468"/>
      <c r="F66" s="468"/>
      <c r="G66" s="468"/>
      <c r="H66" s="468"/>
      <c r="I66" s="468"/>
      <c r="J66" s="468"/>
      <c r="K66" s="468"/>
      <c r="L66" s="474"/>
      <c r="M66" s="474"/>
      <c r="N66" s="474"/>
      <c r="O66" s="474"/>
      <c r="P66" s="474"/>
      <c r="Q66" s="474"/>
      <c r="R66" s="474"/>
      <c r="S66" s="474"/>
      <c r="T66" s="449"/>
      <c r="U66" s="449"/>
      <c r="V66" s="449"/>
      <c r="W66" s="449"/>
      <c r="X66" s="449"/>
      <c r="Y66" s="449"/>
      <c r="Z66" s="449"/>
      <c r="AA66" s="449"/>
      <c r="AB66" s="449"/>
      <c r="AC66" s="449"/>
      <c r="AD66" s="449"/>
      <c r="AE66" s="449"/>
      <c r="AF66" s="449"/>
      <c r="AG66" s="449"/>
      <c r="AH66" s="449"/>
      <c r="AI66" s="449"/>
      <c r="AJ66" s="449"/>
      <c r="AK66" s="449"/>
      <c r="AL66" s="449"/>
      <c r="AM66" s="449"/>
      <c r="AN66" s="449"/>
      <c r="AO66" s="449"/>
      <c r="AP66" s="449"/>
      <c r="AQ66" s="449"/>
      <c r="AR66" s="449"/>
      <c r="AS66" s="449"/>
      <c r="AT66" s="449"/>
      <c r="AU66" s="449"/>
      <c r="AV66" s="449"/>
      <c r="AW66" s="449"/>
      <c r="AX66" s="449"/>
      <c r="AY66" s="449"/>
      <c r="AZ66" s="449"/>
      <c r="BA66" s="449"/>
      <c r="BB66" s="449"/>
      <c r="BC66" s="449"/>
      <c r="BD66" s="449"/>
      <c r="BE66" s="449"/>
      <c r="BF66" s="449"/>
      <c r="BG66" s="449"/>
      <c r="BH66" s="449"/>
      <c r="BI66" s="449"/>
      <c r="BJ66" s="449"/>
      <c r="BK66" s="449"/>
      <c r="BL66" s="449"/>
      <c r="BM66" s="449"/>
      <c r="BN66" s="449"/>
      <c r="BO66" s="449"/>
      <c r="BP66" s="449"/>
      <c r="BQ66" s="449"/>
      <c r="BR66" s="449"/>
      <c r="BS66" s="449"/>
      <c r="BT66" s="449"/>
      <c r="BU66" s="449"/>
      <c r="BV66" s="449"/>
      <c r="BW66" s="449"/>
      <c r="BX66" s="449"/>
      <c r="BY66" s="449"/>
      <c r="BZ66" s="449"/>
      <c r="CA66" s="449"/>
      <c r="CB66" s="449"/>
      <c r="CC66" s="449"/>
      <c r="CD66" s="449"/>
      <c r="CE66" s="449"/>
      <c r="CF66" s="449"/>
      <c r="CG66" s="449"/>
      <c r="CH66" s="449"/>
      <c r="CI66" s="449"/>
      <c r="CJ66" s="449"/>
      <c r="CK66" s="449"/>
      <c r="CL66" s="449"/>
      <c r="CM66" s="449"/>
      <c r="CN66" s="449"/>
      <c r="CO66" s="449"/>
      <c r="CP66" s="449"/>
      <c r="CQ66" s="449"/>
      <c r="CR66" s="449"/>
      <c r="CS66" s="449"/>
      <c r="CT66" s="449"/>
      <c r="CU66" s="449"/>
      <c r="CV66" s="449"/>
      <c r="CW66" s="449"/>
      <c r="CX66" s="449"/>
      <c r="CY66" s="449"/>
      <c r="CZ66" s="449"/>
      <c r="DA66" s="449"/>
      <c r="DB66" s="449"/>
      <c r="DC66" s="449"/>
      <c r="DD66" s="449"/>
      <c r="DE66" s="449"/>
      <c r="DF66" s="449"/>
      <c r="DG66" s="449"/>
      <c r="DH66" s="449"/>
      <c r="DI66" s="449"/>
      <c r="DJ66" s="449"/>
      <c r="DK66" s="449"/>
      <c r="DL66" s="449"/>
      <c r="DM66" s="449"/>
      <c r="DN66" s="449"/>
      <c r="DO66" s="449"/>
      <c r="DP66" s="449"/>
      <c r="DQ66" s="449"/>
      <c r="DR66" s="449"/>
      <c r="DS66" s="449"/>
      <c r="DT66" s="449"/>
      <c r="DU66" s="449"/>
      <c r="DV66" s="449"/>
      <c r="DW66" s="449"/>
      <c r="DX66" s="449"/>
      <c r="DY66" s="449"/>
      <c r="DZ66" s="449"/>
      <c r="EA66" s="449"/>
      <c r="EB66" s="449"/>
      <c r="EC66" s="449"/>
      <c r="ED66" s="449"/>
      <c r="EE66" s="449"/>
      <c r="EF66" s="449"/>
      <c r="EG66" s="449"/>
      <c r="EH66" s="449"/>
      <c r="EI66" s="449"/>
      <c r="EJ66" s="449"/>
      <c r="EK66" s="449"/>
      <c r="EL66" s="449"/>
      <c r="EM66" s="449"/>
      <c r="EN66" s="449"/>
      <c r="EO66" s="449"/>
      <c r="EP66" s="449"/>
      <c r="EQ66" s="449"/>
      <c r="ER66" s="449"/>
      <c r="ES66" s="449"/>
      <c r="ET66" s="449"/>
      <c r="EU66" s="449"/>
      <c r="EV66" s="449"/>
      <c r="EW66" s="449"/>
      <c r="EX66" s="449"/>
      <c r="EY66" s="449"/>
      <c r="EZ66" s="449"/>
      <c r="FA66" s="449"/>
      <c r="FB66" s="449"/>
      <c r="FC66" s="449"/>
      <c r="FD66" s="449"/>
      <c r="FE66" s="449"/>
      <c r="FF66" s="449"/>
      <c r="FG66" s="449"/>
      <c r="FH66" s="449"/>
      <c r="FI66" s="449"/>
      <c r="FJ66" s="449"/>
      <c r="FK66" s="449"/>
      <c r="FL66" s="449"/>
      <c r="FM66" s="449"/>
      <c r="FN66" s="449"/>
      <c r="FO66" s="449"/>
      <c r="FP66" s="449"/>
      <c r="FQ66" s="449"/>
      <c r="FR66" s="449"/>
      <c r="FS66" s="449"/>
      <c r="FT66" s="449"/>
      <c r="FU66" s="449"/>
      <c r="FV66" s="449"/>
      <c r="FW66" s="449"/>
      <c r="FX66" s="449"/>
      <c r="FY66" s="449"/>
      <c r="FZ66" s="449"/>
      <c r="GA66" s="449"/>
      <c r="GB66" s="449"/>
      <c r="GC66" s="449"/>
      <c r="GD66" s="449"/>
      <c r="GE66" s="449"/>
      <c r="GF66" s="449"/>
      <c r="GG66" s="449"/>
      <c r="GH66" s="449"/>
      <c r="GI66" s="449"/>
      <c r="GJ66" s="449"/>
      <c r="GK66" s="449"/>
      <c r="GL66" s="449"/>
      <c r="GM66" s="449"/>
      <c r="GN66" s="449"/>
      <c r="GO66" s="449"/>
      <c r="GP66" s="449"/>
      <c r="GQ66" s="449"/>
      <c r="GR66" s="449"/>
      <c r="GS66" s="449"/>
      <c r="GT66" s="449"/>
      <c r="GU66" s="449"/>
      <c r="GV66" s="449"/>
      <c r="GW66" s="449"/>
      <c r="GX66" s="449"/>
      <c r="GY66" s="449"/>
      <c r="GZ66" s="449"/>
      <c r="HA66" s="449"/>
      <c r="HB66" s="449"/>
      <c r="HC66" s="449"/>
      <c r="HD66" s="449"/>
      <c r="HE66" s="449"/>
      <c r="HF66" s="449"/>
      <c r="HG66" s="449"/>
      <c r="HH66" s="449"/>
      <c r="HI66" s="449"/>
      <c r="HJ66" s="449"/>
      <c r="HK66" s="449"/>
      <c r="HL66" s="449"/>
      <c r="HM66" s="449"/>
      <c r="HN66" s="449"/>
      <c r="HO66" s="449"/>
      <c r="HP66" s="449"/>
      <c r="HQ66" s="449"/>
      <c r="HR66" s="449"/>
      <c r="HS66" s="449"/>
      <c r="HT66" s="449"/>
      <c r="HU66" s="449"/>
      <c r="HV66" s="449"/>
      <c r="HW66" s="449"/>
      <c r="HX66" s="449"/>
      <c r="HY66" s="449"/>
      <c r="HZ66" s="449"/>
      <c r="IA66" s="449"/>
      <c r="IB66" s="449"/>
      <c r="IC66" s="449"/>
      <c r="ID66" s="449"/>
      <c r="IE66" s="449"/>
      <c r="IF66" s="449"/>
      <c r="IG66" s="449"/>
      <c r="IH66" s="449"/>
      <c r="II66" s="449"/>
      <c r="IJ66" s="449"/>
      <c r="IK66" s="449"/>
      <c r="IL66" s="449"/>
      <c r="IM66" s="449"/>
      <c r="IN66" s="449"/>
      <c r="IO66" s="449"/>
      <c r="IP66" s="449"/>
      <c r="IQ66" s="449"/>
      <c r="IR66" s="449"/>
      <c r="IS66" s="449"/>
      <c r="IT66" s="449"/>
      <c r="IU66" s="449"/>
      <c r="IV66" s="449"/>
      <c r="IW66" s="449"/>
    </row>
    <row r="67" customFormat="false" ht="12.75" hidden="false" customHeight="false" outlineLevel="0" collapsed="false">
      <c r="A67" s="461" t="n">
        <f aca="false">A66+1</f>
        <v>69</v>
      </c>
      <c r="C67" s="488" t="s">
        <v>898</v>
      </c>
      <c r="D67" s="449"/>
      <c r="E67" s="468"/>
      <c r="F67" s="468"/>
      <c r="G67" s="468"/>
      <c r="H67" s="468"/>
      <c r="I67" s="468"/>
      <c r="J67" s="468"/>
      <c r="K67" s="468"/>
      <c r="L67" s="474"/>
      <c r="M67" s="474"/>
      <c r="N67" s="474"/>
      <c r="O67" s="474"/>
      <c r="P67" s="474"/>
      <c r="Q67" s="474"/>
      <c r="R67" s="474"/>
      <c r="S67" s="474"/>
      <c r="T67" s="449"/>
      <c r="U67" s="449"/>
      <c r="V67" s="449"/>
      <c r="W67" s="449"/>
      <c r="X67" s="449"/>
      <c r="Y67" s="449"/>
      <c r="Z67" s="449"/>
      <c r="AA67" s="449"/>
      <c r="AB67" s="449"/>
      <c r="AC67" s="449"/>
      <c r="AD67" s="449"/>
      <c r="AE67" s="449"/>
      <c r="AF67" s="449"/>
      <c r="AG67" s="449"/>
      <c r="AH67" s="449"/>
      <c r="AI67" s="449"/>
      <c r="AJ67" s="449"/>
      <c r="AK67" s="449"/>
      <c r="AL67" s="449"/>
      <c r="AM67" s="449"/>
      <c r="AN67" s="449"/>
      <c r="AO67" s="449"/>
      <c r="AP67" s="449"/>
      <c r="AQ67" s="449"/>
      <c r="AR67" s="449"/>
      <c r="AS67" s="449"/>
      <c r="AT67" s="449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49"/>
      <c r="BH67" s="449"/>
      <c r="BI67" s="449"/>
      <c r="BJ67" s="449"/>
      <c r="BK67" s="449"/>
      <c r="BL67" s="449"/>
      <c r="BM67" s="449"/>
      <c r="BN67" s="449"/>
      <c r="BO67" s="449"/>
      <c r="BP67" s="449"/>
      <c r="BQ67" s="449"/>
      <c r="BR67" s="449"/>
      <c r="BS67" s="449"/>
      <c r="BT67" s="449"/>
      <c r="BU67" s="449"/>
      <c r="BV67" s="449"/>
      <c r="BW67" s="449"/>
      <c r="BX67" s="449"/>
      <c r="BY67" s="449"/>
      <c r="BZ67" s="449"/>
      <c r="CA67" s="449"/>
      <c r="CB67" s="449"/>
      <c r="CC67" s="449"/>
      <c r="CD67" s="449"/>
      <c r="CE67" s="449"/>
      <c r="CF67" s="449"/>
      <c r="CG67" s="449"/>
      <c r="CH67" s="449"/>
      <c r="CI67" s="449"/>
      <c r="CJ67" s="449"/>
      <c r="CK67" s="449"/>
      <c r="CL67" s="449"/>
      <c r="CM67" s="449"/>
      <c r="CN67" s="449"/>
      <c r="CO67" s="449"/>
      <c r="CP67" s="449"/>
      <c r="CQ67" s="449"/>
      <c r="CR67" s="449"/>
      <c r="CS67" s="449"/>
      <c r="CT67" s="449"/>
      <c r="CU67" s="449"/>
      <c r="CV67" s="449"/>
      <c r="CW67" s="449"/>
      <c r="CX67" s="449"/>
      <c r="CY67" s="449"/>
      <c r="CZ67" s="449"/>
      <c r="DA67" s="449"/>
      <c r="DB67" s="449"/>
      <c r="DC67" s="449"/>
      <c r="DD67" s="449"/>
      <c r="DE67" s="449"/>
      <c r="DF67" s="449"/>
      <c r="DG67" s="449"/>
      <c r="DH67" s="449"/>
      <c r="DI67" s="449"/>
      <c r="DJ67" s="449"/>
      <c r="DK67" s="449"/>
      <c r="DL67" s="449"/>
      <c r="DM67" s="449"/>
      <c r="DN67" s="449"/>
      <c r="DO67" s="449"/>
      <c r="DP67" s="449"/>
      <c r="DQ67" s="449"/>
      <c r="DR67" s="449"/>
      <c r="DS67" s="449"/>
      <c r="DT67" s="449"/>
      <c r="DU67" s="449"/>
      <c r="DV67" s="449"/>
      <c r="DW67" s="449"/>
      <c r="DX67" s="449"/>
      <c r="DY67" s="449"/>
      <c r="DZ67" s="449"/>
      <c r="EA67" s="449"/>
      <c r="EB67" s="449"/>
      <c r="EC67" s="449"/>
      <c r="ED67" s="449"/>
      <c r="EE67" s="449"/>
      <c r="EF67" s="449"/>
      <c r="EG67" s="449"/>
      <c r="EH67" s="449"/>
      <c r="EI67" s="449"/>
      <c r="EJ67" s="449"/>
      <c r="EK67" s="449"/>
      <c r="EL67" s="449"/>
      <c r="EM67" s="449"/>
      <c r="EN67" s="449"/>
      <c r="EO67" s="449"/>
      <c r="EP67" s="449"/>
      <c r="EQ67" s="449"/>
      <c r="ER67" s="449"/>
      <c r="ES67" s="449"/>
      <c r="ET67" s="449"/>
      <c r="EU67" s="449"/>
      <c r="EV67" s="449"/>
      <c r="EW67" s="449"/>
      <c r="EX67" s="449"/>
      <c r="EY67" s="449"/>
      <c r="EZ67" s="449"/>
      <c r="FA67" s="449"/>
      <c r="FB67" s="449"/>
      <c r="FC67" s="449"/>
      <c r="FD67" s="449"/>
      <c r="FE67" s="449"/>
      <c r="FF67" s="449"/>
      <c r="FG67" s="449"/>
      <c r="FH67" s="449"/>
      <c r="FI67" s="449"/>
      <c r="FJ67" s="449"/>
      <c r="FK67" s="449"/>
      <c r="FL67" s="449"/>
      <c r="FM67" s="449"/>
      <c r="FN67" s="449"/>
      <c r="FO67" s="449"/>
      <c r="FP67" s="449"/>
      <c r="FQ67" s="449"/>
      <c r="FR67" s="449"/>
      <c r="FS67" s="449"/>
      <c r="FT67" s="449"/>
      <c r="FU67" s="449"/>
      <c r="FV67" s="449"/>
      <c r="FW67" s="449"/>
      <c r="FX67" s="449"/>
      <c r="FY67" s="449"/>
      <c r="FZ67" s="449"/>
      <c r="GA67" s="449"/>
      <c r="GB67" s="449"/>
      <c r="GC67" s="449"/>
      <c r="GD67" s="449"/>
      <c r="GE67" s="449"/>
      <c r="GF67" s="449"/>
      <c r="GG67" s="449"/>
      <c r="GH67" s="449"/>
      <c r="GI67" s="449"/>
      <c r="GJ67" s="449"/>
      <c r="GK67" s="449"/>
      <c r="GL67" s="449"/>
      <c r="GM67" s="449"/>
      <c r="GN67" s="449"/>
      <c r="GO67" s="449"/>
      <c r="GP67" s="449"/>
      <c r="GQ67" s="449"/>
      <c r="GR67" s="449"/>
      <c r="GS67" s="449"/>
      <c r="GT67" s="449"/>
      <c r="GU67" s="449"/>
      <c r="GV67" s="449"/>
      <c r="GW67" s="449"/>
      <c r="GX67" s="449"/>
      <c r="GY67" s="449"/>
      <c r="GZ67" s="449"/>
      <c r="HA67" s="449"/>
      <c r="HB67" s="449"/>
      <c r="HC67" s="449"/>
      <c r="HD67" s="449"/>
      <c r="HE67" s="449"/>
      <c r="HF67" s="449"/>
      <c r="HG67" s="449"/>
      <c r="HH67" s="449"/>
      <c r="HI67" s="449"/>
      <c r="HJ67" s="449"/>
      <c r="HK67" s="449"/>
      <c r="HL67" s="449"/>
      <c r="HM67" s="449"/>
      <c r="HN67" s="449"/>
      <c r="HO67" s="449"/>
      <c r="HP67" s="449"/>
      <c r="HQ67" s="449"/>
      <c r="HR67" s="449"/>
      <c r="HS67" s="449"/>
      <c r="HT67" s="449"/>
      <c r="HU67" s="449"/>
      <c r="HV67" s="449"/>
      <c r="HW67" s="449"/>
      <c r="HX67" s="449"/>
      <c r="HY67" s="449"/>
      <c r="HZ67" s="449"/>
      <c r="IA67" s="449"/>
      <c r="IB67" s="449"/>
      <c r="IC67" s="449"/>
      <c r="ID67" s="449"/>
      <c r="IE67" s="449"/>
      <c r="IF67" s="449"/>
      <c r="IG67" s="449"/>
      <c r="IH67" s="449"/>
      <c r="II67" s="449"/>
      <c r="IJ67" s="449"/>
      <c r="IK67" s="449"/>
      <c r="IL67" s="449"/>
      <c r="IM67" s="449"/>
      <c r="IN67" s="449"/>
      <c r="IO67" s="449"/>
      <c r="IP67" s="449"/>
      <c r="IQ67" s="449"/>
      <c r="IR67" s="449"/>
      <c r="IS67" s="449"/>
      <c r="IT67" s="449"/>
      <c r="IU67" s="449"/>
      <c r="IV67" s="449"/>
      <c r="IW67" s="449"/>
    </row>
    <row r="68" customFormat="false" ht="12.75" hidden="false" customHeight="false" outlineLevel="0" collapsed="false">
      <c r="A68" s="461" t="n">
        <f aca="false">A67+1</f>
        <v>70</v>
      </c>
      <c r="C68" s="488" t="s">
        <v>899</v>
      </c>
      <c r="D68" s="449"/>
      <c r="E68" s="468"/>
      <c r="F68" s="468"/>
      <c r="G68" s="468"/>
      <c r="H68" s="468"/>
      <c r="I68" s="468"/>
      <c r="J68" s="468"/>
      <c r="K68" s="468"/>
      <c r="L68" s="474"/>
      <c r="M68" s="474"/>
      <c r="N68" s="474"/>
      <c r="O68" s="474"/>
      <c r="P68" s="474"/>
      <c r="Q68" s="474"/>
      <c r="R68" s="474"/>
      <c r="S68" s="474"/>
      <c r="T68" s="449"/>
      <c r="U68" s="449"/>
      <c r="V68" s="449"/>
      <c r="W68" s="449"/>
      <c r="X68" s="449"/>
      <c r="Y68" s="449"/>
      <c r="Z68" s="449"/>
      <c r="AA68" s="449"/>
      <c r="AB68" s="449"/>
      <c r="AC68" s="449"/>
      <c r="AD68" s="449"/>
      <c r="AE68" s="449"/>
      <c r="AF68" s="449"/>
      <c r="AG68" s="449"/>
      <c r="AH68" s="449"/>
      <c r="AI68" s="449"/>
      <c r="AJ68" s="449"/>
      <c r="AK68" s="449"/>
      <c r="AL68" s="449"/>
      <c r="AM68" s="449"/>
      <c r="AN68" s="449"/>
      <c r="AO68" s="449"/>
      <c r="AP68" s="449"/>
      <c r="AQ68" s="449"/>
      <c r="AR68" s="449"/>
      <c r="AS68" s="449"/>
      <c r="AT68" s="449"/>
      <c r="AU68" s="449"/>
      <c r="AV68" s="449"/>
      <c r="AW68" s="449"/>
      <c r="AX68" s="449"/>
      <c r="AY68" s="449"/>
      <c r="AZ68" s="449"/>
      <c r="BA68" s="449"/>
      <c r="BB68" s="449"/>
      <c r="BC68" s="449"/>
      <c r="BD68" s="449"/>
      <c r="BE68" s="449"/>
      <c r="BF68" s="449"/>
      <c r="BG68" s="449"/>
      <c r="BH68" s="449"/>
      <c r="BI68" s="449"/>
      <c r="BJ68" s="449"/>
      <c r="BK68" s="449"/>
      <c r="BL68" s="449"/>
      <c r="BM68" s="449"/>
      <c r="BN68" s="449"/>
      <c r="BO68" s="449"/>
      <c r="BP68" s="449"/>
      <c r="BQ68" s="449"/>
      <c r="BR68" s="449"/>
      <c r="BS68" s="449"/>
      <c r="BT68" s="449"/>
      <c r="BU68" s="449"/>
      <c r="BV68" s="449"/>
      <c r="BW68" s="449"/>
      <c r="BX68" s="449"/>
      <c r="BY68" s="449"/>
      <c r="BZ68" s="449"/>
      <c r="CA68" s="449"/>
      <c r="CB68" s="449"/>
      <c r="CC68" s="449"/>
      <c r="CD68" s="449"/>
      <c r="CE68" s="449"/>
      <c r="CF68" s="449"/>
      <c r="CG68" s="449"/>
      <c r="CH68" s="449"/>
      <c r="CI68" s="449"/>
      <c r="CJ68" s="449"/>
      <c r="CK68" s="449"/>
      <c r="CL68" s="449"/>
      <c r="CM68" s="449"/>
      <c r="CN68" s="449"/>
      <c r="CO68" s="449"/>
      <c r="CP68" s="449"/>
      <c r="CQ68" s="449"/>
      <c r="CR68" s="449"/>
      <c r="CS68" s="449"/>
      <c r="CT68" s="449"/>
      <c r="CU68" s="449"/>
      <c r="CV68" s="449"/>
      <c r="CW68" s="449"/>
      <c r="CX68" s="449"/>
      <c r="CY68" s="449"/>
      <c r="CZ68" s="449"/>
      <c r="DA68" s="449"/>
      <c r="DB68" s="449"/>
      <c r="DC68" s="449"/>
      <c r="DD68" s="449"/>
      <c r="DE68" s="449"/>
      <c r="DF68" s="449"/>
      <c r="DG68" s="449"/>
      <c r="DH68" s="449"/>
      <c r="DI68" s="449"/>
      <c r="DJ68" s="449"/>
      <c r="DK68" s="449"/>
      <c r="DL68" s="449"/>
      <c r="DM68" s="449"/>
      <c r="DN68" s="449"/>
      <c r="DO68" s="449"/>
      <c r="DP68" s="449"/>
      <c r="DQ68" s="449"/>
      <c r="DR68" s="449"/>
      <c r="DS68" s="449"/>
      <c r="DT68" s="449"/>
      <c r="DU68" s="449"/>
      <c r="DV68" s="449"/>
      <c r="DW68" s="449"/>
      <c r="DX68" s="449"/>
      <c r="DY68" s="449"/>
      <c r="DZ68" s="449"/>
      <c r="EA68" s="449"/>
      <c r="EB68" s="449"/>
      <c r="EC68" s="449"/>
      <c r="ED68" s="449"/>
      <c r="EE68" s="449"/>
      <c r="EF68" s="449"/>
      <c r="EG68" s="449"/>
      <c r="EH68" s="449"/>
      <c r="EI68" s="449"/>
      <c r="EJ68" s="449"/>
      <c r="EK68" s="449"/>
      <c r="EL68" s="449"/>
      <c r="EM68" s="449"/>
      <c r="EN68" s="449"/>
      <c r="EO68" s="449"/>
      <c r="EP68" s="449"/>
      <c r="EQ68" s="449"/>
      <c r="ER68" s="449"/>
      <c r="ES68" s="449"/>
      <c r="ET68" s="449"/>
      <c r="EU68" s="449"/>
      <c r="EV68" s="449"/>
      <c r="EW68" s="449"/>
      <c r="EX68" s="449"/>
      <c r="EY68" s="449"/>
      <c r="EZ68" s="449"/>
      <c r="FA68" s="449"/>
      <c r="FB68" s="449"/>
      <c r="FC68" s="449"/>
      <c r="FD68" s="449"/>
      <c r="FE68" s="449"/>
      <c r="FF68" s="449"/>
      <c r="FG68" s="449"/>
      <c r="FH68" s="449"/>
      <c r="FI68" s="449"/>
      <c r="FJ68" s="449"/>
      <c r="FK68" s="449"/>
      <c r="FL68" s="449"/>
      <c r="FM68" s="449"/>
      <c r="FN68" s="449"/>
      <c r="FO68" s="449"/>
      <c r="FP68" s="449"/>
      <c r="FQ68" s="449"/>
      <c r="FR68" s="449"/>
      <c r="FS68" s="449"/>
      <c r="FT68" s="449"/>
      <c r="FU68" s="449"/>
      <c r="FV68" s="449"/>
      <c r="FW68" s="449"/>
      <c r="FX68" s="449"/>
      <c r="FY68" s="449"/>
      <c r="FZ68" s="449"/>
      <c r="GA68" s="449"/>
      <c r="GB68" s="449"/>
      <c r="GC68" s="449"/>
      <c r="GD68" s="449"/>
      <c r="GE68" s="449"/>
      <c r="GF68" s="449"/>
      <c r="GG68" s="449"/>
      <c r="GH68" s="449"/>
      <c r="GI68" s="449"/>
      <c r="GJ68" s="449"/>
      <c r="GK68" s="449"/>
      <c r="GL68" s="449"/>
      <c r="GM68" s="449"/>
      <c r="GN68" s="449"/>
      <c r="GO68" s="449"/>
      <c r="GP68" s="449"/>
      <c r="GQ68" s="449"/>
      <c r="GR68" s="449"/>
      <c r="GS68" s="449"/>
      <c r="GT68" s="449"/>
      <c r="GU68" s="449"/>
      <c r="GV68" s="449"/>
      <c r="GW68" s="449"/>
      <c r="GX68" s="449"/>
      <c r="GY68" s="449"/>
      <c r="GZ68" s="449"/>
      <c r="HA68" s="449"/>
      <c r="HB68" s="449"/>
      <c r="HC68" s="449"/>
      <c r="HD68" s="449"/>
      <c r="HE68" s="449"/>
      <c r="HF68" s="449"/>
      <c r="HG68" s="449"/>
      <c r="HH68" s="449"/>
      <c r="HI68" s="449"/>
      <c r="HJ68" s="449"/>
      <c r="HK68" s="449"/>
      <c r="HL68" s="449"/>
      <c r="HM68" s="449"/>
      <c r="HN68" s="449"/>
      <c r="HO68" s="449"/>
      <c r="HP68" s="449"/>
      <c r="HQ68" s="449"/>
      <c r="HR68" s="449"/>
      <c r="HS68" s="449"/>
      <c r="HT68" s="449"/>
      <c r="HU68" s="449"/>
      <c r="HV68" s="449"/>
      <c r="HW68" s="449"/>
      <c r="HX68" s="449"/>
      <c r="HY68" s="449"/>
      <c r="HZ68" s="449"/>
      <c r="IA68" s="449"/>
      <c r="IB68" s="449"/>
      <c r="IC68" s="449"/>
      <c r="ID68" s="449"/>
      <c r="IE68" s="449"/>
      <c r="IF68" s="449"/>
      <c r="IG68" s="449"/>
      <c r="IH68" s="449"/>
      <c r="II68" s="449"/>
      <c r="IJ68" s="449"/>
      <c r="IK68" s="449"/>
      <c r="IL68" s="449"/>
      <c r="IM68" s="449"/>
      <c r="IN68" s="449"/>
      <c r="IO68" s="449"/>
      <c r="IP68" s="449"/>
      <c r="IQ68" s="449"/>
      <c r="IR68" s="449"/>
      <c r="IS68" s="449"/>
      <c r="IT68" s="449"/>
      <c r="IU68" s="449"/>
      <c r="IV68" s="449"/>
      <c r="IW68" s="449"/>
    </row>
    <row r="69" customFormat="false" ht="12.75" hidden="false" customHeight="false" outlineLevel="0" collapsed="false">
      <c r="A69" s="461" t="n">
        <f aca="false">A68+1</f>
        <v>71</v>
      </c>
      <c r="C69" s="476" t="s">
        <v>900</v>
      </c>
      <c r="D69" s="449"/>
      <c r="E69" s="468"/>
      <c r="F69" s="468"/>
      <c r="G69" s="468"/>
      <c r="H69" s="468"/>
      <c r="I69" s="468"/>
      <c r="J69" s="468"/>
      <c r="K69" s="468"/>
      <c r="L69" s="474"/>
      <c r="M69" s="474"/>
      <c r="N69" s="474"/>
      <c r="O69" s="474"/>
      <c r="P69" s="474"/>
      <c r="Q69" s="474"/>
      <c r="R69" s="474"/>
      <c r="S69" s="474"/>
      <c r="T69" s="449"/>
      <c r="U69" s="449"/>
      <c r="V69" s="449"/>
      <c r="W69" s="449"/>
      <c r="X69" s="449"/>
      <c r="Y69" s="449"/>
      <c r="Z69" s="449"/>
      <c r="AA69" s="449"/>
      <c r="AB69" s="449"/>
      <c r="AC69" s="449"/>
      <c r="AD69" s="449"/>
      <c r="AE69" s="449"/>
      <c r="AF69" s="449"/>
      <c r="AG69" s="449"/>
      <c r="AH69" s="449"/>
      <c r="AI69" s="449"/>
      <c r="AJ69" s="449"/>
      <c r="AK69" s="449"/>
      <c r="AL69" s="449"/>
      <c r="AM69" s="449"/>
      <c r="AN69" s="449"/>
      <c r="AO69" s="449"/>
      <c r="AP69" s="449"/>
      <c r="AQ69" s="449"/>
      <c r="AR69" s="449"/>
      <c r="AS69" s="449"/>
      <c r="AT69" s="449"/>
      <c r="AU69" s="449"/>
      <c r="AV69" s="449"/>
      <c r="AW69" s="449"/>
      <c r="AX69" s="449"/>
      <c r="AY69" s="449"/>
      <c r="AZ69" s="449"/>
      <c r="BA69" s="449"/>
      <c r="BB69" s="449"/>
      <c r="BC69" s="449"/>
      <c r="BD69" s="449"/>
      <c r="BE69" s="449"/>
      <c r="BF69" s="449"/>
      <c r="BG69" s="449"/>
      <c r="BH69" s="449"/>
      <c r="BI69" s="449"/>
      <c r="BJ69" s="449"/>
      <c r="BK69" s="449"/>
      <c r="BL69" s="449"/>
      <c r="BM69" s="449"/>
      <c r="BN69" s="449"/>
      <c r="BO69" s="449"/>
      <c r="BP69" s="449"/>
      <c r="BQ69" s="449"/>
      <c r="BR69" s="449"/>
      <c r="BS69" s="449"/>
      <c r="BT69" s="449"/>
      <c r="BU69" s="449"/>
      <c r="BV69" s="449"/>
      <c r="BW69" s="449"/>
      <c r="BX69" s="449"/>
      <c r="BY69" s="449"/>
      <c r="BZ69" s="449"/>
      <c r="CA69" s="449"/>
      <c r="CB69" s="449"/>
      <c r="CC69" s="449"/>
      <c r="CD69" s="449"/>
      <c r="CE69" s="449"/>
      <c r="CF69" s="449"/>
      <c r="CG69" s="449"/>
      <c r="CH69" s="449"/>
      <c r="CI69" s="449"/>
      <c r="CJ69" s="449"/>
      <c r="CK69" s="449"/>
      <c r="CL69" s="449"/>
      <c r="CM69" s="449"/>
      <c r="CN69" s="449"/>
      <c r="CO69" s="449"/>
      <c r="CP69" s="449"/>
      <c r="CQ69" s="449"/>
      <c r="CR69" s="449"/>
      <c r="CS69" s="449"/>
      <c r="CT69" s="449"/>
      <c r="CU69" s="449"/>
      <c r="CV69" s="449"/>
      <c r="CW69" s="449"/>
      <c r="CX69" s="449"/>
      <c r="CY69" s="449"/>
      <c r="CZ69" s="449"/>
      <c r="DA69" s="449"/>
      <c r="DB69" s="449"/>
      <c r="DC69" s="449"/>
      <c r="DD69" s="449"/>
      <c r="DE69" s="449"/>
      <c r="DF69" s="449"/>
      <c r="DG69" s="449"/>
      <c r="DH69" s="449"/>
      <c r="DI69" s="449"/>
      <c r="DJ69" s="449"/>
      <c r="DK69" s="449"/>
      <c r="DL69" s="449"/>
      <c r="DM69" s="449"/>
      <c r="DN69" s="449"/>
      <c r="DO69" s="449"/>
      <c r="DP69" s="449"/>
      <c r="DQ69" s="449"/>
      <c r="DR69" s="449"/>
      <c r="DS69" s="449"/>
      <c r="DT69" s="449"/>
      <c r="DU69" s="449"/>
      <c r="DV69" s="449"/>
      <c r="DW69" s="449"/>
      <c r="DX69" s="449"/>
      <c r="DY69" s="449"/>
      <c r="DZ69" s="449"/>
      <c r="EA69" s="449"/>
      <c r="EB69" s="449"/>
      <c r="EC69" s="449"/>
      <c r="ED69" s="449"/>
      <c r="EE69" s="449"/>
      <c r="EF69" s="449"/>
      <c r="EG69" s="449"/>
      <c r="EH69" s="449"/>
      <c r="EI69" s="449"/>
      <c r="EJ69" s="449"/>
      <c r="EK69" s="449"/>
      <c r="EL69" s="449"/>
      <c r="EM69" s="449"/>
      <c r="EN69" s="449"/>
      <c r="EO69" s="449"/>
      <c r="EP69" s="449"/>
      <c r="EQ69" s="449"/>
      <c r="ER69" s="449"/>
      <c r="ES69" s="449"/>
      <c r="ET69" s="449"/>
      <c r="EU69" s="449"/>
      <c r="EV69" s="449"/>
      <c r="EW69" s="449"/>
      <c r="EX69" s="449"/>
      <c r="EY69" s="449"/>
      <c r="EZ69" s="449"/>
      <c r="FA69" s="449"/>
      <c r="FB69" s="449"/>
      <c r="FC69" s="449"/>
      <c r="FD69" s="449"/>
      <c r="FE69" s="449"/>
      <c r="FF69" s="449"/>
      <c r="FG69" s="449"/>
      <c r="FH69" s="449"/>
      <c r="FI69" s="449"/>
      <c r="FJ69" s="449"/>
      <c r="FK69" s="449"/>
      <c r="FL69" s="449"/>
      <c r="FM69" s="449"/>
      <c r="FN69" s="449"/>
      <c r="FO69" s="449"/>
      <c r="FP69" s="449"/>
      <c r="FQ69" s="449"/>
      <c r="FR69" s="449"/>
      <c r="FS69" s="449"/>
      <c r="FT69" s="449"/>
      <c r="FU69" s="449"/>
      <c r="FV69" s="449"/>
      <c r="FW69" s="449"/>
      <c r="FX69" s="449"/>
      <c r="FY69" s="449"/>
      <c r="FZ69" s="449"/>
      <c r="GA69" s="449"/>
      <c r="GB69" s="449"/>
      <c r="GC69" s="449"/>
      <c r="GD69" s="449"/>
      <c r="GE69" s="449"/>
      <c r="GF69" s="449"/>
      <c r="GG69" s="449"/>
      <c r="GH69" s="449"/>
      <c r="GI69" s="449"/>
      <c r="GJ69" s="449"/>
      <c r="GK69" s="449"/>
      <c r="GL69" s="449"/>
      <c r="GM69" s="449"/>
      <c r="GN69" s="449"/>
      <c r="GO69" s="449"/>
      <c r="GP69" s="449"/>
      <c r="GQ69" s="449"/>
      <c r="GR69" s="449"/>
      <c r="GS69" s="449"/>
      <c r="GT69" s="449"/>
      <c r="GU69" s="449"/>
      <c r="GV69" s="449"/>
      <c r="GW69" s="449"/>
      <c r="GX69" s="449"/>
      <c r="GY69" s="449"/>
      <c r="GZ69" s="449"/>
      <c r="HA69" s="449"/>
      <c r="HB69" s="449"/>
      <c r="HC69" s="449"/>
      <c r="HD69" s="449"/>
      <c r="HE69" s="449"/>
      <c r="HF69" s="449"/>
      <c r="HG69" s="449"/>
      <c r="HH69" s="449"/>
      <c r="HI69" s="449"/>
      <c r="HJ69" s="449"/>
      <c r="HK69" s="449"/>
      <c r="HL69" s="449"/>
      <c r="HM69" s="449"/>
      <c r="HN69" s="449"/>
      <c r="HO69" s="449"/>
      <c r="HP69" s="449"/>
      <c r="HQ69" s="449"/>
      <c r="HR69" s="449"/>
      <c r="HS69" s="449"/>
      <c r="HT69" s="449"/>
      <c r="HU69" s="449"/>
      <c r="HV69" s="449"/>
      <c r="HW69" s="449"/>
      <c r="HX69" s="449"/>
      <c r="HY69" s="449"/>
      <c r="HZ69" s="449"/>
      <c r="IA69" s="449"/>
      <c r="IB69" s="449"/>
      <c r="IC69" s="449"/>
      <c r="ID69" s="449"/>
      <c r="IE69" s="449"/>
      <c r="IF69" s="449"/>
      <c r="IG69" s="449"/>
      <c r="IH69" s="449"/>
      <c r="II69" s="449"/>
      <c r="IJ69" s="449"/>
      <c r="IK69" s="449"/>
      <c r="IL69" s="449"/>
      <c r="IM69" s="449"/>
      <c r="IN69" s="449"/>
      <c r="IO69" s="449"/>
      <c r="IP69" s="449"/>
      <c r="IQ69" s="449"/>
      <c r="IR69" s="449"/>
      <c r="IS69" s="449"/>
      <c r="IT69" s="449"/>
      <c r="IU69" s="449"/>
      <c r="IV69" s="449"/>
      <c r="IW69" s="449"/>
    </row>
    <row r="70" customFormat="false" ht="12.75" hidden="false" customHeight="false" outlineLevel="0" collapsed="false">
      <c r="A70" s="461" t="n">
        <f aca="false">A69+1</f>
        <v>72</v>
      </c>
      <c r="C70" s="476" t="s">
        <v>901</v>
      </c>
      <c r="D70" s="449"/>
      <c r="E70" s="468"/>
      <c r="F70" s="468"/>
      <c r="G70" s="468"/>
      <c r="H70" s="468"/>
      <c r="I70" s="468"/>
      <c r="J70" s="468"/>
      <c r="K70" s="468"/>
      <c r="L70" s="474"/>
      <c r="M70" s="474"/>
      <c r="N70" s="474"/>
      <c r="O70" s="474"/>
      <c r="P70" s="474"/>
      <c r="Q70" s="474"/>
      <c r="R70" s="474"/>
      <c r="S70" s="474"/>
      <c r="T70" s="449"/>
      <c r="U70" s="449"/>
      <c r="V70" s="449"/>
      <c r="W70" s="449"/>
      <c r="X70" s="449"/>
      <c r="Y70" s="449"/>
      <c r="Z70" s="449"/>
      <c r="AA70" s="449"/>
      <c r="AB70" s="449"/>
      <c r="AC70" s="449"/>
      <c r="AD70" s="449"/>
      <c r="AE70" s="449"/>
      <c r="AF70" s="449"/>
      <c r="AG70" s="449"/>
      <c r="AH70" s="449"/>
      <c r="AI70" s="449"/>
      <c r="AJ70" s="449"/>
      <c r="AK70" s="449"/>
      <c r="AL70" s="449"/>
      <c r="AM70" s="449"/>
      <c r="AN70" s="449"/>
      <c r="AO70" s="449"/>
      <c r="AP70" s="449"/>
      <c r="AQ70" s="449"/>
      <c r="AR70" s="449"/>
      <c r="AS70" s="449"/>
      <c r="AT70" s="449"/>
      <c r="AU70" s="449"/>
      <c r="AV70" s="449"/>
      <c r="AW70" s="449"/>
      <c r="AX70" s="449"/>
      <c r="AY70" s="449"/>
      <c r="AZ70" s="449"/>
      <c r="BA70" s="449"/>
      <c r="BB70" s="449"/>
      <c r="BC70" s="449"/>
      <c r="BD70" s="449"/>
      <c r="BE70" s="449"/>
      <c r="BF70" s="449"/>
      <c r="BG70" s="449"/>
      <c r="BH70" s="449"/>
      <c r="BI70" s="449"/>
      <c r="BJ70" s="449"/>
      <c r="BK70" s="449"/>
      <c r="BL70" s="449"/>
      <c r="BM70" s="449"/>
      <c r="BN70" s="449"/>
      <c r="BO70" s="449"/>
      <c r="BP70" s="449"/>
      <c r="BQ70" s="449"/>
      <c r="BR70" s="449"/>
      <c r="BS70" s="449"/>
      <c r="BT70" s="449"/>
      <c r="BU70" s="449"/>
      <c r="BV70" s="449"/>
      <c r="BW70" s="449"/>
      <c r="BX70" s="449"/>
      <c r="BY70" s="449"/>
      <c r="BZ70" s="449"/>
      <c r="CA70" s="449"/>
      <c r="CB70" s="449"/>
      <c r="CC70" s="449"/>
      <c r="CD70" s="449"/>
      <c r="CE70" s="449"/>
      <c r="CF70" s="449"/>
      <c r="CG70" s="449"/>
      <c r="CH70" s="449"/>
      <c r="CI70" s="449"/>
      <c r="CJ70" s="449"/>
      <c r="CK70" s="449"/>
      <c r="CL70" s="449"/>
      <c r="CM70" s="449"/>
      <c r="CN70" s="449"/>
      <c r="CO70" s="449"/>
      <c r="CP70" s="449"/>
      <c r="CQ70" s="449"/>
      <c r="CR70" s="449"/>
      <c r="CS70" s="449"/>
      <c r="CT70" s="449"/>
      <c r="CU70" s="449"/>
      <c r="CV70" s="449"/>
      <c r="CW70" s="449"/>
      <c r="CX70" s="449"/>
      <c r="CY70" s="449"/>
      <c r="CZ70" s="449"/>
      <c r="DA70" s="449"/>
      <c r="DB70" s="449"/>
      <c r="DC70" s="449"/>
      <c r="DD70" s="449"/>
      <c r="DE70" s="449"/>
      <c r="DF70" s="449"/>
      <c r="DG70" s="449"/>
      <c r="DH70" s="449"/>
      <c r="DI70" s="449"/>
      <c r="DJ70" s="449"/>
      <c r="DK70" s="449"/>
      <c r="DL70" s="449"/>
      <c r="DM70" s="449"/>
      <c r="DN70" s="449"/>
      <c r="DO70" s="449"/>
      <c r="DP70" s="449"/>
      <c r="DQ70" s="449"/>
      <c r="DR70" s="449"/>
      <c r="DS70" s="449"/>
      <c r="DT70" s="449"/>
      <c r="DU70" s="449"/>
      <c r="DV70" s="449"/>
      <c r="DW70" s="449"/>
      <c r="DX70" s="449"/>
      <c r="DY70" s="449"/>
      <c r="DZ70" s="449"/>
      <c r="EA70" s="449"/>
      <c r="EB70" s="449"/>
      <c r="EC70" s="449"/>
      <c r="ED70" s="449"/>
      <c r="EE70" s="449"/>
      <c r="EF70" s="449"/>
      <c r="EG70" s="449"/>
      <c r="EH70" s="449"/>
      <c r="EI70" s="449"/>
      <c r="EJ70" s="449"/>
      <c r="EK70" s="449"/>
      <c r="EL70" s="449"/>
      <c r="EM70" s="449"/>
      <c r="EN70" s="449"/>
      <c r="EO70" s="449"/>
      <c r="EP70" s="449"/>
      <c r="EQ70" s="449"/>
      <c r="ER70" s="449"/>
      <c r="ES70" s="449"/>
      <c r="ET70" s="449"/>
      <c r="EU70" s="449"/>
      <c r="EV70" s="449"/>
      <c r="EW70" s="449"/>
      <c r="EX70" s="449"/>
      <c r="EY70" s="449"/>
      <c r="EZ70" s="449"/>
      <c r="FA70" s="449"/>
      <c r="FB70" s="449"/>
      <c r="FC70" s="449"/>
      <c r="FD70" s="449"/>
      <c r="FE70" s="449"/>
      <c r="FF70" s="449"/>
      <c r="FG70" s="449"/>
      <c r="FH70" s="449"/>
      <c r="FI70" s="449"/>
      <c r="FJ70" s="449"/>
      <c r="FK70" s="449"/>
      <c r="FL70" s="449"/>
      <c r="FM70" s="449"/>
      <c r="FN70" s="449"/>
      <c r="FO70" s="449"/>
      <c r="FP70" s="449"/>
      <c r="FQ70" s="449"/>
      <c r="FR70" s="449"/>
      <c r="FS70" s="449"/>
      <c r="FT70" s="449"/>
      <c r="FU70" s="449"/>
      <c r="FV70" s="449"/>
      <c r="FW70" s="449"/>
      <c r="FX70" s="449"/>
      <c r="FY70" s="449"/>
      <c r="FZ70" s="449"/>
      <c r="GA70" s="449"/>
      <c r="GB70" s="449"/>
      <c r="GC70" s="449"/>
      <c r="GD70" s="449"/>
      <c r="GE70" s="449"/>
      <c r="GF70" s="449"/>
      <c r="GG70" s="449"/>
      <c r="GH70" s="449"/>
      <c r="GI70" s="449"/>
      <c r="GJ70" s="449"/>
      <c r="GK70" s="449"/>
      <c r="GL70" s="449"/>
      <c r="GM70" s="449"/>
      <c r="GN70" s="449"/>
      <c r="GO70" s="449"/>
      <c r="GP70" s="449"/>
      <c r="GQ70" s="449"/>
      <c r="GR70" s="449"/>
      <c r="GS70" s="449"/>
      <c r="GT70" s="449"/>
      <c r="GU70" s="449"/>
      <c r="GV70" s="449"/>
      <c r="GW70" s="449"/>
      <c r="GX70" s="449"/>
      <c r="GY70" s="449"/>
      <c r="GZ70" s="449"/>
      <c r="HA70" s="449"/>
      <c r="HB70" s="449"/>
      <c r="HC70" s="449"/>
      <c r="HD70" s="449"/>
      <c r="HE70" s="449"/>
      <c r="HF70" s="449"/>
      <c r="HG70" s="449"/>
      <c r="HH70" s="449"/>
      <c r="HI70" s="449"/>
      <c r="HJ70" s="449"/>
      <c r="HK70" s="449"/>
      <c r="HL70" s="449"/>
      <c r="HM70" s="449"/>
      <c r="HN70" s="449"/>
      <c r="HO70" s="449"/>
      <c r="HP70" s="449"/>
      <c r="HQ70" s="449"/>
      <c r="HR70" s="449"/>
      <c r="HS70" s="449"/>
      <c r="HT70" s="449"/>
      <c r="HU70" s="449"/>
      <c r="HV70" s="449"/>
      <c r="HW70" s="449"/>
      <c r="HX70" s="449"/>
      <c r="HY70" s="449"/>
      <c r="HZ70" s="449"/>
      <c r="IA70" s="449"/>
      <c r="IB70" s="449"/>
      <c r="IC70" s="449"/>
      <c r="ID70" s="449"/>
      <c r="IE70" s="449"/>
      <c r="IF70" s="449"/>
      <c r="IG70" s="449"/>
      <c r="IH70" s="449"/>
      <c r="II70" s="449"/>
      <c r="IJ70" s="449"/>
      <c r="IK70" s="449"/>
      <c r="IL70" s="449"/>
      <c r="IM70" s="449"/>
      <c r="IN70" s="449"/>
      <c r="IO70" s="449"/>
      <c r="IP70" s="449"/>
      <c r="IQ70" s="449"/>
      <c r="IR70" s="449"/>
      <c r="IS70" s="449"/>
      <c r="IT70" s="449"/>
      <c r="IU70" s="449"/>
      <c r="IV70" s="449"/>
      <c r="IW70" s="449"/>
    </row>
    <row r="71" customFormat="false" ht="12.75" hidden="false" customHeight="false" outlineLevel="0" collapsed="false">
      <c r="A71" s="461" t="n">
        <f aca="false">A70+1</f>
        <v>73</v>
      </c>
      <c r="C71" s="476" t="s">
        <v>902</v>
      </c>
      <c r="D71" s="449"/>
      <c r="E71" s="468"/>
      <c r="F71" s="468"/>
      <c r="G71" s="468"/>
      <c r="H71" s="468"/>
      <c r="I71" s="468"/>
      <c r="J71" s="468"/>
      <c r="K71" s="468"/>
      <c r="L71" s="474"/>
      <c r="M71" s="474"/>
      <c r="N71" s="474"/>
      <c r="O71" s="474"/>
      <c r="P71" s="474"/>
      <c r="Q71" s="474"/>
      <c r="R71" s="474"/>
      <c r="S71" s="474"/>
      <c r="T71" s="449"/>
      <c r="U71" s="449"/>
      <c r="V71" s="449"/>
      <c r="W71" s="449"/>
      <c r="X71" s="449"/>
      <c r="Y71" s="449"/>
      <c r="Z71" s="449"/>
      <c r="AA71" s="449"/>
      <c r="AB71" s="449"/>
      <c r="AC71" s="449"/>
      <c r="AD71" s="449"/>
      <c r="AE71" s="449"/>
      <c r="AF71" s="449"/>
      <c r="AG71" s="449"/>
      <c r="AH71" s="449"/>
      <c r="AI71" s="449"/>
      <c r="AJ71" s="449"/>
      <c r="AK71" s="449"/>
      <c r="AL71" s="449"/>
      <c r="AM71" s="449"/>
      <c r="AN71" s="449"/>
      <c r="AO71" s="449"/>
      <c r="AP71" s="449"/>
      <c r="AQ71" s="449"/>
      <c r="AR71" s="449"/>
      <c r="AS71" s="449"/>
      <c r="AT71" s="449"/>
      <c r="AU71" s="449"/>
      <c r="AV71" s="449"/>
      <c r="AW71" s="449"/>
      <c r="AX71" s="449"/>
      <c r="AY71" s="449"/>
      <c r="AZ71" s="449"/>
      <c r="BA71" s="449"/>
      <c r="BB71" s="449"/>
      <c r="BC71" s="449"/>
      <c r="BD71" s="449"/>
      <c r="BE71" s="449"/>
      <c r="BF71" s="449"/>
      <c r="BG71" s="449"/>
      <c r="BH71" s="449"/>
      <c r="BI71" s="449"/>
      <c r="BJ71" s="449"/>
      <c r="BK71" s="449"/>
      <c r="BL71" s="449"/>
      <c r="BM71" s="449"/>
      <c r="BN71" s="449"/>
      <c r="BO71" s="449"/>
      <c r="BP71" s="449"/>
      <c r="BQ71" s="449"/>
      <c r="BR71" s="449"/>
      <c r="BS71" s="449"/>
      <c r="BT71" s="449"/>
      <c r="BU71" s="449"/>
      <c r="BV71" s="449"/>
      <c r="BW71" s="449"/>
      <c r="BX71" s="449"/>
      <c r="BY71" s="449"/>
      <c r="BZ71" s="449"/>
      <c r="CA71" s="449"/>
      <c r="CB71" s="449"/>
      <c r="CC71" s="449"/>
      <c r="CD71" s="449"/>
      <c r="CE71" s="449"/>
      <c r="CF71" s="449"/>
      <c r="CG71" s="449"/>
      <c r="CH71" s="449"/>
      <c r="CI71" s="449"/>
      <c r="CJ71" s="449"/>
      <c r="CK71" s="449"/>
      <c r="CL71" s="449"/>
      <c r="CM71" s="449"/>
      <c r="CN71" s="449"/>
      <c r="CO71" s="449"/>
      <c r="CP71" s="449"/>
      <c r="CQ71" s="449"/>
      <c r="CR71" s="449"/>
      <c r="CS71" s="449"/>
      <c r="CT71" s="449"/>
      <c r="CU71" s="449"/>
      <c r="CV71" s="449"/>
      <c r="CW71" s="449"/>
      <c r="CX71" s="449"/>
      <c r="CY71" s="449"/>
      <c r="CZ71" s="449"/>
      <c r="DA71" s="449"/>
      <c r="DB71" s="449"/>
      <c r="DC71" s="449"/>
      <c r="DD71" s="449"/>
      <c r="DE71" s="449"/>
      <c r="DF71" s="449"/>
      <c r="DG71" s="449"/>
      <c r="DH71" s="449"/>
      <c r="DI71" s="449"/>
      <c r="DJ71" s="449"/>
      <c r="DK71" s="449"/>
      <c r="DL71" s="449"/>
      <c r="DM71" s="449"/>
      <c r="DN71" s="449"/>
      <c r="DO71" s="449"/>
      <c r="DP71" s="449"/>
      <c r="DQ71" s="449"/>
      <c r="DR71" s="449"/>
      <c r="DS71" s="449"/>
      <c r="DT71" s="449"/>
      <c r="DU71" s="449"/>
      <c r="DV71" s="449"/>
      <c r="DW71" s="449"/>
      <c r="DX71" s="449"/>
      <c r="DY71" s="449"/>
      <c r="DZ71" s="449"/>
      <c r="EA71" s="449"/>
      <c r="EB71" s="449"/>
      <c r="EC71" s="449"/>
      <c r="ED71" s="449"/>
      <c r="EE71" s="449"/>
      <c r="EF71" s="449"/>
      <c r="EG71" s="449"/>
      <c r="EH71" s="449"/>
      <c r="EI71" s="449"/>
      <c r="EJ71" s="449"/>
      <c r="EK71" s="449"/>
      <c r="EL71" s="449"/>
      <c r="EM71" s="449"/>
      <c r="EN71" s="449"/>
      <c r="EO71" s="449"/>
      <c r="EP71" s="449"/>
      <c r="EQ71" s="449"/>
      <c r="ER71" s="449"/>
      <c r="ES71" s="449"/>
      <c r="ET71" s="449"/>
      <c r="EU71" s="449"/>
      <c r="EV71" s="449"/>
      <c r="EW71" s="449"/>
      <c r="EX71" s="449"/>
      <c r="EY71" s="449"/>
      <c r="EZ71" s="449"/>
      <c r="FA71" s="449"/>
      <c r="FB71" s="449"/>
      <c r="FC71" s="449"/>
      <c r="FD71" s="449"/>
      <c r="FE71" s="449"/>
      <c r="FF71" s="449"/>
      <c r="FG71" s="449"/>
      <c r="FH71" s="449"/>
      <c r="FI71" s="449"/>
      <c r="FJ71" s="449"/>
      <c r="FK71" s="449"/>
      <c r="FL71" s="449"/>
      <c r="FM71" s="449"/>
      <c r="FN71" s="449"/>
      <c r="FO71" s="449"/>
      <c r="FP71" s="449"/>
      <c r="FQ71" s="449"/>
      <c r="FR71" s="449"/>
      <c r="FS71" s="449"/>
      <c r="FT71" s="449"/>
      <c r="FU71" s="449"/>
      <c r="FV71" s="449"/>
      <c r="FW71" s="449"/>
      <c r="FX71" s="449"/>
      <c r="FY71" s="449"/>
      <c r="FZ71" s="449"/>
      <c r="GA71" s="449"/>
      <c r="GB71" s="449"/>
      <c r="GC71" s="449"/>
      <c r="GD71" s="449"/>
      <c r="GE71" s="449"/>
      <c r="GF71" s="449"/>
      <c r="GG71" s="449"/>
      <c r="GH71" s="449"/>
      <c r="GI71" s="449"/>
      <c r="GJ71" s="449"/>
      <c r="GK71" s="449"/>
      <c r="GL71" s="449"/>
      <c r="GM71" s="449"/>
      <c r="GN71" s="449"/>
      <c r="GO71" s="449"/>
      <c r="GP71" s="449"/>
      <c r="GQ71" s="449"/>
      <c r="GR71" s="449"/>
      <c r="GS71" s="449"/>
      <c r="GT71" s="449"/>
      <c r="GU71" s="449"/>
      <c r="GV71" s="449"/>
      <c r="GW71" s="449"/>
      <c r="GX71" s="449"/>
      <c r="GY71" s="449"/>
      <c r="GZ71" s="449"/>
      <c r="HA71" s="449"/>
      <c r="HB71" s="449"/>
      <c r="HC71" s="449"/>
      <c r="HD71" s="449"/>
      <c r="HE71" s="449"/>
      <c r="HF71" s="449"/>
      <c r="HG71" s="449"/>
      <c r="HH71" s="449"/>
      <c r="HI71" s="449"/>
      <c r="HJ71" s="449"/>
      <c r="HK71" s="449"/>
      <c r="HL71" s="449"/>
      <c r="HM71" s="449"/>
      <c r="HN71" s="449"/>
      <c r="HO71" s="449"/>
      <c r="HP71" s="449"/>
      <c r="HQ71" s="449"/>
      <c r="HR71" s="449"/>
      <c r="HS71" s="449"/>
      <c r="HT71" s="449"/>
      <c r="HU71" s="449"/>
      <c r="HV71" s="449"/>
      <c r="HW71" s="449"/>
      <c r="HX71" s="449"/>
      <c r="HY71" s="449"/>
      <c r="HZ71" s="449"/>
      <c r="IA71" s="449"/>
      <c r="IB71" s="449"/>
      <c r="IC71" s="449"/>
      <c r="ID71" s="449"/>
      <c r="IE71" s="449"/>
      <c r="IF71" s="449"/>
      <c r="IG71" s="449"/>
      <c r="IH71" s="449"/>
      <c r="II71" s="449"/>
      <c r="IJ71" s="449"/>
      <c r="IK71" s="449"/>
      <c r="IL71" s="449"/>
      <c r="IM71" s="449"/>
      <c r="IN71" s="449"/>
      <c r="IO71" s="449"/>
      <c r="IP71" s="449"/>
      <c r="IQ71" s="449"/>
      <c r="IR71" s="449"/>
      <c r="IS71" s="449"/>
      <c r="IT71" s="449"/>
      <c r="IU71" s="449"/>
      <c r="IV71" s="449"/>
      <c r="IW71" s="449"/>
    </row>
    <row r="72" customFormat="false" ht="12.75" hidden="false" customHeight="false" outlineLevel="0" collapsed="false">
      <c r="A72" s="461" t="n">
        <f aca="false">A71+1</f>
        <v>74</v>
      </c>
      <c r="C72" s="476" t="s">
        <v>903</v>
      </c>
      <c r="D72" s="449"/>
      <c r="E72" s="468"/>
      <c r="F72" s="468"/>
      <c r="G72" s="468"/>
      <c r="H72" s="468"/>
      <c r="I72" s="468"/>
      <c r="J72" s="468"/>
      <c r="K72" s="468"/>
      <c r="L72" s="474"/>
      <c r="M72" s="474"/>
      <c r="N72" s="474"/>
      <c r="O72" s="474"/>
      <c r="P72" s="474"/>
      <c r="Q72" s="474"/>
      <c r="R72" s="474"/>
      <c r="S72" s="474"/>
      <c r="T72" s="449"/>
      <c r="U72" s="449"/>
      <c r="V72" s="449"/>
      <c r="W72" s="449"/>
      <c r="X72" s="449"/>
      <c r="Y72" s="449"/>
      <c r="Z72" s="449"/>
      <c r="AA72" s="449"/>
      <c r="AB72" s="449"/>
      <c r="AC72" s="449"/>
      <c r="AD72" s="449"/>
      <c r="AE72" s="449"/>
      <c r="AF72" s="449"/>
      <c r="AG72" s="449"/>
      <c r="AH72" s="449"/>
      <c r="AI72" s="449"/>
      <c r="AJ72" s="449"/>
      <c r="AK72" s="449"/>
      <c r="AL72" s="449"/>
      <c r="AM72" s="449"/>
      <c r="AN72" s="449"/>
      <c r="AO72" s="449"/>
      <c r="AP72" s="449"/>
      <c r="AQ72" s="449"/>
      <c r="AR72" s="449"/>
      <c r="AS72" s="449"/>
      <c r="AT72" s="449"/>
      <c r="AU72" s="449"/>
      <c r="AV72" s="449"/>
      <c r="AW72" s="449"/>
      <c r="AX72" s="449"/>
      <c r="AY72" s="449"/>
      <c r="AZ72" s="449"/>
      <c r="BA72" s="449"/>
      <c r="BB72" s="449"/>
      <c r="BC72" s="449"/>
      <c r="BD72" s="449"/>
      <c r="BE72" s="449"/>
      <c r="BF72" s="449"/>
      <c r="BG72" s="449"/>
      <c r="BH72" s="449"/>
      <c r="BI72" s="449"/>
      <c r="BJ72" s="449"/>
      <c r="BK72" s="449"/>
      <c r="BL72" s="449"/>
      <c r="BM72" s="449"/>
      <c r="BN72" s="449"/>
      <c r="BO72" s="449"/>
      <c r="BP72" s="449"/>
      <c r="BQ72" s="449"/>
      <c r="BR72" s="449"/>
      <c r="BS72" s="449"/>
      <c r="BT72" s="449"/>
      <c r="BU72" s="449"/>
      <c r="BV72" s="449"/>
      <c r="BW72" s="449"/>
      <c r="BX72" s="449"/>
      <c r="BY72" s="449"/>
      <c r="BZ72" s="449"/>
      <c r="CA72" s="449"/>
      <c r="CB72" s="449"/>
      <c r="CC72" s="449"/>
      <c r="CD72" s="449"/>
      <c r="CE72" s="449"/>
      <c r="CF72" s="449"/>
      <c r="CG72" s="449"/>
      <c r="CH72" s="449"/>
      <c r="CI72" s="449"/>
      <c r="CJ72" s="449"/>
      <c r="CK72" s="449"/>
      <c r="CL72" s="449"/>
      <c r="CM72" s="449"/>
      <c r="CN72" s="449"/>
      <c r="CO72" s="449"/>
      <c r="CP72" s="449"/>
      <c r="CQ72" s="449"/>
      <c r="CR72" s="449"/>
      <c r="CS72" s="449"/>
      <c r="CT72" s="449"/>
      <c r="CU72" s="449"/>
      <c r="CV72" s="449"/>
      <c r="CW72" s="449"/>
      <c r="CX72" s="449"/>
      <c r="CY72" s="449"/>
      <c r="CZ72" s="449"/>
      <c r="DA72" s="449"/>
      <c r="DB72" s="449"/>
      <c r="DC72" s="449"/>
      <c r="DD72" s="449"/>
      <c r="DE72" s="449"/>
      <c r="DF72" s="449"/>
      <c r="DG72" s="449"/>
      <c r="DH72" s="449"/>
      <c r="DI72" s="449"/>
      <c r="DJ72" s="449"/>
      <c r="DK72" s="449"/>
      <c r="DL72" s="449"/>
      <c r="DM72" s="449"/>
      <c r="DN72" s="449"/>
      <c r="DO72" s="449"/>
      <c r="DP72" s="449"/>
      <c r="DQ72" s="449"/>
      <c r="DR72" s="449"/>
      <c r="DS72" s="449"/>
      <c r="DT72" s="449"/>
      <c r="DU72" s="449"/>
      <c r="DV72" s="449"/>
      <c r="DW72" s="449"/>
      <c r="DX72" s="449"/>
      <c r="DY72" s="449"/>
      <c r="DZ72" s="449"/>
      <c r="EA72" s="449"/>
      <c r="EB72" s="449"/>
      <c r="EC72" s="449"/>
      <c r="ED72" s="449"/>
      <c r="EE72" s="449"/>
      <c r="EF72" s="449"/>
      <c r="EG72" s="449"/>
      <c r="EH72" s="449"/>
      <c r="EI72" s="449"/>
      <c r="EJ72" s="449"/>
      <c r="EK72" s="449"/>
      <c r="EL72" s="449"/>
      <c r="EM72" s="449"/>
      <c r="EN72" s="449"/>
      <c r="EO72" s="449"/>
      <c r="EP72" s="449"/>
      <c r="EQ72" s="449"/>
      <c r="ER72" s="449"/>
      <c r="ES72" s="449"/>
      <c r="ET72" s="449"/>
      <c r="EU72" s="449"/>
      <c r="EV72" s="449"/>
      <c r="EW72" s="449"/>
      <c r="EX72" s="449"/>
      <c r="EY72" s="449"/>
      <c r="EZ72" s="449"/>
      <c r="FA72" s="449"/>
      <c r="FB72" s="449"/>
      <c r="FC72" s="449"/>
      <c r="FD72" s="449"/>
      <c r="FE72" s="449"/>
      <c r="FF72" s="449"/>
      <c r="FG72" s="449"/>
      <c r="FH72" s="449"/>
      <c r="FI72" s="449"/>
      <c r="FJ72" s="449"/>
      <c r="FK72" s="449"/>
      <c r="FL72" s="449"/>
      <c r="FM72" s="449"/>
      <c r="FN72" s="449"/>
      <c r="FO72" s="449"/>
      <c r="FP72" s="449"/>
      <c r="FQ72" s="449"/>
      <c r="FR72" s="449"/>
      <c r="FS72" s="449"/>
      <c r="FT72" s="449"/>
      <c r="FU72" s="449"/>
      <c r="FV72" s="449"/>
      <c r="FW72" s="449"/>
      <c r="FX72" s="449"/>
      <c r="FY72" s="449"/>
      <c r="FZ72" s="449"/>
      <c r="GA72" s="449"/>
      <c r="GB72" s="449"/>
      <c r="GC72" s="449"/>
      <c r="GD72" s="449"/>
      <c r="GE72" s="449"/>
      <c r="GF72" s="449"/>
      <c r="GG72" s="449"/>
      <c r="GH72" s="449"/>
      <c r="GI72" s="449"/>
      <c r="GJ72" s="449"/>
      <c r="GK72" s="449"/>
      <c r="GL72" s="449"/>
      <c r="GM72" s="449"/>
      <c r="GN72" s="449"/>
      <c r="GO72" s="449"/>
      <c r="GP72" s="449"/>
      <c r="GQ72" s="449"/>
      <c r="GR72" s="449"/>
      <c r="GS72" s="449"/>
      <c r="GT72" s="449"/>
      <c r="GU72" s="449"/>
      <c r="GV72" s="449"/>
      <c r="GW72" s="449"/>
      <c r="GX72" s="449"/>
      <c r="GY72" s="449"/>
      <c r="GZ72" s="449"/>
      <c r="HA72" s="449"/>
      <c r="HB72" s="449"/>
      <c r="HC72" s="449"/>
      <c r="HD72" s="449"/>
      <c r="HE72" s="449"/>
      <c r="HF72" s="449"/>
      <c r="HG72" s="449"/>
      <c r="HH72" s="449"/>
      <c r="HI72" s="449"/>
      <c r="HJ72" s="449"/>
      <c r="HK72" s="449"/>
      <c r="HL72" s="449"/>
      <c r="HM72" s="449"/>
      <c r="HN72" s="449"/>
      <c r="HO72" s="449"/>
      <c r="HP72" s="449"/>
      <c r="HQ72" s="449"/>
      <c r="HR72" s="449"/>
      <c r="HS72" s="449"/>
      <c r="HT72" s="449"/>
      <c r="HU72" s="449"/>
      <c r="HV72" s="449"/>
      <c r="HW72" s="449"/>
      <c r="HX72" s="449"/>
      <c r="HY72" s="449"/>
      <c r="HZ72" s="449"/>
      <c r="IA72" s="449"/>
      <c r="IB72" s="449"/>
      <c r="IC72" s="449"/>
      <c r="ID72" s="449"/>
      <c r="IE72" s="449"/>
      <c r="IF72" s="449"/>
      <c r="IG72" s="449"/>
      <c r="IH72" s="449"/>
      <c r="II72" s="449"/>
      <c r="IJ72" s="449"/>
      <c r="IK72" s="449"/>
      <c r="IL72" s="449"/>
      <c r="IM72" s="449"/>
      <c r="IN72" s="449"/>
      <c r="IO72" s="449"/>
      <c r="IP72" s="449"/>
      <c r="IQ72" s="449"/>
      <c r="IR72" s="449"/>
      <c r="IS72" s="449"/>
      <c r="IT72" s="449"/>
      <c r="IU72" s="449"/>
      <c r="IV72" s="449"/>
      <c r="IW72" s="449"/>
    </row>
    <row r="73" customFormat="false" ht="12.75" hidden="false" customHeight="false" outlineLevel="0" collapsed="false">
      <c r="A73" s="461" t="n">
        <f aca="false">A72+1</f>
        <v>75</v>
      </c>
      <c r="C73" s="476" t="s">
        <v>904</v>
      </c>
      <c r="D73" s="449"/>
      <c r="E73" s="468"/>
      <c r="F73" s="468"/>
      <c r="G73" s="468"/>
      <c r="H73" s="468"/>
      <c r="I73" s="468"/>
      <c r="J73" s="468"/>
      <c r="K73" s="468"/>
      <c r="L73" s="474"/>
      <c r="M73" s="474"/>
      <c r="N73" s="474"/>
      <c r="O73" s="474"/>
      <c r="P73" s="474"/>
      <c r="Q73" s="474"/>
      <c r="R73" s="474"/>
      <c r="S73" s="474"/>
      <c r="T73" s="449"/>
      <c r="U73" s="449"/>
      <c r="V73" s="449"/>
      <c r="W73" s="449"/>
      <c r="X73" s="449"/>
      <c r="Y73" s="449"/>
      <c r="Z73" s="449"/>
      <c r="AA73" s="449"/>
      <c r="AB73" s="449"/>
      <c r="AC73" s="449"/>
      <c r="AD73" s="449"/>
      <c r="AE73" s="449"/>
      <c r="AF73" s="449"/>
      <c r="AG73" s="449"/>
      <c r="AH73" s="449"/>
      <c r="AI73" s="449"/>
      <c r="AJ73" s="449"/>
      <c r="AK73" s="449"/>
      <c r="AL73" s="449"/>
      <c r="AM73" s="449"/>
      <c r="AN73" s="449"/>
      <c r="AO73" s="449"/>
      <c r="AP73" s="449"/>
      <c r="AQ73" s="449"/>
      <c r="AR73" s="449"/>
      <c r="AS73" s="449"/>
      <c r="AT73" s="449"/>
      <c r="AU73" s="449"/>
      <c r="AV73" s="449"/>
      <c r="AW73" s="449"/>
      <c r="AX73" s="449"/>
      <c r="AY73" s="449"/>
      <c r="AZ73" s="449"/>
      <c r="BA73" s="449"/>
      <c r="BB73" s="449"/>
      <c r="BC73" s="449"/>
      <c r="BD73" s="449"/>
      <c r="BE73" s="449"/>
      <c r="BF73" s="449"/>
      <c r="BG73" s="449"/>
      <c r="BH73" s="449"/>
      <c r="BI73" s="449"/>
      <c r="BJ73" s="449"/>
      <c r="BK73" s="449"/>
      <c r="BL73" s="449"/>
      <c r="BM73" s="449"/>
      <c r="BN73" s="449"/>
      <c r="BO73" s="449"/>
      <c r="BP73" s="449"/>
      <c r="BQ73" s="449"/>
      <c r="BR73" s="449"/>
      <c r="BS73" s="449"/>
      <c r="BT73" s="449"/>
      <c r="BU73" s="449"/>
      <c r="BV73" s="449"/>
      <c r="BW73" s="449"/>
      <c r="BX73" s="449"/>
      <c r="BY73" s="449"/>
      <c r="BZ73" s="449"/>
      <c r="CA73" s="449"/>
      <c r="CB73" s="449"/>
      <c r="CC73" s="449"/>
      <c r="CD73" s="449"/>
      <c r="CE73" s="449"/>
      <c r="CF73" s="449"/>
      <c r="CG73" s="449"/>
      <c r="CH73" s="449"/>
      <c r="CI73" s="449"/>
      <c r="CJ73" s="449"/>
      <c r="CK73" s="449"/>
      <c r="CL73" s="449"/>
      <c r="CM73" s="449"/>
      <c r="CN73" s="449"/>
      <c r="CO73" s="449"/>
      <c r="CP73" s="449"/>
      <c r="CQ73" s="449"/>
      <c r="CR73" s="449"/>
      <c r="CS73" s="449"/>
      <c r="CT73" s="449"/>
      <c r="CU73" s="449"/>
      <c r="CV73" s="449"/>
      <c r="CW73" s="449"/>
      <c r="CX73" s="449"/>
      <c r="CY73" s="449"/>
      <c r="CZ73" s="449"/>
      <c r="DA73" s="449"/>
      <c r="DB73" s="449"/>
      <c r="DC73" s="449"/>
      <c r="DD73" s="449"/>
      <c r="DE73" s="449"/>
      <c r="DF73" s="449"/>
      <c r="DG73" s="449"/>
      <c r="DH73" s="449"/>
      <c r="DI73" s="449"/>
      <c r="DJ73" s="449"/>
      <c r="DK73" s="449"/>
      <c r="DL73" s="449"/>
      <c r="DM73" s="449"/>
      <c r="DN73" s="449"/>
      <c r="DO73" s="449"/>
      <c r="DP73" s="449"/>
      <c r="DQ73" s="449"/>
      <c r="DR73" s="449"/>
      <c r="DS73" s="449"/>
      <c r="DT73" s="449"/>
      <c r="DU73" s="449"/>
      <c r="DV73" s="449"/>
      <c r="DW73" s="449"/>
      <c r="DX73" s="449"/>
      <c r="DY73" s="449"/>
      <c r="DZ73" s="449"/>
      <c r="EA73" s="449"/>
      <c r="EB73" s="449"/>
      <c r="EC73" s="449"/>
      <c r="ED73" s="449"/>
      <c r="EE73" s="449"/>
      <c r="EF73" s="449"/>
      <c r="EG73" s="449"/>
      <c r="EH73" s="449"/>
      <c r="EI73" s="449"/>
      <c r="EJ73" s="449"/>
      <c r="EK73" s="449"/>
      <c r="EL73" s="449"/>
      <c r="EM73" s="449"/>
      <c r="EN73" s="449"/>
      <c r="EO73" s="449"/>
      <c r="EP73" s="449"/>
      <c r="EQ73" s="449"/>
      <c r="ER73" s="449"/>
      <c r="ES73" s="449"/>
      <c r="ET73" s="449"/>
      <c r="EU73" s="449"/>
      <c r="EV73" s="449"/>
      <c r="EW73" s="449"/>
      <c r="EX73" s="449"/>
      <c r="EY73" s="449"/>
      <c r="EZ73" s="449"/>
      <c r="FA73" s="449"/>
      <c r="FB73" s="449"/>
      <c r="FC73" s="449"/>
      <c r="FD73" s="449"/>
      <c r="FE73" s="449"/>
      <c r="FF73" s="449"/>
      <c r="FG73" s="449"/>
      <c r="FH73" s="449"/>
      <c r="FI73" s="449"/>
      <c r="FJ73" s="449"/>
      <c r="FK73" s="449"/>
      <c r="FL73" s="449"/>
      <c r="FM73" s="449"/>
      <c r="FN73" s="449"/>
      <c r="FO73" s="449"/>
      <c r="FP73" s="449"/>
      <c r="FQ73" s="449"/>
      <c r="FR73" s="449"/>
      <c r="FS73" s="449"/>
      <c r="FT73" s="449"/>
      <c r="FU73" s="449"/>
      <c r="FV73" s="449"/>
      <c r="FW73" s="449"/>
      <c r="FX73" s="449"/>
      <c r="FY73" s="449"/>
      <c r="FZ73" s="449"/>
      <c r="GA73" s="449"/>
      <c r="GB73" s="449"/>
      <c r="GC73" s="449"/>
      <c r="GD73" s="449"/>
      <c r="GE73" s="449"/>
      <c r="GF73" s="449"/>
      <c r="GG73" s="449"/>
      <c r="GH73" s="449"/>
      <c r="GI73" s="449"/>
      <c r="GJ73" s="449"/>
      <c r="GK73" s="449"/>
      <c r="GL73" s="449"/>
      <c r="GM73" s="449"/>
      <c r="GN73" s="449"/>
      <c r="GO73" s="449"/>
      <c r="GP73" s="449"/>
      <c r="GQ73" s="449"/>
      <c r="GR73" s="449"/>
      <c r="GS73" s="449"/>
      <c r="GT73" s="449"/>
      <c r="GU73" s="449"/>
      <c r="GV73" s="449"/>
      <c r="GW73" s="449"/>
      <c r="GX73" s="449"/>
      <c r="GY73" s="449"/>
      <c r="GZ73" s="449"/>
      <c r="HA73" s="449"/>
      <c r="HB73" s="449"/>
      <c r="HC73" s="449"/>
      <c r="HD73" s="449"/>
      <c r="HE73" s="449"/>
      <c r="HF73" s="449"/>
      <c r="HG73" s="449"/>
      <c r="HH73" s="449"/>
      <c r="HI73" s="449"/>
      <c r="HJ73" s="449"/>
      <c r="HK73" s="449"/>
      <c r="HL73" s="449"/>
      <c r="HM73" s="449"/>
      <c r="HN73" s="449"/>
      <c r="HO73" s="449"/>
      <c r="HP73" s="449"/>
      <c r="HQ73" s="449"/>
      <c r="HR73" s="449"/>
      <c r="HS73" s="449"/>
      <c r="HT73" s="449"/>
      <c r="HU73" s="449"/>
      <c r="HV73" s="449"/>
      <c r="HW73" s="449"/>
      <c r="HX73" s="449"/>
      <c r="HY73" s="449"/>
      <c r="HZ73" s="449"/>
      <c r="IA73" s="449"/>
      <c r="IB73" s="449"/>
      <c r="IC73" s="449"/>
      <c r="ID73" s="449"/>
      <c r="IE73" s="449"/>
      <c r="IF73" s="449"/>
      <c r="IG73" s="449"/>
      <c r="IH73" s="449"/>
      <c r="II73" s="449"/>
      <c r="IJ73" s="449"/>
      <c r="IK73" s="449"/>
      <c r="IL73" s="449"/>
      <c r="IM73" s="449"/>
      <c r="IN73" s="449"/>
      <c r="IO73" s="449"/>
      <c r="IP73" s="449"/>
      <c r="IQ73" s="449"/>
      <c r="IR73" s="449"/>
      <c r="IS73" s="449"/>
      <c r="IT73" s="449"/>
      <c r="IU73" s="449"/>
      <c r="IV73" s="449"/>
      <c r="IW73" s="449"/>
    </row>
    <row r="74" customFormat="false" ht="12.75" hidden="false" customHeight="false" outlineLevel="0" collapsed="false">
      <c r="A74" s="461"/>
      <c r="C74" s="476" t="s">
        <v>905</v>
      </c>
      <c r="D74" s="449"/>
      <c r="E74" s="468"/>
      <c r="F74" s="468"/>
      <c r="G74" s="468"/>
      <c r="H74" s="468"/>
      <c r="I74" s="468"/>
      <c r="J74" s="468"/>
      <c r="K74" s="468"/>
      <c r="L74" s="474"/>
      <c r="M74" s="474"/>
      <c r="N74" s="474"/>
      <c r="O74" s="474"/>
      <c r="P74" s="474"/>
      <c r="Q74" s="474"/>
      <c r="R74" s="474"/>
      <c r="S74" s="474"/>
      <c r="T74" s="449"/>
      <c r="U74" s="449"/>
      <c r="V74" s="449"/>
      <c r="W74" s="449"/>
      <c r="X74" s="449"/>
      <c r="Y74" s="449"/>
      <c r="Z74" s="449"/>
      <c r="AA74" s="449"/>
      <c r="AB74" s="449"/>
      <c r="AC74" s="449"/>
      <c r="AD74" s="449"/>
      <c r="AE74" s="449"/>
      <c r="AF74" s="449"/>
      <c r="AG74" s="449"/>
      <c r="AH74" s="449"/>
      <c r="AI74" s="449"/>
      <c r="AJ74" s="449"/>
      <c r="AK74" s="449"/>
      <c r="AL74" s="449"/>
      <c r="AM74" s="449"/>
      <c r="AN74" s="449"/>
      <c r="AO74" s="449"/>
      <c r="AP74" s="449"/>
      <c r="AQ74" s="449"/>
      <c r="AR74" s="449"/>
      <c r="AS74" s="449"/>
      <c r="AT74" s="449"/>
      <c r="AU74" s="449"/>
      <c r="AV74" s="449"/>
      <c r="AW74" s="449"/>
      <c r="AX74" s="449"/>
      <c r="AY74" s="449"/>
      <c r="AZ74" s="449"/>
      <c r="BA74" s="449"/>
      <c r="BB74" s="449"/>
      <c r="BC74" s="449"/>
      <c r="BD74" s="449"/>
      <c r="BE74" s="449"/>
      <c r="BF74" s="449"/>
      <c r="BG74" s="449"/>
      <c r="BH74" s="449"/>
      <c r="BI74" s="449"/>
      <c r="BJ74" s="449"/>
      <c r="BK74" s="449"/>
      <c r="BL74" s="449"/>
      <c r="BM74" s="449"/>
      <c r="BN74" s="449"/>
      <c r="BO74" s="449"/>
      <c r="BP74" s="449"/>
      <c r="BQ74" s="449"/>
      <c r="BR74" s="449"/>
      <c r="BS74" s="449"/>
      <c r="BT74" s="449"/>
      <c r="BU74" s="449"/>
      <c r="BV74" s="449"/>
      <c r="BW74" s="449"/>
      <c r="BX74" s="449"/>
      <c r="BY74" s="449"/>
      <c r="BZ74" s="449"/>
      <c r="CA74" s="449"/>
      <c r="CB74" s="449"/>
      <c r="CC74" s="449"/>
      <c r="CD74" s="449"/>
      <c r="CE74" s="449"/>
      <c r="CF74" s="449"/>
      <c r="CG74" s="449"/>
      <c r="CH74" s="449"/>
      <c r="CI74" s="449"/>
      <c r="CJ74" s="449"/>
      <c r="CK74" s="449"/>
      <c r="CL74" s="449"/>
      <c r="CM74" s="449"/>
      <c r="CN74" s="449"/>
      <c r="CO74" s="449"/>
      <c r="CP74" s="449"/>
      <c r="CQ74" s="449"/>
      <c r="CR74" s="449"/>
      <c r="CS74" s="449"/>
      <c r="CT74" s="449"/>
      <c r="CU74" s="449"/>
      <c r="CV74" s="449"/>
      <c r="CW74" s="449"/>
      <c r="CX74" s="449"/>
      <c r="CY74" s="449"/>
      <c r="CZ74" s="449"/>
      <c r="DA74" s="449"/>
      <c r="DB74" s="449"/>
      <c r="DC74" s="449"/>
      <c r="DD74" s="449"/>
      <c r="DE74" s="449"/>
      <c r="DF74" s="449"/>
      <c r="DG74" s="449"/>
      <c r="DH74" s="449"/>
      <c r="DI74" s="449"/>
      <c r="DJ74" s="449"/>
      <c r="DK74" s="449"/>
      <c r="DL74" s="449"/>
      <c r="DM74" s="449"/>
      <c r="DN74" s="449"/>
      <c r="DO74" s="449"/>
      <c r="DP74" s="449"/>
      <c r="DQ74" s="449"/>
      <c r="DR74" s="449"/>
      <c r="DS74" s="449"/>
      <c r="DT74" s="449"/>
      <c r="DU74" s="449"/>
      <c r="DV74" s="449"/>
      <c r="DW74" s="449"/>
      <c r="DX74" s="449"/>
      <c r="DY74" s="449"/>
      <c r="DZ74" s="449"/>
      <c r="EA74" s="449"/>
      <c r="EB74" s="449"/>
      <c r="EC74" s="449"/>
      <c r="ED74" s="449"/>
      <c r="EE74" s="449"/>
      <c r="EF74" s="449"/>
      <c r="EG74" s="449"/>
      <c r="EH74" s="449"/>
      <c r="EI74" s="449"/>
      <c r="EJ74" s="449"/>
      <c r="EK74" s="449"/>
      <c r="EL74" s="449"/>
      <c r="EM74" s="449"/>
      <c r="EN74" s="449"/>
      <c r="EO74" s="449"/>
      <c r="EP74" s="449"/>
      <c r="EQ74" s="449"/>
      <c r="ER74" s="449"/>
      <c r="ES74" s="449"/>
      <c r="ET74" s="449"/>
      <c r="EU74" s="449"/>
      <c r="EV74" s="449"/>
      <c r="EW74" s="449"/>
      <c r="EX74" s="449"/>
      <c r="EY74" s="449"/>
      <c r="EZ74" s="449"/>
      <c r="FA74" s="449"/>
      <c r="FB74" s="449"/>
      <c r="FC74" s="449"/>
      <c r="FD74" s="449"/>
      <c r="FE74" s="449"/>
      <c r="FF74" s="449"/>
      <c r="FG74" s="449"/>
      <c r="FH74" s="449"/>
      <c r="FI74" s="449"/>
      <c r="FJ74" s="449"/>
      <c r="FK74" s="449"/>
      <c r="FL74" s="449"/>
      <c r="FM74" s="449"/>
      <c r="FN74" s="449"/>
      <c r="FO74" s="449"/>
      <c r="FP74" s="449"/>
      <c r="FQ74" s="449"/>
      <c r="FR74" s="449"/>
      <c r="FS74" s="449"/>
      <c r="FT74" s="449"/>
      <c r="FU74" s="449"/>
      <c r="FV74" s="449"/>
      <c r="FW74" s="449"/>
      <c r="FX74" s="449"/>
      <c r="FY74" s="449"/>
      <c r="FZ74" s="449"/>
      <c r="GA74" s="449"/>
      <c r="GB74" s="449"/>
      <c r="GC74" s="449"/>
      <c r="GD74" s="449"/>
      <c r="GE74" s="449"/>
      <c r="GF74" s="449"/>
      <c r="GG74" s="449"/>
      <c r="GH74" s="449"/>
      <c r="GI74" s="449"/>
      <c r="GJ74" s="449"/>
      <c r="GK74" s="449"/>
      <c r="GL74" s="449"/>
      <c r="GM74" s="449"/>
      <c r="GN74" s="449"/>
      <c r="GO74" s="449"/>
      <c r="GP74" s="449"/>
      <c r="GQ74" s="449"/>
      <c r="GR74" s="449"/>
      <c r="GS74" s="449"/>
      <c r="GT74" s="449"/>
      <c r="GU74" s="449"/>
      <c r="GV74" s="449"/>
      <c r="GW74" s="449"/>
      <c r="GX74" s="449"/>
      <c r="GY74" s="449"/>
      <c r="GZ74" s="449"/>
      <c r="HA74" s="449"/>
      <c r="HB74" s="449"/>
      <c r="HC74" s="449"/>
      <c r="HD74" s="449"/>
      <c r="HE74" s="449"/>
      <c r="HF74" s="449"/>
      <c r="HG74" s="449"/>
      <c r="HH74" s="449"/>
      <c r="HI74" s="449"/>
      <c r="HJ74" s="449"/>
      <c r="HK74" s="449"/>
      <c r="HL74" s="449"/>
      <c r="HM74" s="449"/>
      <c r="HN74" s="449"/>
      <c r="HO74" s="449"/>
      <c r="HP74" s="449"/>
      <c r="HQ74" s="449"/>
      <c r="HR74" s="449"/>
      <c r="HS74" s="449"/>
      <c r="HT74" s="449"/>
      <c r="HU74" s="449"/>
      <c r="HV74" s="449"/>
      <c r="HW74" s="449"/>
      <c r="HX74" s="449"/>
      <c r="HY74" s="449"/>
      <c r="HZ74" s="449"/>
      <c r="IA74" s="449"/>
      <c r="IB74" s="449"/>
      <c r="IC74" s="449"/>
      <c r="ID74" s="449"/>
      <c r="IE74" s="449"/>
      <c r="IF74" s="449"/>
      <c r="IG74" s="449"/>
      <c r="IH74" s="449"/>
      <c r="II74" s="449"/>
      <c r="IJ74" s="449"/>
      <c r="IK74" s="449"/>
      <c r="IL74" s="449"/>
      <c r="IM74" s="449"/>
      <c r="IN74" s="449"/>
      <c r="IO74" s="449"/>
      <c r="IP74" s="449"/>
      <c r="IQ74" s="449"/>
      <c r="IR74" s="449"/>
      <c r="IS74" s="449"/>
      <c r="IT74" s="449"/>
      <c r="IU74" s="449"/>
      <c r="IV74" s="449"/>
      <c r="IW74" s="449"/>
    </row>
    <row r="75" customFormat="false" ht="12.75" hidden="false" customHeight="false" outlineLevel="0" collapsed="false">
      <c r="A75" s="461"/>
      <c r="C75" s="476" t="s">
        <v>905</v>
      </c>
      <c r="D75" s="449"/>
      <c r="E75" s="468"/>
      <c r="F75" s="468"/>
      <c r="G75" s="468"/>
      <c r="H75" s="468"/>
      <c r="I75" s="468"/>
      <c r="J75" s="468"/>
      <c r="K75" s="468"/>
      <c r="L75" s="474"/>
      <c r="M75" s="474"/>
      <c r="N75" s="474"/>
      <c r="O75" s="474"/>
      <c r="P75" s="474"/>
      <c r="Q75" s="474"/>
      <c r="R75" s="474"/>
      <c r="S75" s="474"/>
      <c r="T75" s="449"/>
      <c r="U75" s="449"/>
      <c r="V75" s="449"/>
      <c r="W75" s="449"/>
      <c r="X75" s="449"/>
      <c r="Y75" s="449"/>
      <c r="Z75" s="449"/>
      <c r="AA75" s="449"/>
      <c r="AB75" s="449"/>
      <c r="AC75" s="449"/>
      <c r="AD75" s="449"/>
      <c r="AE75" s="449"/>
      <c r="AF75" s="449"/>
      <c r="AG75" s="449"/>
      <c r="AH75" s="449"/>
      <c r="AI75" s="449"/>
      <c r="AJ75" s="449"/>
      <c r="AK75" s="449"/>
      <c r="AL75" s="449"/>
      <c r="AM75" s="449"/>
      <c r="AN75" s="449"/>
      <c r="AO75" s="449"/>
      <c r="AP75" s="449"/>
      <c r="AQ75" s="449"/>
      <c r="AR75" s="449"/>
      <c r="AS75" s="449"/>
      <c r="AT75" s="449"/>
      <c r="AU75" s="449"/>
      <c r="AV75" s="449"/>
      <c r="AW75" s="449"/>
      <c r="AX75" s="449"/>
      <c r="AY75" s="449"/>
      <c r="AZ75" s="449"/>
      <c r="BA75" s="449"/>
      <c r="BB75" s="449"/>
      <c r="BC75" s="449"/>
      <c r="BD75" s="449"/>
      <c r="BE75" s="449"/>
      <c r="BF75" s="449"/>
      <c r="BG75" s="449"/>
      <c r="BH75" s="449"/>
      <c r="BI75" s="449"/>
      <c r="BJ75" s="449"/>
      <c r="BK75" s="449"/>
      <c r="BL75" s="449"/>
      <c r="BM75" s="449"/>
      <c r="BN75" s="449"/>
      <c r="BO75" s="449"/>
      <c r="BP75" s="449"/>
      <c r="BQ75" s="449"/>
      <c r="BR75" s="449"/>
      <c r="BS75" s="449"/>
      <c r="BT75" s="449"/>
      <c r="BU75" s="449"/>
      <c r="BV75" s="449"/>
      <c r="BW75" s="449"/>
      <c r="BX75" s="449"/>
      <c r="BY75" s="449"/>
      <c r="BZ75" s="449"/>
      <c r="CA75" s="449"/>
      <c r="CB75" s="449"/>
      <c r="CC75" s="449"/>
      <c r="CD75" s="449"/>
      <c r="CE75" s="449"/>
      <c r="CF75" s="449"/>
      <c r="CG75" s="449"/>
      <c r="CH75" s="449"/>
      <c r="CI75" s="449"/>
      <c r="CJ75" s="449"/>
      <c r="CK75" s="449"/>
      <c r="CL75" s="449"/>
      <c r="CM75" s="449"/>
      <c r="CN75" s="449"/>
      <c r="CO75" s="449"/>
      <c r="CP75" s="449"/>
      <c r="CQ75" s="449"/>
      <c r="CR75" s="449"/>
      <c r="CS75" s="449"/>
      <c r="CT75" s="449"/>
      <c r="CU75" s="449"/>
      <c r="CV75" s="449"/>
      <c r="CW75" s="449"/>
      <c r="CX75" s="449"/>
      <c r="CY75" s="449"/>
      <c r="CZ75" s="449"/>
      <c r="DA75" s="449"/>
      <c r="DB75" s="449"/>
      <c r="DC75" s="449"/>
      <c r="DD75" s="449"/>
      <c r="DE75" s="449"/>
      <c r="DF75" s="449"/>
      <c r="DG75" s="449"/>
      <c r="DH75" s="449"/>
      <c r="DI75" s="449"/>
      <c r="DJ75" s="449"/>
      <c r="DK75" s="449"/>
      <c r="DL75" s="449"/>
      <c r="DM75" s="449"/>
      <c r="DN75" s="449"/>
      <c r="DO75" s="449"/>
      <c r="DP75" s="449"/>
      <c r="DQ75" s="449"/>
      <c r="DR75" s="449"/>
      <c r="DS75" s="449"/>
      <c r="DT75" s="449"/>
      <c r="DU75" s="449"/>
      <c r="DV75" s="449"/>
      <c r="DW75" s="449"/>
      <c r="DX75" s="449"/>
      <c r="DY75" s="449"/>
      <c r="DZ75" s="449"/>
      <c r="EA75" s="449"/>
      <c r="EB75" s="449"/>
      <c r="EC75" s="449"/>
      <c r="ED75" s="449"/>
      <c r="EE75" s="449"/>
      <c r="EF75" s="449"/>
      <c r="EG75" s="449"/>
      <c r="EH75" s="449"/>
      <c r="EI75" s="449"/>
      <c r="EJ75" s="449"/>
      <c r="EK75" s="449"/>
      <c r="EL75" s="449"/>
      <c r="EM75" s="449"/>
      <c r="EN75" s="449"/>
      <c r="EO75" s="449"/>
      <c r="EP75" s="449"/>
      <c r="EQ75" s="449"/>
      <c r="ER75" s="449"/>
      <c r="ES75" s="449"/>
      <c r="ET75" s="449"/>
      <c r="EU75" s="449"/>
      <c r="EV75" s="449"/>
      <c r="EW75" s="449"/>
      <c r="EX75" s="449"/>
      <c r="EY75" s="449"/>
      <c r="EZ75" s="449"/>
      <c r="FA75" s="449"/>
      <c r="FB75" s="449"/>
      <c r="FC75" s="449"/>
      <c r="FD75" s="449"/>
      <c r="FE75" s="449"/>
      <c r="FF75" s="449"/>
      <c r="FG75" s="449"/>
      <c r="FH75" s="449"/>
      <c r="FI75" s="449"/>
      <c r="FJ75" s="449"/>
      <c r="FK75" s="449"/>
      <c r="FL75" s="449"/>
      <c r="FM75" s="449"/>
      <c r="FN75" s="449"/>
      <c r="FO75" s="449"/>
      <c r="FP75" s="449"/>
      <c r="FQ75" s="449"/>
      <c r="FR75" s="449"/>
      <c r="FS75" s="449"/>
      <c r="FT75" s="449"/>
      <c r="FU75" s="449"/>
      <c r="FV75" s="449"/>
      <c r="FW75" s="449"/>
      <c r="FX75" s="449"/>
      <c r="FY75" s="449"/>
      <c r="FZ75" s="449"/>
      <c r="GA75" s="449"/>
      <c r="GB75" s="449"/>
      <c r="GC75" s="449"/>
      <c r="GD75" s="449"/>
      <c r="GE75" s="449"/>
      <c r="GF75" s="449"/>
      <c r="GG75" s="449"/>
      <c r="GH75" s="449"/>
      <c r="GI75" s="449"/>
      <c r="GJ75" s="449"/>
      <c r="GK75" s="449"/>
      <c r="GL75" s="449"/>
      <c r="GM75" s="449"/>
      <c r="GN75" s="449"/>
      <c r="GO75" s="449"/>
      <c r="GP75" s="449"/>
      <c r="GQ75" s="449"/>
      <c r="GR75" s="449"/>
      <c r="GS75" s="449"/>
      <c r="GT75" s="449"/>
      <c r="GU75" s="449"/>
      <c r="GV75" s="449"/>
      <c r="GW75" s="449"/>
      <c r="GX75" s="449"/>
      <c r="GY75" s="449"/>
      <c r="GZ75" s="449"/>
      <c r="HA75" s="449"/>
      <c r="HB75" s="449"/>
      <c r="HC75" s="449"/>
      <c r="HD75" s="449"/>
      <c r="HE75" s="449"/>
      <c r="HF75" s="449"/>
      <c r="HG75" s="449"/>
      <c r="HH75" s="449"/>
      <c r="HI75" s="449"/>
      <c r="HJ75" s="449"/>
      <c r="HK75" s="449"/>
      <c r="HL75" s="449"/>
      <c r="HM75" s="449"/>
      <c r="HN75" s="449"/>
      <c r="HO75" s="449"/>
      <c r="HP75" s="449"/>
      <c r="HQ75" s="449"/>
      <c r="HR75" s="449"/>
      <c r="HS75" s="449"/>
      <c r="HT75" s="449"/>
      <c r="HU75" s="449"/>
      <c r="HV75" s="449"/>
      <c r="HW75" s="449"/>
      <c r="HX75" s="449"/>
      <c r="HY75" s="449"/>
      <c r="HZ75" s="449"/>
      <c r="IA75" s="449"/>
      <c r="IB75" s="449"/>
      <c r="IC75" s="449"/>
      <c r="ID75" s="449"/>
      <c r="IE75" s="449"/>
      <c r="IF75" s="449"/>
      <c r="IG75" s="449"/>
      <c r="IH75" s="449"/>
      <c r="II75" s="449"/>
      <c r="IJ75" s="449"/>
      <c r="IK75" s="449"/>
      <c r="IL75" s="449"/>
      <c r="IM75" s="449"/>
      <c r="IN75" s="449"/>
      <c r="IO75" s="449"/>
      <c r="IP75" s="449"/>
      <c r="IQ75" s="449"/>
      <c r="IR75" s="449"/>
      <c r="IS75" s="449"/>
      <c r="IT75" s="449"/>
      <c r="IU75" s="449"/>
      <c r="IV75" s="449"/>
      <c r="IW75" s="449"/>
    </row>
    <row r="76" customFormat="false" ht="12.75" hidden="false" customHeight="false" outlineLevel="0" collapsed="false">
      <c r="A76" s="461"/>
      <c r="C76" s="476" t="s">
        <v>905</v>
      </c>
      <c r="D76" s="449"/>
      <c r="E76" s="468"/>
      <c r="F76" s="468"/>
      <c r="G76" s="468"/>
      <c r="H76" s="468"/>
      <c r="I76" s="468"/>
      <c r="J76" s="468"/>
      <c r="K76" s="468"/>
      <c r="L76" s="474"/>
      <c r="M76" s="474"/>
      <c r="N76" s="474"/>
      <c r="O76" s="474"/>
      <c r="P76" s="474"/>
      <c r="Q76" s="474"/>
      <c r="R76" s="474"/>
      <c r="S76" s="474"/>
      <c r="T76" s="449"/>
      <c r="U76" s="449"/>
      <c r="V76" s="449"/>
      <c r="W76" s="449"/>
      <c r="X76" s="449"/>
      <c r="Y76" s="449"/>
      <c r="Z76" s="449"/>
      <c r="AA76" s="449"/>
      <c r="AB76" s="449"/>
      <c r="AC76" s="449"/>
      <c r="AD76" s="449"/>
      <c r="AE76" s="449"/>
      <c r="AF76" s="449"/>
      <c r="AG76" s="449"/>
      <c r="AH76" s="449"/>
      <c r="AI76" s="449"/>
      <c r="AJ76" s="449"/>
      <c r="AK76" s="449"/>
      <c r="AL76" s="449"/>
      <c r="AM76" s="449"/>
      <c r="AN76" s="449"/>
      <c r="AO76" s="449"/>
      <c r="AP76" s="449"/>
      <c r="AQ76" s="449"/>
      <c r="AR76" s="449"/>
      <c r="AS76" s="449"/>
      <c r="AT76" s="449"/>
      <c r="AU76" s="449"/>
      <c r="AV76" s="449"/>
      <c r="AW76" s="449"/>
      <c r="AX76" s="449"/>
      <c r="AY76" s="449"/>
      <c r="AZ76" s="449"/>
      <c r="BA76" s="449"/>
      <c r="BB76" s="449"/>
      <c r="BC76" s="449"/>
      <c r="BD76" s="449"/>
      <c r="BE76" s="449"/>
      <c r="BF76" s="449"/>
      <c r="BG76" s="449"/>
      <c r="BH76" s="449"/>
      <c r="BI76" s="449"/>
      <c r="BJ76" s="449"/>
      <c r="BK76" s="449"/>
      <c r="BL76" s="449"/>
      <c r="BM76" s="449"/>
      <c r="BN76" s="449"/>
      <c r="BO76" s="449"/>
      <c r="BP76" s="449"/>
      <c r="BQ76" s="449"/>
      <c r="BR76" s="449"/>
      <c r="BS76" s="449"/>
      <c r="BT76" s="449"/>
      <c r="BU76" s="449"/>
      <c r="BV76" s="449"/>
      <c r="BW76" s="449"/>
      <c r="BX76" s="449"/>
      <c r="BY76" s="449"/>
      <c r="BZ76" s="449"/>
      <c r="CA76" s="449"/>
      <c r="CB76" s="449"/>
      <c r="CC76" s="449"/>
      <c r="CD76" s="449"/>
      <c r="CE76" s="449"/>
      <c r="CF76" s="449"/>
      <c r="CG76" s="449"/>
      <c r="CH76" s="449"/>
      <c r="CI76" s="449"/>
      <c r="CJ76" s="449"/>
      <c r="CK76" s="449"/>
      <c r="CL76" s="449"/>
      <c r="CM76" s="449"/>
      <c r="CN76" s="449"/>
      <c r="CO76" s="449"/>
      <c r="CP76" s="449"/>
      <c r="CQ76" s="449"/>
      <c r="CR76" s="449"/>
      <c r="CS76" s="449"/>
      <c r="CT76" s="449"/>
      <c r="CU76" s="449"/>
      <c r="CV76" s="449"/>
      <c r="CW76" s="449"/>
      <c r="CX76" s="449"/>
      <c r="CY76" s="449"/>
      <c r="CZ76" s="449"/>
      <c r="DA76" s="449"/>
      <c r="DB76" s="449"/>
      <c r="DC76" s="449"/>
      <c r="DD76" s="449"/>
      <c r="DE76" s="449"/>
      <c r="DF76" s="449"/>
      <c r="DG76" s="449"/>
      <c r="DH76" s="449"/>
      <c r="DI76" s="449"/>
      <c r="DJ76" s="449"/>
      <c r="DK76" s="449"/>
      <c r="DL76" s="449"/>
      <c r="DM76" s="449"/>
      <c r="DN76" s="449"/>
      <c r="DO76" s="449"/>
      <c r="DP76" s="449"/>
      <c r="DQ76" s="449"/>
      <c r="DR76" s="449"/>
      <c r="DS76" s="449"/>
      <c r="DT76" s="449"/>
      <c r="DU76" s="449"/>
      <c r="DV76" s="449"/>
      <c r="DW76" s="449"/>
      <c r="DX76" s="449"/>
      <c r="DY76" s="449"/>
      <c r="DZ76" s="449"/>
      <c r="EA76" s="449"/>
      <c r="EB76" s="449"/>
      <c r="EC76" s="449"/>
      <c r="ED76" s="449"/>
      <c r="EE76" s="449"/>
      <c r="EF76" s="449"/>
      <c r="EG76" s="449"/>
      <c r="EH76" s="449"/>
      <c r="EI76" s="449"/>
      <c r="EJ76" s="449"/>
      <c r="EK76" s="449"/>
      <c r="EL76" s="449"/>
      <c r="EM76" s="449"/>
      <c r="EN76" s="449"/>
      <c r="EO76" s="449"/>
      <c r="EP76" s="449"/>
      <c r="EQ76" s="449"/>
      <c r="ER76" s="449"/>
      <c r="ES76" s="449"/>
      <c r="ET76" s="449"/>
      <c r="EU76" s="449"/>
      <c r="EV76" s="449"/>
      <c r="EW76" s="449"/>
      <c r="EX76" s="449"/>
      <c r="EY76" s="449"/>
      <c r="EZ76" s="449"/>
      <c r="FA76" s="449"/>
      <c r="FB76" s="449"/>
      <c r="FC76" s="449"/>
      <c r="FD76" s="449"/>
      <c r="FE76" s="449"/>
      <c r="FF76" s="449"/>
      <c r="FG76" s="449"/>
      <c r="FH76" s="449"/>
      <c r="FI76" s="449"/>
      <c r="FJ76" s="449"/>
      <c r="FK76" s="449"/>
      <c r="FL76" s="449"/>
      <c r="FM76" s="449"/>
      <c r="FN76" s="449"/>
      <c r="FO76" s="449"/>
      <c r="FP76" s="449"/>
      <c r="FQ76" s="449"/>
      <c r="FR76" s="449"/>
      <c r="FS76" s="449"/>
      <c r="FT76" s="449"/>
      <c r="FU76" s="449"/>
      <c r="FV76" s="449"/>
      <c r="FW76" s="449"/>
      <c r="FX76" s="449"/>
      <c r="FY76" s="449"/>
      <c r="FZ76" s="449"/>
      <c r="GA76" s="449"/>
      <c r="GB76" s="449"/>
      <c r="GC76" s="449"/>
      <c r="GD76" s="449"/>
      <c r="GE76" s="449"/>
      <c r="GF76" s="449"/>
      <c r="GG76" s="449"/>
      <c r="GH76" s="449"/>
      <c r="GI76" s="449"/>
      <c r="GJ76" s="449"/>
      <c r="GK76" s="449"/>
      <c r="GL76" s="449"/>
      <c r="GM76" s="449"/>
      <c r="GN76" s="449"/>
      <c r="GO76" s="449"/>
      <c r="GP76" s="449"/>
      <c r="GQ76" s="449"/>
      <c r="GR76" s="449"/>
      <c r="GS76" s="449"/>
      <c r="GT76" s="449"/>
      <c r="GU76" s="449"/>
      <c r="GV76" s="449"/>
      <c r="GW76" s="449"/>
      <c r="GX76" s="449"/>
      <c r="GY76" s="449"/>
      <c r="GZ76" s="449"/>
      <c r="HA76" s="449"/>
      <c r="HB76" s="449"/>
      <c r="HC76" s="449"/>
      <c r="HD76" s="449"/>
      <c r="HE76" s="449"/>
      <c r="HF76" s="449"/>
      <c r="HG76" s="449"/>
      <c r="HH76" s="449"/>
      <c r="HI76" s="449"/>
      <c r="HJ76" s="449"/>
      <c r="HK76" s="449"/>
      <c r="HL76" s="449"/>
      <c r="HM76" s="449"/>
      <c r="HN76" s="449"/>
      <c r="HO76" s="449"/>
      <c r="HP76" s="449"/>
      <c r="HQ76" s="449"/>
      <c r="HR76" s="449"/>
      <c r="HS76" s="449"/>
      <c r="HT76" s="449"/>
      <c r="HU76" s="449"/>
      <c r="HV76" s="449"/>
      <c r="HW76" s="449"/>
      <c r="HX76" s="449"/>
      <c r="HY76" s="449"/>
      <c r="HZ76" s="449"/>
      <c r="IA76" s="449"/>
      <c r="IB76" s="449"/>
      <c r="IC76" s="449"/>
      <c r="ID76" s="449"/>
      <c r="IE76" s="449"/>
      <c r="IF76" s="449"/>
      <c r="IG76" s="449"/>
      <c r="IH76" s="449"/>
      <c r="II76" s="449"/>
      <c r="IJ76" s="449"/>
      <c r="IK76" s="449"/>
      <c r="IL76" s="449"/>
      <c r="IM76" s="449"/>
      <c r="IN76" s="449"/>
      <c r="IO76" s="449"/>
      <c r="IP76" s="449"/>
      <c r="IQ76" s="449"/>
      <c r="IR76" s="449"/>
      <c r="IS76" s="449"/>
      <c r="IT76" s="449"/>
      <c r="IU76" s="449"/>
      <c r="IV76" s="449"/>
      <c r="IW76" s="449"/>
    </row>
    <row r="77" customFormat="false" ht="12.75" hidden="false" customHeight="false" outlineLevel="0" collapsed="false">
      <c r="A77" s="461"/>
      <c r="C77" s="476" t="s">
        <v>905</v>
      </c>
      <c r="D77" s="449"/>
      <c r="E77" s="468"/>
      <c r="F77" s="468"/>
      <c r="G77" s="468"/>
      <c r="H77" s="468"/>
      <c r="I77" s="468"/>
      <c r="J77" s="468"/>
      <c r="K77" s="468"/>
      <c r="L77" s="474"/>
      <c r="M77" s="474"/>
      <c r="N77" s="474"/>
      <c r="O77" s="474"/>
      <c r="P77" s="474"/>
      <c r="Q77" s="474"/>
      <c r="R77" s="474"/>
      <c r="S77" s="474"/>
      <c r="T77" s="449"/>
      <c r="U77" s="449"/>
      <c r="V77" s="449"/>
      <c r="W77" s="449"/>
      <c r="X77" s="449"/>
      <c r="Y77" s="449"/>
      <c r="Z77" s="449"/>
      <c r="AA77" s="449"/>
      <c r="AB77" s="449"/>
      <c r="AC77" s="449"/>
      <c r="AD77" s="449"/>
      <c r="AE77" s="449"/>
      <c r="AF77" s="449"/>
      <c r="AG77" s="449"/>
      <c r="AH77" s="449"/>
      <c r="AI77" s="449"/>
      <c r="AJ77" s="449"/>
      <c r="AK77" s="449"/>
      <c r="AL77" s="449"/>
      <c r="AM77" s="449"/>
      <c r="AN77" s="449"/>
      <c r="AO77" s="449"/>
      <c r="AP77" s="449"/>
      <c r="AQ77" s="449"/>
      <c r="AR77" s="449"/>
      <c r="AS77" s="449"/>
      <c r="AT77" s="449"/>
      <c r="AU77" s="449"/>
      <c r="AV77" s="449"/>
      <c r="AW77" s="449"/>
      <c r="AX77" s="449"/>
      <c r="AY77" s="449"/>
      <c r="AZ77" s="449"/>
      <c r="BA77" s="449"/>
      <c r="BB77" s="449"/>
      <c r="BC77" s="449"/>
      <c r="BD77" s="449"/>
      <c r="BE77" s="449"/>
      <c r="BF77" s="449"/>
      <c r="BG77" s="449"/>
      <c r="BH77" s="449"/>
      <c r="BI77" s="449"/>
      <c r="BJ77" s="449"/>
      <c r="BK77" s="449"/>
      <c r="BL77" s="449"/>
      <c r="BM77" s="449"/>
      <c r="BN77" s="449"/>
      <c r="BO77" s="449"/>
      <c r="BP77" s="449"/>
      <c r="BQ77" s="449"/>
      <c r="BR77" s="449"/>
      <c r="BS77" s="449"/>
      <c r="BT77" s="449"/>
      <c r="BU77" s="449"/>
      <c r="BV77" s="449"/>
      <c r="BW77" s="449"/>
      <c r="BX77" s="449"/>
      <c r="BY77" s="449"/>
      <c r="BZ77" s="449"/>
      <c r="CA77" s="449"/>
      <c r="CB77" s="449"/>
      <c r="CC77" s="449"/>
      <c r="CD77" s="449"/>
      <c r="CE77" s="449"/>
      <c r="CF77" s="449"/>
      <c r="CG77" s="449"/>
      <c r="CH77" s="449"/>
      <c r="CI77" s="449"/>
      <c r="CJ77" s="449"/>
      <c r="CK77" s="449"/>
      <c r="CL77" s="449"/>
      <c r="CM77" s="449"/>
      <c r="CN77" s="449"/>
      <c r="CO77" s="449"/>
      <c r="CP77" s="449"/>
      <c r="CQ77" s="449"/>
      <c r="CR77" s="449"/>
      <c r="CS77" s="449"/>
      <c r="CT77" s="449"/>
      <c r="CU77" s="449"/>
      <c r="CV77" s="449"/>
      <c r="CW77" s="449"/>
      <c r="CX77" s="449"/>
      <c r="CY77" s="449"/>
      <c r="CZ77" s="449"/>
      <c r="DA77" s="449"/>
      <c r="DB77" s="449"/>
      <c r="DC77" s="449"/>
      <c r="DD77" s="449"/>
      <c r="DE77" s="449"/>
      <c r="DF77" s="449"/>
      <c r="DG77" s="449"/>
      <c r="DH77" s="449"/>
      <c r="DI77" s="449"/>
      <c r="DJ77" s="449"/>
      <c r="DK77" s="449"/>
      <c r="DL77" s="449"/>
      <c r="DM77" s="449"/>
      <c r="DN77" s="449"/>
      <c r="DO77" s="449"/>
      <c r="DP77" s="449"/>
      <c r="DQ77" s="449"/>
      <c r="DR77" s="449"/>
      <c r="DS77" s="449"/>
      <c r="DT77" s="449"/>
      <c r="DU77" s="449"/>
      <c r="DV77" s="449"/>
      <c r="DW77" s="449"/>
      <c r="DX77" s="449"/>
      <c r="DY77" s="449"/>
      <c r="DZ77" s="449"/>
      <c r="EA77" s="449"/>
      <c r="EB77" s="449"/>
      <c r="EC77" s="449"/>
      <c r="ED77" s="449"/>
      <c r="EE77" s="449"/>
      <c r="EF77" s="449"/>
      <c r="EG77" s="449"/>
      <c r="EH77" s="449"/>
      <c r="EI77" s="449"/>
      <c r="EJ77" s="449"/>
      <c r="EK77" s="449"/>
      <c r="EL77" s="449"/>
      <c r="EM77" s="449"/>
      <c r="EN77" s="449"/>
      <c r="EO77" s="449"/>
      <c r="EP77" s="449"/>
      <c r="EQ77" s="449"/>
      <c r="ER77" s="449"/>
      <c r="ES77" s="449"/>
      <c r="ET77" s="449"/>
      <c r="EU77" s="449"/>
      <c r="EV77" s="449"/>
      <c r="EW77" s="449"/>
      <c r="EX77" s="449"/>
      <c r="EY77" s="449"/>
      <c r="EZ77" s="449"/>
      <c r="FA77" s="449"/>
      <c r="FB77" s="449"/>
      <c r="FC77" s="449"/>
      <c r="FD77" s="449"/>
      <c r="FE77" s="449"/>
      <c r="FF77" s="449"/>
      <c r="FG77" s="449"/>
      <c r="FH77" s="449"/>
      <c r="FI77" s="449"/>
      <c r="FJ77" s="449"/>
      <c r="FK77" s="449"/>
      <c r="FL77" s="449"/>
      <c r="FM77" s="449"/>
      <c r="FN77" s="449"/>
      <c r="FO77" s="449"/>
      <c r="FP77" s="449"/>
      <c r="FQ77" s="449"/>
      <c r="FR77" s="449"/>
      <c r="FS77" s="449"/>
      <c r="FT77" s="449"/>
      <c r="FU77" s="449"/>
      <c r="FV77" s="449"/>
      <c r="FW77" s="449"/>
      <c r="FX77" s="449"/>
      <c r="FY77" s="449"/>
      <c r="FZ77" s="449"/>
      <c r="GA77" s="449"/>
      <c r="GB77" s="449"/>
      <c r="GC77" s="449"/>
      <c r="GD77" s="449"/>
      <c r="GE77" s="449"/>
      <c r="GF77" s="449"/>
      <c r="GG77" s="449"/>
      <c r="GH77" s="449"/>
      <c r="GI77" s="449"/>
      <c r="GJ77" s="449"/>
      <c r="GK77" s="449"/>
      <c r="GL77" s="449"/>
      <c r="GM77" s="449"/>
      <c r="GN77" s="449"/>
      <c r="GO77" s="449"/>
      <c r="GP77" s="449"/>
      <c r="GQ77" s="449"/>
      <c r="GR77" s="449"/>
      <c r="GS77" s="449"/>
      <c r="GT77" s="449"/>
      <c r="GU77" s="449"/>
      <c r="GV77" s="449"/>
      <c r="GW77" s="449"/>
      <c r="GX77" s="449"/>
      <c r="GY77" s="449"/>
      <c r="GZ77" s="449"/>
      <c r="HA77" s="449"/>
      <c r="HB77" s="449"/>
      <c r="HC77" s="449"/>
      <c r="HD77" s="449"/>
      <c r="HE77" s="449"/>
      <c r="HF77" s="449"/>
      <c r="HG77" s="449"/>
      <c r="HH77" s="449"/>
      <c r="HI77" s="449"/>
      <c r="HJ77" s="449"/>
      <c r="HK77" s="449"/>
      <c r="HL77" s="449"/>
      <c r="HM77" s="449"/>
      <c r="HN77" s="449"/>
      <c r="HO77" s="449"/>
      <c r="HP77" s="449"/>
      <c r="HQ77" s="449"/>
      <c r="HR77" s="449"/>
      <c r="HS77" s="449"/>
      <c r="HT77" s="449"/>
      <c r="HU77" s="449"/>
      <c r="HV77" s="449"/>
      <c r="HW77" s="449"/>
      <c r="HX77" s="449"/>
      <c r="HY77" s="449"/>
      <c r="HZ77" s="449"/>
      <c r="IA77" s="449"/>
      <c r="IB77" s="449"/>
      <c r="IC77" s="449"/>
      <c r="ID77" s="449"/>
      <c r="IE77" s="449"/>
      <c r="IF77" s="449"/>
      <c r="IG77" s="449"/>
      <c r="IH77" s="449"/>
      <c r="II77" s="449"/>
      <c r="IJ77" s="449"/>
      <c r="IK77" s="449"/>
      <c r="IL77" s="449"/>
      <c r="IM77" s="449"/>
      <c r="IN77" s="449"/>
      <c r="IO77" s="449"/>
      <c r="IP77" s="449"/>
      <c r="IQ77" s="449"/>
      <c r="IR77" s="449"/>
      <c r="IS77" s="449"/>
      <c r="IT77" s="449"/>
      <c r="IU77" s="449"/>
      <c r="IV77" s="449"/>
      <c r="IW77" s="449"/>
    </row>
    <row r="78" customFormat="false" ht="12.75" hidden="false" customHeight="false" outlineLevel="0" collapsed="false">
      <c r="A78" s="461" t="n">
        <f aca="false">A73+1</f>
        <v>76</v>
      </c>
      <c r="C78" s="476" t="s">
        <v>905</v>
      </c>
      <c r="D78" s="449"/>
      <c r="E78" s="468"/>
      <c r="F78" s="468"/>
      <c r="G78" s="468"/>
      <c r="H78" s="468"/>
      <c r="I78" s="468"/>
      <c r="J78" s="468"/>
      <c r="K78" s="468"/>
      <c r="L78" s="474"/>
      <c r="M78" s="474"/>
      <c r="N78" s="474"/>
      <c r="O78" s="474"/>
      <c r="P78" s="474"/>
      <c r="Q78" s="474"/>
      <c r="R78" s="474"/>
      <c r="S78" s="474"/>
      <c r="T78" s="449"/>
      <c r="U78" s="449"/>
      <c r="V78" s="449"/>
      <c r="W78" s="449"/>
      <c r="X78" s="449"/>
      <c r="Y78" s="449"/>
      <c r="Z78" s="449"/>
      <c r="AA78" s="449"/>
      <c r="AB78" s="449"/>
      <c r="AC78" s="449"/>
      <c r="AD78" s="449"/>
      <c r="AE78" s="449"/>
      <c r="AF78" s="449"/>
      <c r="AG78" s="449"/>
      <c r="AH78" s="449"/>
      <c r="AI78" s="449"/>
      <c r="AJ78" s="449"/>
      <c r="AK78" s="449"/>
      <c r="AL78" s="449"/>
      <c r="AM78" s="449"/>
      <c r="AN78" s="449"/>
      <c r="AO78" s="449"/>
      <c r="AP78" s="449"/>
      <c r="AQ78" s="449"/>
      <c r="AR78" s="449"/>
      <c r="AS78" s="449"/>
      <c r="AT78" s="449"/>
      <c r="AU78" s="449"/>
      <c r="AV78" s="449"/>
      <c r="AW78" s="449"/>
      <c r="AX78" s="449"/>
      <c r="AY78" s="449"/>
      <c r="AZ78" s="449"/>
      <c r="BA78" s="449"/>
      <c r="BB78" s="449"/>
      <c r="BC78" s="449"/>
      <c r="BD78" s="449"/>
      <c r="BE78" s="449"/>
      <c r="BF78" s="449"/>
      <c r="BG78" s="449"/>
      <c r="BH78" s="449"/>
      <c r="BI78" s="449"/>
      <c r="BJ78" s="449"/>
      <c r="BK78" s="449"/>
      <c r="BL78" s="449"/>
      <c r="BM78" s="449"/>
      <c r="BN78" s="449"/>
      <c r="BO78" s="449"/>
      <c r="BP78" s="449"/>
      <c r="BQ78" s="449"/>
      <c r="BR78" s="449"/>
      <c r="BS78" s="449"/>
      <c r="BT78" s="449"/>
      <c r="BU78" s="449"/>
      <c r="BV78" s="449"/>
      <c r="BW78" s="449"/>
      <c r="BX78" s="449"/>
      <c r="BY78" s="449"/>
      <c r="BZ78" s="449"/>
      <c r="CA78" s="449"/>
      <c r="CB78" s="449"/>
      <c r="CC78" s="449"/>
      <c r="CD78" s="449"/>
      <c r="CE78" s="449"/>
      <c r="CF78" s="449"/>
      <c r="CG78" s="449"/>
      <c r="CH78" s="449"/>
      <c r="CI78" s="449"/>
      <c r="CJ78" s="449"/>
      <c r="CK78" s="449"/>
      <c r="CL78" s="449"/>
      <c r="CM78" s="449"/>
      <c r="CN78" s="449"/>
      <c r="CO78" s="449"/>
      <c r="CP78" s="449"/>
      <c r="CQ78" s="449"/>
      <c r="CR78" s="449"/>
      <c r="CS78" s="449"/>
      <c r="CT78" s="449"/>
      <c r="CU78" s="449"/>
      <c r="CV78" s="449"/>
      <c r="CW78" s="449"/>
      <c r="CX78" s="449"/>
      <c r="CY78" s="449"/>
      <c r="CZ78" s="449"/>
      <c r="DA78" s="449"/>
      <c r="DB78" s="449"/>
      <c r="DC78" s="449"/>
      <c r="DD78" s="449"/>
      <c r="DE78" s="449"/>
      <c r="DF78" s="449"/>
      <c r="DG78" s="449"/>
      <c r="DH78" s="449"/>
      <c r="DI78" s="449"/>
      <c r="DJ78" s="449"/>
      <c r="DK78" s="449"/>
      <c r="DL78" s="449"/>
      <c r="DM78" s="449"/>
      <c r="DN78" s="449"/>
      <c r="DO78" s="449"/>
      <c r="DP78" s="449"/>
      <c r="DQ78" s="449"/>
      <c r="DR78" s="449"/>
      <c r="DS78" s="449"/>
      <c r="DT78" s="449"/>
      <c r="DU78" s="449"/>
      <c r="DV78" s="449"/>
      <c r="DW78" s="449"/>
      <c r="DX78" s="449"/>
      <c r="DY78" s="449"/>
      <c r="DZ78" s="449"/>
      <c r="EA78" s="449"/>
      <c r="EB78" s="449"/>
      <c r="EC78" s="449"/>
      <c r="ED78" s="449"/>
      <c r="EE78" s="449"/>
      <c r="EF78" s="449"/>
      <c r="EG78" s="449"/>
      <c r="EH78" s="449"/>
      <c r="EI78" s="449"/>
      <c r="EJ78" s="449"/>
      <c r="EK78" s="449"/>
      <c r="EL78" s="449"/>
      <c r="EM78" s="449"/>
      <c r="EN78" s="449"/>
      <c r="EO78" s="449"/>
      <c r="EP78" s="449"/>
      <c r="EQ78" s="449"/>
      <c r="ER78" s="449"/>
      <c r="ES78" s="449"/>
      <c r="ET78" s="449"/>
      <c r="EU78" s="449"/>
      <c r="EV78" s="449"/>
      <c r="EW78" s="449"/>
      <c r="EX78" s="449"/>
      <c r="EY78" s="449"/>
      <c r="EZ78" s="449"/>
      <c r="FA78" s="449"/>
      <c r="FB78" s="449"/>
      <c r="FC78" s="449"/>
      <c r="FD78" s="449"/>
      <c r="FE78" s="449"/>
      <c r="FF78" s="449"/>
      <c r="FG78" s="449"/>
      <c r="FH78" s="449"/>
      <c r="FI78" s="449"/>
      <c r="FJ78" s="449"/>
      <c r="FK78" s="449"/>
      <c r="FL78" s="449"/>
      <c r="FM78" s="449"/>
      <c r="FN78" s="449"/>
      <c r="FO78" s="449"/>
      <c r="FP78" s="449"/>
      <c r="FQ78" s="449"/>
      <c r="FR78" s="449"/>
      <c r="FS78" s="449"/>
      <c r="FT78" s="449"/>
      <c r="FU78" s="449"/>
      <c r="FV78" s="449"/>
      <c r="FW78" s="449"/>
      <c r="FX78" s="449"/>
      <c r="FY78" s="449"/>
      <c r="FZ78" s="449"/>
      <c r="GA78" s="449"/>
      <c r="GB78" s="449"/>
      <c r="GC78" s="449"/>
      <c r="GD78" s="449"/>
      <c r="GE78" s="449"/>
      <c r="GF78" s="449"/>
      <c r="GG78" s="449"/>
      <c r="GH78" s="449"/>
      <c r="GI78" s="449"/>
      <c r="GJ78" s="449"/>
      <c r="GK78" s="449"/>
      <c r="GL78" s="449"/>
      <c r="GM78" s="449"/>
      <c r="GN78" s="449"/>
      <c r="GO78" s="449"/>
      <c r="GP78" s="449"/>
      <c r="GQ78" s="449"/>
      <c r="GR78" s="449"/>
      <c r="GS78" s="449"/>
      <c r="GT78" s="449"/>
      <c r="GU78" s="449"/>
      <c r="GV78" s="449"/>
      <c r="GW78" s="449"/>
      <c r="GX78" s="449"/>
      <c r="GY78" s="449"/>
      <c r="GZ78" s="449"/>
      <c r="HA78" s="449"/>
      <c r="HB78" s="449"/>
      <c r="HC78" s="449"/>
      <c r="HD78" s="449"/>
      <c r="HE78" s="449"/>
      <c r="HF78" s="449"/>
      <c r="HG78" s="449"/>
      <c r="HH78" s="449"/>
      <c r="HI78" s="449"/>
      <c r="HJ78" s="449"/>
      <c r="HK78" s="449"/>
      <c r="HL78" s="449"/>
      <c r="HM78" s="449"/>
      <c r="HN78" s="449"/>
      <c r="HO78" s="449"/>
      <c r="HP78" s="449"/>
      <c r="HQ78" s="449"/>
      <c r="HR78" s="449"/>
      <c r="HS78" s="449"/>
      <c r="HT78" s="449"/>
      <c r="HU78" s="449"/>
      <c r="HV78" s="449"/>
      <c r="HW78" s="449"/>
      <c r="HX78" s="449"/>
      <c r="HY78" s="449"/>
      <c r="HZ78" s="449"/>
      <c r="IA78" s="449"/>
      <c r="IB78" s="449"/>
      <c r="IC78" s="449"/>
      <c r="ID78" s="449"/>
      <c r="IE78" s="449"/>
      <c r="IF78" s="449"/>
      <c r="IG78" s="449"/>
      <c r="IH78" s="449"/>
      <c r="II78" s="449"/>
      <c r="IJ78" s="449"/>
      <c r="IK78" s="449"/>
      <c r="IL78" s="449"/>
      <c r="IM78" s="449"/>
      <c r="IN78" s="449"/>
      <c r="IO78" s="449"/>
      <c r="IP78" s="449"/>
      <c r="IQ78" s="449"/>
      <c r="IR78" s="449"/>
      <c r="IS78" s="449"/>
      <c r="IT78" s="449"/>
      <c r="IU78" s="449"/>
      <c r="IV78" s="449"/>
      <c r="IW78" s="449"/>
    </row>
    <row r="79" customFormat="false" ht="12.75" hidden="false" customHeight="false" outlineLevel="0" collapsed="false">
      <c r="A79" s="461" t="n">
        <f aca="false">A78+1</f>
        <v>77</v>
      </c>
      <c r="C79" s="476"/>
      <c r="D79" s="449"/>
      <c r="E79" s="469"/>
      <c r="F79" s="469"/>
      <c r="G79" s="469"/>
      <c r="H79" s="469"/>
      <c r="I79" s="469"/>
      <c r="J79" s="469"/>
      <c r="K79" s="46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49"/>
      <c r="AC79" s="449"/>
      <c r="AD79" s="449"/>
      <c r="AE79" s="449"/>
      <c r="AF79" s="449"/>
      <c r="AG79" s="449"/>
      <c r="AH79" s="449"/>
      <c r="AI79" s="449"/>
      <c r="AJ79" s="449"/>
      <c r="AK79" s="449"/>
      <c r="AL79" s="449"/>
      <c r="AM79" s="449"/>
      <c r="AN79" s="449"/>
      <c r="AO79" s="449"/>
      <c r="AP79" s="449"/>
      <c r="AQ79" s="449"/>
      <c r="AR79" s="449"/>
      <c r="AS79" s="449"/>
      <c r="AT79" s="449"/>
      <c r="AU79" s="449"/>
      <c r="AV79" s="449"/>
      <c r="AW79" s="449"/>
      <c r="AX79" s="449"/>
      <c r="AY79" s="449"/>
      <c r="AZ79" s="449"/>
      <c r="BA79" s="449"/>
      <c r="BB79" s="449"/>
      <c r="BC79" s="449"/>
      <c r="BD79" s="449"/>
      <c r="BE79" s="449"/>
      <c r="BF79" s="449"/>
      <c r="BG79" s="449"/>
      <c r="BH79" s="449"/>
      <c r="BI79" s="449"/>
      <c r="BJ79" s="449"/>
      <c r="BK79" s="449"/>
      <c r="BL79" s="449"/>
      <c r="BM79" s="449"/>
      <c r="BN79" s="449"/>
      <c r="BO79" s="449"/>
      <c r="BP79" s="449"/>
      <c r="BQ79" s="449"/>
      <c r="BR79" s="449"/>
      <c r="BS79" s="449"/>
      <c r="BT79" s="449"/>
      <c r="BU79" s="449"/>
      <c r="BV79" s="449"/>
      <c r="BW79" s="449"/>
      <c r="BX79" s="449"/>
      <c r="BY79" s="449"/>
      <c r="BZ79" s="449"/>
      <c r="CA79" s="449"/>
      <c r="CB79" s="449"/>
      <c r="CC79" s="449"/>
      <c r="CD79" s="449"/>
      <c r="CE79" s="449"/>
      <c r="CF79" s="449"/>
      <c r="CG79" s="449"/>
      <c r="CH79" s="449"/>
      <c r="CI79" s="449"/>
      <c r="CJ79" s="449"/>
      <c r="CK79" s="449"/>
      <c r="CL79" s="449"/>
      <c r="CM79" s="449"/>
      <c r="CN79" s="449"/>
      <c r="CO79" s="449"/>
      <c r="CP79" s="449"/>
      <c r="CQ79" s="449"/>
      <c r="CR79" s="449"/>
      <c r="CS79" s="449"/>
      <c r="CT79" s="449"/>
      <c r="CU79" s="449"/>
      <c r="CV79" s="449"/>
      <c r="CW79" s="449"/>
      <c r="CX79" s="449"/>
      <c r="CY79" s="449"/>
      <c r="CZ79" s="449"/>
      <c r="DA79" s="449"/>
      <c r="DB79" s="449"/>
      <c r="DC79" s="449"/>
      <c r="DD79" s="449"/>
      <c r="DE79" s="449"/>
      <c r="DF79" s="449"/>
      <c r="DG79" s="449"/>
      <c r="DH79" s="449"/>
      <c r="DI79" s="449"/>
      <c r="DJ79" s="449"/>
      <c r="DK79" s="449"/>
      <c r="DL79" s="449"/>
      <c r="DM79" s="449"/>
      <c r="DN79" s="449"/>
      <c r="DO79" s="449"/>
      <c r="DP79" s="449"/>
      <c r="DQ79" s="449"/>
      <c r="DR79" s="449"/>
      <c r="DS79" s="449"/>
      <c r="DT79" s="449"/>
      <c r="DU79" s="449"/>
      <c r="DV79" s="449"/>
      <c r="DW79" s="449"/>
      <c r="DX79" s="449"/>
      <c r="DY79" s="449"/>
      <c r="DZ79" s="449"/>
      <c r="EA79" s="449"/>
      <c r="EB79" s="449"/>
      <c r="EC79" s="449"/>
      <c r="ED79" s="449"/>
      <c r="EE79" s="449"/>
      <c r="EF79" s="449"/>
      <c r="EG79" s="449"/>
      <c r="EH79" s="449"/>
      <c r="EI79" s="449"/>
      <c r="EJ79" s="449"/>
      <c r="EK79" s="449"/>
      <c r="EL79" s="449"/>
      <c r="EM79" s="449"/>
      <c r="EN79" s="449"/>
      <c r="EO79" s="449"/>
      <c r="EP79" s="449"/>
      <c r="EQ79" s="449"/>
      <c r="ER79" s="449"/>
      <c r="ES79" s="449"/>
      <c r="ET79" s="449"/>
      <c r="EU79" s="449"/>
      <c r="EV79" s="449"/>
      <c r="EW79" s="449"/>
      <c r="EX79" s="449"/>
      <c r="EY79" s="449"/>
      <c r="EZ79" s="449"/>
      <c r="FA79" s="449"/>
      <c r="FB79" s="449"/>
      <c r="FC79" s="449"/>
      <c r="FD79" s="449"/>
      <c r="FE79" s="449"/>
      <c r="FF79" s="449"/>
      <c r="FG79" s="449"/>
      <c r="FH79" s="449"/>
      <c r="FI79" s="449"/>
      <c r="FJ79" s="449"/>
      <c r="FK79" s="449"/>
      <c r="FL79" s="449"/>
      <c r="FM79" s="449"/>
      <c r="FN79" s="449"/>
      <c r="FO79" s="449"/>
      <c r="FP79" s="449"/>
      <c r="FQ79" s="449"/>
      <c r="FR79" s="449"/>
      <c r="FS79" s="449"/>
      <c r="FT79" s="449"/>
      <c r="FU79" s="449"/>
      <c r="FV79" s="449"/>
      <c r="FW79" s="449"/>
      <c r="FX79" s="449"/>
      <c r="FY79" s="449"/>
      <c r="FZ79" s="449"/>
      <c r="GA79" s="449"/>
      <c r="GB79" s="449"/>
      <c r="GC79" s="449"/>
      <c r="GD79" s="449"/>
      <c r="GE79" s="449"/>
      <c r="GF79" s="449"/>
      <c r="GG79" s="449"/>
      <c r="GH79" s="449"/>
      <c r="GI79" s="449"/>
      <c r="GJ79" s="449"/>
      <c r="GK79" s="449"/>
      <c r="GL79" s="449"/>
      <c r="GM79" s="449"/>
      <c r="GN79" s="449"/>
      <c r="GO79" s="449"/>
      <c r="GP79" s="449"/>
      <c r="GQ79" s="449"/>
      <c r="GR79" s="449"/>
      <c r="GS79" s="449"/>
      <c r="GT79" s="449"/>
      <c r="GU79" s="449"/>
      <c r="GV79" s="449"/>
      <c r="GW79" s="449"/>
      <c r="GX79" s="449"/>
      <c r="GY79" s="449"/>
      <c r="GZ79" s="449"/>
      <c r="HA79" s="449"/>
      <c r="HB79" s="449"/>
      <c r="HC79" s="449"/>
      <c r="HD79" s="449"/>
      <c r="HE79" s="449"/>
      <c r="HF79" s="449"/>
      <c r="HG79" s="449"/>
      <c r="HH79" s="449"/>
      <c r="HI79" s="449"/>
      <c r="HJ79" s="449"/>
      <c r="HK79" s="449"/>
      <c r="HL79" s="449"/>
      <c r="HM79" s="449"/>
      <c r="HN79" s="449"/>
      <c r="HO79" s="449"/>
      <c r="HP79" s="449"/>
      <c r="HQ79" s="449"/>
      <c r="HR79" s="449"/>
      <c r="HS79" s="449"/>
      <c r="HT79" s="449"/>
      <c r="HU79" s="449"/>
      <c r="HV79" s="449"/>
      <c r="HW79" s="449"/>
      <c r="HX79" s="449"/>
      <c r="HY79" s="449"/>
      <c r="HZ79" s="449"/>
      <c r="IA79" s="449"/>
      <c r="IB79" s="449"/>
      <c r="IC79" s="449"/>
      <c r="ID79" s="449"/>
      <c r="IE79" s="449"/>
      <c r="IF79" s="449"/>
      <c r="IG79" s="449"/>
      <c r="IH79" s="449"/>
      <c r="II79" s="449"/>
      <c r="IJ79" s="449"/>
      <c r="IK79" s="449"/>
      <c r="IL79" s="449"/>
      <c r="IM79" s="449"/>
      <c r="IN79" s="449"/>
      <c r="IO79" s="449"/>
      <c r="IP79" s="449"/>
      <c r="IQ79" s="449"/>
      <c r="IR79" s="449"/>
      <c r="IS79" s="449"/>
      <c r="IT79" s="449"/>
      <c r="IU79" s="449"/>
      <c r="IV79" s="449"/>
      <c r="IW79" s="449"/>
    </row>
    <row r="80" customFormat="false" ht="12.75" hidden="false" customHeight="false" outlineLevel="0" collapsed="false">
      <c r="A80" s="461" t="n">
        <f aca="false">A79+1</f>
        <v>78</v>
      </c>
      <c r="C80" s="476"/>
      <c r="D80" s="449"/>
      <c r="E80" s="469"/>
      <c r="F80" s="469"/>
      <c r="G80" s="469"/>
      <c r="H80" s="469"/>
      <c r="I80" s="469"/>
      <c r="J80" s="469"/>
      <c r="K80" s="469"/>
      <c r="L80" s="449"/>
      <c r="M80" s="449"/>
      <c r="N80" s="449"/>
      <c r="O80" s="449"/>
      <c r="P80" s="449"/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49"/>
      <c r="AC80" s="449"/>
      <c r="AD80" s="449"/>
      <c r="AE80" s="449"/>
      <c r="AF80" s="449"/>
      <c r="AG80" s="449"/>
      <c r="AH80" s="449"/>
      <c r="AI80" s="449"/>
      <c r="AJ80" s="449"/>
      <c r="AK80" s="449"/>
      <c r="AL80" s="449"/>
      <c r="AM80" s="449"/>
      <c r="AN80" s="449"/>
      <c r="AO80" s="449"/>
      <c r="AP80" s="449"/>
      <c r="AQ80" s="449"/>
      <c r="AR80" s="449"/>
      <c r="AS80" s="449"/>
      <c r="AT80" s="449"/>
      <c r="AU80" s="449"/>
      <c r="AV80" s="449"/>
      <c r="AW80" s="449"/>
      <c r="AX80" s="449"/>
      <c r="AY80" s="449"/>
      <c r="AZ80" s="449"/>
      <c r="BA80" s="449"/>
      <c r="BB80" s="449"/>
      <c r="BC80" s="449"/>
      <c r="BD80" s="449"/>
      <c r="BE80" s="449"/>
      <c r="BF80" s="449"/>
      <c r="BG80" s="449"/>
      <c r="BH80" s="449"/>
      <c r="BI80" s="449"/>
      <c r="BJ80" s="449"/>
      <c r="BK80" s="449"/>
      <c r="BL80" s="449"/>
      <c r="BM80" s="449"/>
      <c r="BN80" s="449"/>
      <c r="BO80" s="449"/>
      <c r="BP80" s="449"/>
      <c r="BQ80" s="449"/>
      <c r="BR80" s="449"/>
      <c r="BS80" s="449"/>
      <c r="BT80" s="449"/>
      <c r="BU80" s="449"/>
      <c r="BV80" s="449"/>
      <c r="BW80" s="449"/>
      <c r="BX80" s="449"/>
      <c r="BY80" s="449"/>
      <c r="BZ80" s="449"/>
      <c r="CA80" s="449"/>
      <c r="CB80" s="449"/>
      <c r="CC80" s="449"/>
      <c r="CD80" s="449"/>
      <c r="CE80" s="449"/>
      <c r="CF80" s="449"/>
      <c r="CG80" s="449"/>
      <c r="CH80" s="449"/>
      <c r="CI80" s="449"/>
      <c r="CJ80" s="449"/>
      <c r="CK80" s="449"/>
      <c r="CL80" s="449"/>
      <c r="CM80" s="449"/>
      <c r="CN80" s="449"/>
      <c r="CO80" s="449"/>
      <c r="CP80" s="449"/>
      <c r="CQ80" s="449"/>
      <c r="CR80" s="449"/>
      <c r="CS80" s="449"/>
      <c r="CT80" s="449"/>
      <c r="CU80" s="449"/>
      <c r="CV80" s="449"/>
      <c r="CW80" s="449"/>
      <c r="CX80" s="449"/>
      <c r="CY80" s="449"/>
      <c r="CZ80" s="449"/>
      <c r="DA80" s="449"/>
      <c r="DB80" s="449"/>
      <c r="DC80" s="449"/>
      <c r="DD80" s="449"/>
      <c r="DE80" s="449"/>
      <c r="DF80" s="449"/>
      <c r="DG80" s="449"/>
      <c r="DH80" s="449"/>
      <c r="DI80" s="449"/>
      <c r="DJ80" s="449"/>
      <c r="DK80" s="449"/>
      <c r="DL80" s="449"/>
      <c r="DM80" s="449"/>
      <c r="DN80" s="449"/>
      <c r="DO80" s="449"/>
      <c r="DP80" s="449"/>
      <c r="DQ80" s="449"/>
      <c r="DR80" s="449"/>
      <c r="DS80" s="449"/>
      <c r="DT80" s="449"/>
      <c r="DU80" s="449"/>
      <c r="DV80" s="449"/>
      <c r="DW80" s="449"/>
      <c r="DX80" s="449"/>
      <c r="DY80" s="449"/>
      <c r="DZ80" s="449"/>
      <c r="EA80" s="449"/>
      <c r="EB80" s="449"/>
      <c r="EC80" s="449"/>
      <c r="ED80" s="449"/>
      <c r="EE80" s="449"/>
      <c r="EF80" s="449"/>
      <c r="EG80" s="449"/>
      <c r="EH80" s="449"/>
      <c r="EI80" s="449"/>
      <c r="EJ80" s="449"/>
      <c r="EK80" s="449"/>
      <c r="EL80" s="449"/>
      <c r="EM80" s="449"/>
      <c r="EN80" s="449"/>
      <c r="EO80" s="449"/>
      <c r="EP80" s="449"/>
      <c r="EQ80" s="449"/>
      <c r="ER80" s="449"/>
      <c r="ES80" s="449"/>
      <c r="ET80" s="449"/>
      <c r="EU80" s="449"/>
      <c r="EV80" s="449"/>
      <c r="EW80" s="449"/>
      <c r="EX80" s="449"/>
      <c r="EY80" s="449"/>
      <c r="EZ80" s="449"/>
      <c r="FA80" s="449"/>
      <c r="FB80" s="449"/>
      <c r="FC80" s="449"/>
      <c r="FD80" s="449"/>
      <c r="FE80" s="449"/>
      <c r="FF80" s="449"/>
      <c r="FG80" s="449"/>
      <c r="FH80" s="449"/>
      <c r="FI80" s="449"/>
      <c r="FJ80" s="449"/>
      <c r="FK80" s="449"/>
      <c r="FL80" s="449"/>
      <c r="FM80" s="449"/>
      <c r="FN80" s="449"/>
      <c r="FO80" s="449"/>
      <c r="FP80" s="449"/>
      <c r="FQ80" s="449"/>
      <c r="FR80" s="449"/>
      <c r="FS80" s="449"/>
      <c r="FT80" s="449"/>
      <c r="FU80" s="449"/>
      <c r="FV80" s="449"/>
      <c r="FW80" s="449"/>
      <c r="FX80" s="449"/>
      <c r="FY80" s="449"/>
      <c r="FZ80" s="449"/>
      <c r="GA80" s="449"/>
      <c r="GB80" s="449"/>
      <c r="GC80" s="449"/>
      <c r="GD80" s="449"/>
      <c r="GE80" s="449"/>
      <c r="GF80" s="449"/>
      <c r="GG80" s="449"/>
      <c r="GH80" s="449"/>
      <c r="GI80" s="449"/>
      <c r="GJ80" s="449"/>
      <c r="GK80" s="449"/>
      <c r="GL80" s="449"/>
      <c r="GM80" s="449"/>
      <c r="GN80" s="449"/>
      <c r="GO80" s="449"/>
      <c r="GP80" s="449"/>
      <c r="GQ80" s="449"/>
      <c r="GR80" s="449"/>
      <c r="GS80" s="449"/>
      <c r="GT80" s="449"/>
      <c r="GU80" s="449"/>
      <c r="GV80" s="449"/>
      <c r="GW80" s="449"/>
      <c r="GX80" s="449"/>
      <c r="GY80" s="449"/>
      <c r="GZ80" s="449"/>
      <c r="HA80" s="449"/>
      <c r="HB80" s="449"/>
      <c r="HC80" s="449"/>
      <c r="HD80" s="449"/>
      <c r="HE80" s="449"/>
      <c r="HF80" s="449"/>
      <c r="HG80" s="449"/>
      <c r="HH80" s="449"/>
      <c r="HI80" s="449"/>
      <c r="HJ80" s="449"/>
      <c r="HK80" s="449"/>
      <c r="HL80" s="449"/>
      <c r="HM80" s="449"/>
      <c r="HN80" s="449"/>
      <c r="HO80" s="449"/>
      <c r="HP80" s="449"/>
      <c r="HQ80" s="449"/>
      <c r="HR80" s="449"/>
      <c r="HS80" s="449"/>
      <c r="HT80" s="449"/>
      <c r="HU80" s="449"/>
      <c r="HV80" s="449"/>
      <c r="HW80" s="449"/>
      <c r="HX80" s="449"/>
      <c r="HY80" s="449"/>
      <c r="HZ80" s="449"/>
      <c r="IA80" s="449"/>
      <c r="IB80" s="449"/>
      <c r="IC80" s="449"/>
      <c r="ID80" s="449"/>
      <c r="IE80" s="449"/>
      <c r="IF80" s="449"/>
      <c r="IG80" s="449"/>
      <c r="IH80" s="449"/>
      <c r="II80" s="449"/>
      <c r="IJ80" s="449"/>
      <c r="IK80" s="449"/>
      <c r="IL80" s="449"/>
      <c r="IM80" s="449"/>
      <c r="IN80" s="449"/>
      <c r="IO80" s="449"/>
      <c r="IP80" s="449"/>
      <c r="IQ80" s="449"/>
      <c r="IR80" s="449"/>
      <c r="IS80" s="449"/>
      <c r="IT80" s="449"/>
      <c r="IU80" s="449"/>
      <c r="IV80" s="449"/>
      <c r="IW80" s="449"/>
    </row>
    <row r="81" customFormat="false" ht="12.75" hidden="false" customHeight="false" outlineLevel="0" collapsed="false">
      <c r="A81" s="461" t="n">
        <f aca="false">A80+1</f>
        <v>79</v>
      </c>
      <c r="C81" s="475" t="s">
        <v>906</v>
      </c>
      <c r="D81" s="449"/>
      <c r="E81" s="469"/>
      <c r="F81" s="469"/>
      <c r="G81" s="469"/>
      <c r="H81" s="469"/>
      <c r="I81" s="469"/>
      <c r="J81" s="469"/>
      <c r="K81" s="469"/>
      <c r="L81" s="449"/>
      <c r="M81" s="449"/>
      <c r="N81" s="449"/>
      <c r="O81" s="449"/>
      <c r="P81" s="449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49"/>
      <c r="AC81" s="449"/>
      <c r="AD81" s="449"/>
      <c r="AE81" s="449"/>
      <c r="AF81" s="449"/>
      <c r="AG81" s="449"/>
      <c r="AH81" s="449"/>
      <c r="AI81" s="449"/>
      <c r="AJ81" s="449"/>
      <c r="AK81" s="449"/>
      <c r="AL81" s="449"/>
      <c r="AM81" s="449"/>
      <c r="AN81" s="449"/>
      <c r="AO81" s="449"/>
      <c r="AP81" s="449"/>
      <c r="AQ81" s="449"/>
      <c r="AR81" s="449"/>
      <c r="AS81" s="449"/>
      <c r="AT81" s="449"/>
      <c r="AU81" s="449"/>
      <c r="AV81" s="449"/>
      <c r="AW81" s="449"/>
      <c r="AX81" s="449"/>
      <c r="AY81" s="449"/>
      <c r="AZ81" s="449"/>
      <c r="BA81" s="449"/>
      <c r="BB81" s="449"/>
      <c r="BC81" s="449"/>
      <c r="BD81" s="449"/>
      <c r="BE81" s="449"/>
      <c r="BF81" s="449"/>
      <c r="BG81" s="449"/>
      <c r="BH81" s="449"/>
      <c r="BI81" s="449"/>
      <c r="BJ81" s="449"/>
      <c r="BK81" s="449"/>
      <c r="BL81" s="449"/>
      <c r="BM81" s="449"/>
      <c r="BN81" s="449"/>
      <c r="BO81" s="449"/>
      <c r="BP81" s="449"/>
      <c r="BQ81" s="449"/>
      <c r="BR81" s="449"/>
      <c r="BS81" s="449"/>
      <c r="BT81" s="449"/>
      <c r="BU81" s="449"/>
      <c r="BV81" s="449"/>
      <c r="BW81" s="449"/>
      <c r="BX81" s="449"/>
      <c r="BY81" s="449"/>
      <c r="BZ81" s="449"/>
      <c r="CA81" s="449"/>
      <c r="CB81" s="449"/>
      <c r="CC81" s="449"/>
      <c r="CD81" s="449"/>
      <c r="CE81" s="449"/>
      <c r="CF81" s="449"/>
      <c r="CG81" s="449"/>
      <c r="CH81" s="449"/>
      <c r="CI81" s="449"/>
      <c r="CJ81" s="449"/>
      <c r="CK81" s="449"/>
      <c r="CL81" s="449"/>
      <c r="CM81" s="449"/>
      <c r="CN81" s="449"/>
      <c r="CO81" s="449"/>
      <c r="CP81" s="449"/>
      <c r="CQ81" s="449"/>
      <c r="CR81" s="449"/>
      <c r="CS81" s="449"/>
      <c r="CT81" s="449"/>
      <c r="CU81" s="449"/>
      <c r="CV81" s="449"/>
      <c r="CW81" s="449"/>
      <c r="CX81" s="449"/>
      <c r="CY81" s="449"/>
      <c r="CZ81" s="449"/>
      <c r="DA81" s="449"/>
      <c r="DB81" s="449"/>
      <c r="DC81" s="449"/>
      <c r="DD81" s="449"/>
      <c r="DE81" s="449"/>
      <c r="DF81" s="449"/>
      <c r="DG81" s="449"/>
      <c r="DH81" s="449"/>
      <c r="DI81" s="449"/>
      <c r="DJ81" s="449"/>
      <c r="DK81" s="449"/>
      <c r="DL81" s="449"/>
      <c r="DM81" s="449"/>
      <c r="DN81" s="449"/>
      <c r="DO81" s="449"/>
      <c r="DP81" s="449"/>
      <c r="DQ81" s="449"/>
      <c r="DR81" s="449"/>
      <c r="DS81" s="449"/>
      <c r="DT81" s="449"/>
      <c r="DU81" s="449"/>
      <c r="DV81" s="449"/>
      <c r="DW81" s="449"/>
      <c r="DX81" s="449"/>
      <c r="DY81" s="449"/>
      <c r="DZ81" s="449"/>
      <c r="EA81" s="449"/>
      <c r="EB81" s="449"/>
      <c r="EC81" s="449"/>
      <c r="ED81" s="449"/>
      <c r="EE81" s="449"/>
      <c r="EF81" s="449"/>
      <c r="EG81" s="449"/>
      <c r="EH81" s="449"/>
      <c r="EI81" s="449"/>
      <c r="EJ81" s="449"/>
      <c r="EK81" s="449"/>
      <c r="EL81" s="449"/>
      <c r="EM81" s="449"/>
      <c r="EN81" s="449"/>
      <c r="EO81" s="449"/>
      <c r="EP81" s="449"/>
      <c r="EQ81" s="449"/>
      <c r="ER81" s="449"/>
      <c r="ES81" s="449"/>
      <c r="ET81" s="449"/>
      <c r="EU81" s="449"/>
      <c r="EV81" s="449"/>
      <c r="EW81" s="449"/>
      <c r="EX81" s="449"/>
      <c r="EY81" s="449"/>
      <c r="EZ81" s="449"/>
      <c r="FA81" s="449"/>
      <c r="FB81" s="449"/>
      <c r="FC81" s="449"/>
      <c r="FD81" s="449"/>
      <c r="FE81" s="449"/>
      <c r="FF81" s="449"/>
      <c r="FG81" s="449"/>
      <c r="FH81" s="449"/>
      <c r="FI81" s="449"/>
      <c r="FJ81" s="449"/>
      <c r="FK81" s="449"/>
      <c r="FL81" s="449"/>
      <c r="FM81" s="449"/>
      <c r="FN81" s="449"/>
      <c r="FO81" s="449"/>
      <c r="FP81" s="449"/>
      <c r="FQ81" s="449"/>
      <c r="FR81" s="449"/>
      <c r="FS81" s="449"/>
      <c r="FT81" s="449"/>
      <c r="FU81" s="449"/>
      <c r="FV81" s="449"/>
      <c r="FW81" s="449"/>
      <c r="FX81" s="449"/>
      <c r="FY81" s="449"/>
      <c r="FZ81" s="449"/>
      <c r="GA81" s="449"/>
      <c r="GB81" s="449"/>
      <c r="GC81" s="449"/>
      <c r="GD81" s="449"/>
      <c r="GE81" s="449"/>
      <c r="GF81" s="449"/>
      <c r="GG81" s="449"/>
      <c r="GH81" s="449"/>
      <c r="GI81" s="449"/>
      <c r="GJ81" s="449"/>
      <c r="GK81" s="449"/>
      <c r="GL81" s="449"/>
      <c r="GM81" s="449"/>
      <c r="GN81" s="449"/>
      <c r="GO81" s="449"/>
      <c r="GP81" s="449"/>
      <c r="GQ81" s="449"/>
      <c r="GR81" s="449"/>
      <c r="GS81" s="449"/>
      <c r="GT81" s="449"/>
      <c r="GU81" s="449"/>
      <c r="GV81" s="449"/>
      <c r="GW81" s="449"/>
      <c r="GX81" s="449"/>
      <c r="GY81" s="449"/>
      <c r="GZ81" s="449"/>
      <c r="HA81" s="449"/>
      <c r="HB81" s="449"/>
      <c r="HC81" s="449"/>
      <c r="HD81" s="449"/>
      <c r="HE81" s="449"/>
      <c r="HF81" s="449"/>
      <c r="HG81" s="449"/>
      <c r="HH81" s="449"/>
      <c r="HI81" s="449"/>
      <c r="HJ81" s="449"/>
      <c r="HK81" s="449"/>
      <c r="HL81" s="449"/>
      <c r="HM81" s="449"/>
      <c r="HN81" s="449"/>
      <c r="HO81" s="449"/>
      <c r="HP81" s="449"/>
      <c r="HQ81" s="449"/>
      <c r="HR81" s="449"/>
      <c r="HS81" s="449"/>
      <c r="HT81" s="449"/>
      <c r="HU81" s="449"/>
      <c r="HV81" s="449"/>
      <c r="HW81" s="449"/>
      <c r="HX81" s="449"/>
      <c r="HY81" s="449"/>
      <c r="HZ81" s="449"/>
      <c r="IA81" s="449"/>
      <c r="IB81" s="449"/>
      <c r="IC81" s="449"/>
      <c r="ID81" s="449"/>
      <c r="IE81" s="449"/>
      <c r="IF81" s="449"/>
      <c r="IG81" s="449"/>
      <c r="IH81" s="449"/>
      <c r="II81" s="449"/>
      <c r="IJ81" s="449"/>
      <c r="IK81" s="449"/>
      <c r="IL81" s="449"/>
      <c r="IM81" s="449"/>
      <c r="IN81" s="449"/>
      <c r="IO81" s="449"/>
      <c r="IP81" s="449"/>
      <c r="IQ81" s="449"/>
      <c r="IR81" s="449"/>
      <c r="IS81" s="449"/>
      <c r="IT81" s="449"/>
      <c r="IU81" s="449"/>
      <c r="IV81" s="449"/>
      <c r="IW81" s="449"/>
    </row>
    <row r="82" customFormat="false" ht="12.75" hidden="false" customHeight="false" outlineLevel="0" collapsed="false">
      <c r="A82" s="461" t="n">
        <f aca="false">A81+1</f>
        <v>80</v>
      </c>
      <c r="C82" s="476" t="s">
        <v>907</v>
      </c>
      <c r="D82" s="449"/>
      <c r="E82" s="468"/>
      <c r="F82" s="468"/>
      <c r="G82" s="468"/>
      <c r="H82" s="468"/>
      <c r="I82" s="468"/>
      <c r="J82" s="468"/>
      <c r="K82" s="468"/>
      <c r="L82" s="474"/>
      <c r="M82" s="474"/>
      <c r="N82" s="474"/>
      <c r="O82" s="474"/>
      <c r="P82" s="474"/>
      <c r="Q82" s="474"/>
      <c r="R82" s="474"/>
      <c r="S82" s="474"/>
      <c r="T82" s="449"/>
      <c r="U82" s="449"/>
      <c r="V82" s="449"/>
      <c r="W82" s="449"/>
      <c r="X82" s="449"/>
      <c r="Y82" s="449"/>
      <c r="Z82" s="449"/>
      <c r="AA82" s="449"/>
      <c r="AB82" s="449"/>
      <c r="AC82" s="449"/>
      <c r="AD82" s="449"/>
      <c r="AE82" s="449"/>
      <c r="AF82" s="449"/>
      <c r="AG82" s="449"/>
      <c r="AH82" s="449"/>
      <c r="AI82" s="449"/>
      <c r="AJ82" s="449"/>
      <c r="AK82" s="449"/>
      <c r="AL82" s="449"/>
      <c r="AM82" s="449"/>
      <c r="AN82" s="449"/>
      <c r="AO82" s="449"/>
      <c r="AP82" s="449"/>
      <c r="AQ82" s="449"/>
      <c r="AR82" s="449"/>
      <c r="AS82" s="449"/>
      <c r="AT82" s="449"/>
      <c r="AU82" s="449"/>
      <c r="AV82" s="449"/>
      <c r="AW82" s="449"/>
      <c r="AX82" s="449"/>
      <c r="AY82" s="449"/>
      <c r="AZ82" s="449"/>
      <c r="BA82" s="449"/>
      <c r="BB82" s="449"/>
      <c r="BC82" s="449"/>
      <c r="BD82" s="449"/>
      <c r="BE82" s="449"/>
      <c r="BF82" s="449"/>
      <c r="BG82" s="449"/>
      <c r="BH82" s="449"/>
      <c r="BI82" s="449"/>
      <c r="BJ82" s="449"/>
      <c r="BK82" s="449"/>
      <c r="BL82" s="449"/>
      <c r="BM82" s="449"/>
      <c r="BN82" s="449"/>
      <c r="BO82" s="449"/>
      <c r="BP82" s="449"/>
      <c r="BQ82" s="449"/>
      <c r="BR82" s="449"/>
      <c r="BS82" s="449"/>
      <c r="BT82" s="449"/>
      <c r="BU82" s="449"/>
      <c r="BV82" s="449"/>
      <c r="BW82" s="449"/>
      <c r="BX82" s="449"/>
      <c r="BY82" s="449"/>
      <c r="BZ82" s="449"/>
      <c r="CA82" s="449"/>
      <c r="CB82" s="449"/>
      <c r="CC82" s="449"/>
      <c r="CD82" s="449"/>
      <c r="CE82" s="449"/>
      <c r="CF82" s="449"/>
      <c r="CG82" s="449"/>
      <c r="CH82" s="449"/>
      <c r="CI82" s="449"/>
      <c r="CJ82" s="449"/>
      <c r="CK82" s="449"/>
      <c r="CL82" s="449"/>
      <c r="CM82" s="449"/>
      <c r="CN82" s="449"/>
      <c r="CO82" s="449"/>
      <c r="CP82" s="449"/>
      <c r="CQ82" s="449"/>
      <c r="CR82" s="449"/>
      <c r="CS82" s="449"/>
      <c r="CT82" s="449"/>
      <c r="CU82" s="449"/>
      <c r="CV82" s="449"/>
      <c r="CW82" s="449"/>
      <c r="CX82" s="449"/>
      <c r="CY82" s="449"/>
      <c r="CZ82" s="449"/>
      <c r="DA82" s="449"/>
      <c r="DB82" s="449"/>
      <c r="DC82" s="449"/>
      <c r="DD82" s="449"/>
      <c r="DE82" s="449"/>
      <c r="DF82" s="449"/>
      <c r="DG82" s="449"/>
      <c r="DH82" s="449"/>
      <c r="DI82" s="449"/>
      <c r="DJ82" s="449"/>
      <c r="DK82" s="449"/>
      <c r="DL82" s="449"/>
      <c r="DM82" s="449"/>
      <c r="DN82" s="449"/>
      <c r="DO82" s="449"/>
      <c r="DP82" s="449"/>
      <c r="DQ82" s="449"/>
      <c r="DR82" s="449"/>
      <c r="DS82" s="449"/>
      <c r="DT82" s="449"/>
      <c r="DU82" s="449"/>
      <c r="DV82" s="449"/>
      <c r="DW82" s="449"/>
      <c r="DX82" s="449"/>
      <c r="DY82" s="449"/>
      <c r="DZ82" s="449"/>
      <c r="EA82" s="449"/>
      <c r="EB82" s="449"/>
      <c r="EC82" s="449"/>
      <c r="ED82" s="449"/>
      <c r="EE82" s="449"/>
      <c r="EF82" s="449"/>
      <c r="EG82" s="449"/>
      <c r="EH82" s="449"/>
      <c r="EI82" s="449"/>
      <c r="EJ82" s="449"/>
      <c r="EK82" s="449"/>
      <c r="EL82" s="449"/>
      <c r="EM82" s="449"/>
      <c r="EN82" s="449"/>
      <c r="EO82" s="449"/>
      <c r="EP82" s="449"/>
      <c r="EQ82" s="449"/>
      <c r="ER82" s="449"/>
      <c r="ES82" s="449"/>
      <c r="ET82" s="449"/>
      <c r="EU82" s="449"/>
      <c r="EV82" s="449"/>
      <c r="EW82" s="449"/>
      <c r="EX82" s="449"/>
      <c r="EY82" s="449"/>
      <c r="EZ82" s="449"/>
      <c r="FA82" s="449"/>
      <c r="FB82" s="449"/>
      <c r="FC82" s="449"/>
      <c r="FD82" s="449"/>
      <c r="FE82" s="449"/>
      <c r="FF82" s="449"/>
      <c r="FG82" s="449"/>
      <c r="FH82" s="449"/>
      <c r="FI82" s="449"/>
      <c r="FJ82" s="449"/>
      <c r="FK82" s="449"/>
      <c r="FL82" s="449"/>
      <c r="FM82" s="449"/>
      <c r="FN82" s="449"/>
      <c r="FO82" s="449"/>
      <c r="FP82" s="449"/>
      <c r="FQ82" s="449"/>
      <c r="FR82" s="449"/>
      <c r="FS82" s="449"/>
      <c r="FT82" s="449"/>
      <c r="FU82" s="449"/>
      <c r="FV82" s="449"/>
      <c r="FW82" s="449"/>
      <c r="FX82" s="449"/>
      <c r="FY82" s="449"/>
      <c r="FZ82" s="449"/>
      <c r="GA82" s="449"/>
      <c r="GB82" s="449"/>
      <c r="GC82" s="449"/>
      <c r="GD82" s="449"/>
      <c r="GE82" s="449"/>
      <c r="GF82" s="449"/>
      <c r="GG82" s="449"/>
      <c r="GH82" s="449"/>
      <c r="GI82" s="449"/>
      <c r="GJ82" s="449"/>
      <c r="GK82" s="449"/>
      <c r="GL82" s="449"/>
      <c r="GM82" s="449"/>
      <c r="GN82" s="449"/>
      <c r="GO82" s="449"/>
      <c r="GP82" s="449"/>
      <c r="GQ82" s="449"/>
      <c r="GR82" s="449"/>
      <c r="GS82" s="449"/>
      <c r="GT82" s="449"/>
      <c r="GU82" s="449"/>
      <c r="GV82" s="449"/>
      <c r="GW82" s="449"/>
      <c r="GX82" s="449"/>
      <c r="GY82" s="449"/>
      <c r="GZ82" s="449"/>
      <c r="HA82" s="449"/>
      <c r="HB82" s="449"/>
      <c r="HC82" s="449"/>
      <c r="HD82" s="449"/>
      <c r="HE82" s="449"/>
      <c r="HF82" s="449"/>
      <c r="HG82" s="449"/>
      <c r="HH82" s="449"/>
      <c r="HI82" s="449"/>
      <c r="HJ82" s="449"/>
      <c r="HK82" s="449"/>
      <c r="HL82" s="449"/>
      <c r="HM82" s="449"/>
      <c r="HN82" s="449"/>
      <c r="HO82" s="449"/>
      <c r="HP82" s="449"/>
      <c r="HQ82" s="449"/>
      <c r="HR82" s="449"/>
      <c r="HS82" s="449"/>
      <c r="HT82" s="449"/>
      <c r="HU82" s="449"/>
      <c r="HV82" s="449"/>
      <c r="HW82" s="449"/>
      <c r="HX82" s="449"/>
      <c r="HY82" s="449"/>
      <c r="HZ82" s="449"/>
      <c r="IA82" s="449"/>
      <c r="IB82" s="449"/>
      <c r="IC82" s="449"/>
      <c r="ID82" s="449"/>
      <c r="IE82" s="449"/>
      <c r="IF82" s="449"/>
      <c r="IG82" s="449"/>
      <c r="IH82" s="449"/>
      <c r="II82" s="449"/>
      <c r="IJ82" s="449"/>
      <c r="IK82" s="449"/>
      <c r="IL82" s="449"/>
      <c r="IM82" s="449"/>
      <c r="IN82" s="449"/>
      <c r="IO82" s="449"/>
      <c r="IP82" s="449"/>
      <c r="IQ82" s="449"/>
      <c r="IR82" s="449"/>
      <c r="IS82" s="449"/>
      <c r="IT82" s="449"/>
      <c r="IU82" s="449"/>
      <c r="IV82" s="449"/>
      <c r="IW82" s="449"/>
    </row>
    <row r="83" customFormat="false" ht="12.75" hidden="false" customHeight="false" outlineLevel="0" collapsed="false">
      <c r="A83" s="461" t="n">
        <f aca="false">A82+1</f>
        <v>81</v>
      </c>
      <c r="C83" s="489" t="s">
        <v>908</v>
      </c>
      <c r="D83" s="449"/>
      <c r="E83" s="468"/>
      <c r="F83" s="468"/>
      <c r="G83" s="468"/>
      <c r="H83" s="468"/>
      <c r="I83" s="468"/>
      <c r="J83" s="468"/>
      <c r="K83" s="468"/>
      <c r="L83" s="474"/>
      <c r="M83" s="474"/>
      <c r="N83" s="474"/>
      <c r="O83" s="474"/>
      <c r="P83" s="474"/>
      <c r="Q83" s="474"/>
      <c r="R83" s="474"/>
      <c r="S83" s="474"/>
      <c r="T83" s="449"/>
      <c r="U83" s="449"/>
      <c r="V83" s="449"/>
      <c r="W83" s="449"/>
      <c r="X83" s="449"/>
      <c r="Y83" s="449"/>
      <c r="Z83" s="449"/>
      <c r="AA83" s="449"/>
      <c r="AB83" s="449"/>
      <c r="AC83" s="449"/>
      <c r="AD83" s="449"/>
      <c r="AE83" s="449"/>
      <c r="AF83" s="449"/>
      <c r="AG83" s="449"/>
      <c r="AH83" s="449"/>
      <c r="AI83" s="449"/>
      <c r="AJ83" s="449"/>
      <c r="AK83" s="449"/>
      <c r="AL83" s="449"/>
      <c r="AM83" s="449"/>
      <c r="AN83" s="449"/>
      <c r="AO83" s="449"/>
      <c r="AP83" s="449"/>
      <c r="AQ83" s="449"/>
      <c r="AR83" s="449"/>
      <c r="AS83" s="449"/>
      <c r="AT83" s="449"/>
      <c r="AU83" s="449"/>
      <c r="AV83" s="449"/>
      <c r="AW83" s="449"/>
      <c r="AX83" s="449"/>
      <c r="AY83" s="449"/>
      <c r="AZ83" s="449"/>
      <c r="BA83" s="449"/>
      <c r="BB83" s="449"/>
      <c r="BC83" s="449"/>
      <c r="BD83" s="449"/>
      <c r="BE83" s="449"/>
      <c r="BF83" s="449"/>
      <c r="BG83" s="449"/>
      <c r="BH83" s="449"/>
      <c r="BI83" s="449"/>
      <c r="BJ83" s="449"/>
      <c r="BK83" s="449"/>
      <c r="BL83" s="449"/>
      <c r="BM83" s="449"/>
      <c r="BN83" s="449"/>
      <c r="BO83" s="449"/>
      <c r="BP83" s="449"/>
      <c r="BQ83" s="449"/>
      <c r="BR83" s="449"/>
      <c r="BS83" s="449"/>
      <c r="BT83" s="449"/>
      <c r="BU83" s="449"/>
      <c r="BV83" s="449"/>
      <c r="BW83" s="449"/>
      <c r="BX83" s="449"/>
      <c r="BY83" s="449"/>
      <c r="BZ83" s="449"/>
      <c r="CA83" s="449"/>
      <c r="CB83" s="449"/>
      <c r="CC83" s="449"/>
      <c r="CD83" s="449"/>
      <c r="CE83" s="449"/>
      <c r="CF83" s="449"/>
      <c r="CG83" s="449"/>
      <c r="CH83" s="449"/>
      <c r="CI83" s="449"/>
      <c r="CJ83" s="449"/>
      <c r="CK83" s="449"/>
      <c r="CL83" s="449"/>
      <c r="CM83" s="449"/>
      <c r="CN83" s="449"/>
      <c r="CO83" s="449"/>
      <c r="CP83" s="449"/>
      <c r="CQ83" s="449"/>
      <c r="CR83" s="449"/>
      <c r="CS83" s="449"/>
      <c r="CT83" s="449"/>
      <c r="CU83" s="449"/>
      <c r="CV83" s="449"/>
      <c r="CW83" s="449"/>
      <c r="CX83" s="449"/>
      <c r="CY83" s="449"/>
      <c r="CZ83" s="449"/>
      <c r="DA83" s="449"/>
      <c r="DB83" s="449"/>
      <c r="DC83" s="449"/>
      <c r="DD83" s="449"/>
      <c r="DE83" s="449"/>
      <c r="DF83" s="449"/>
      <c r="DG83" s="449"/>
      <c r="DH83" s="449"/>
      <c r="DI83" s="449"/>
      <c r="DJ83" s="449"/>
      <c r="DK83" s="449"/>
      <c r="DL83" s="449"/>
      <c r="DM83" s="449"/>
      <c r="DN83" s="449"/>
      <c r="DO83" s="449"/>
      <c r="DP83" s="449"/>
      <c r="DQ83" s="449"/>
      <c r="DR83" s="449"/>
      <c r="DS83" s="449"/>
      <c r="DT83" s="449"/>
      <c r="DU83" s="449"/>
      <c r="DV83" s="449"/>
      <c r="DW83" s="449"/>
      <c r="DX83" s="449"/>
      <c r="DY83" s="449"/>
      <c r="DZ83" s="449"/>
      <c r="EA83" s="449"/>
      <c r="EB83" s="449"/>
      <c r="EC83" s="449"/>
      <c r="ED83" s="449"/>
      <c r="EE83" s="449"/>
      <c r="EF83" s="449"/>
      <c r="EG83" s="449"/>
      <c r="EH83" s="449"/>
      <c r="EI83" s="449"/>
      <c r="EJ83" s="449"/>
      <c r="EK83" s="449"/>
      <c r="EL83" s="449"/>
      <c r="EM83" s="449"/>
      <c r="EN83" s="449"/>
      <c r="EO83" s="449"/>
      <c r="EP83" s="449"/>
      <c r="EQ83" s="449"/>
      <c r="ER83" s="449"/>
      <c r="ES83" s="449"/>
      <c r="ET83" s="449"/>
      <c r="EU83" s="449"/>
      <c r="EV83" s="449"/>
      <c r="EW83" s="449"/>
      <c r="EX83" s="449"/>
      <c r="EY83" s="449"/>
      <c r="EZ83" s="449"/>
      <c r="FA83" s="449"/>
      <c r="FB83" s="449"/>
      <c r="FC83" s="449"/>
      <c r="FD83" s="449"/>
      <c r="FE83" s="449"/>
      <c r="FF83" s="449"/>
      <c r="FG83" s="449"/>
      <c r="FH83" s="449"/>
      <c r="FI83" s="449"/>
      <c r="FJ83" s="449"/>
      <c r="FK83" s="449"/>
      <c r="FL83" s="449"/>
      <c r="FM83" s="449"/>
      <c r="FN83" s="449"/>
      <c r="FO83" s="449"/>
      <c r="FP83" s="449"/>
      <c r="FQ83" s="449"/>
      <c r="FR83" s="449"/>
      <c r="FS83" s="449"/>
      <c r="FT83" s="449"/>
      <c r="FU83" s="449"/>
      <c r="FV83" s="449"/>
      <c r="FW83" s="449"/>
      <c r="FX83" s="449"/>
      <c r="FY83" s="449"/>
      <c r="FZ83" s="449"/>
      <c r="GA83" s="449"/>
      <c r="GB83" s="449"/>
      <c r="GC83" s="449"/>
      <c r="GD83" s="449"/>
      <c r="GE83" s="449"/>
      <c r="GF83" s="449"/>
      <c r="GG83" s="449"/>
      <c r="GH83" s="449"/>
      <c r="GI83" s="449"/>
      <c r="GJ83" s="449"/>
      <c r="GK83" s="449"/>
      <c r="GL83" s="449"/>
      <c r="GM83" s="449"/>
      <c r="GN83" s="449"/>
      <c r="GO83" s="449"/>
      <c r="GP83" s="449"/>
      <c r="GQ83" s="449"/>
      <c r="GR83" s="449"/>
      <c r="GS83" s="449"/>
      <c r="GT83" s="449"/>
      <c r="GU83" s="449"/>
      <c r="GV83" s="449"/>
      <c r="GW83" s="449"/>
      <c r="GX83" s="449"/>
      <c r="GY83" s="449"/>
      <c r="GZ83" s="449"/>
      <c r="HA83" s="449"/>
      <c r="HB83" s="449"/>
      <c r="HC83" s="449"/>
      <c r="HD83" s="449"/>
      <c r="HE83" s="449"/>
      <c r="HF83" s="449"/>
      <c r="HG83" s="449"/>
      <c r="HH83" s="449"/>
      <c r="HI83" s="449"/>
      <c r="HJ83" s="449"/>
      <c r="HK83" s="449"/>
      <c r="HL83" s="449"/>
      <c r="HM83" s="449"/>
      <c r="HN83" s="449"/>
      <c r="HO83" s="449"/>
      <c r="HP83" s="449"/>
      <c r="HQ83" s="449"/>
      <c r="HR83" s="449"/>
      <c r="HS83" s="449"/>
      <c r="HT83" s="449"/>
      <c r="HU83" s="449"/>
      <c r="HV83" s="449"/>
      <c r="HW83" s="449"/>
      <c r="HX83" s="449"/>
      <c r="HY83" s="449"/>
      <c r="HZ83" s="449"/>
      <c r="IA83" s="449"/>
      <c r="IB83" s="449"/>
      <c r="IC83" s="449"/>
      <c r="ID83" s="449"/>
      <c r="IE83" s="449"/>
      <c r="IF83" s="449"/>
      <c r="IG83" s="449"/>
      <c r="IH83" s="449"/>
      <c r="II83" s="449"/>
      <c r="IJ83" s="449"/>
      <c r="IK83" s="449"/>
      <c r="IL83" s="449"/>
      <c r="IM83" s="449"/>
      <c r="IN83" s="449"/>
      <c r="IO83" s="449"/>
      <c r="IP83" s="449"/>
      <c r="IQ83" s="449"/>
      <c r="IR83" s="449"/>
      <c r="IS83" s="449"/>
      <c r="IT83" s="449"/>
      <c r="IU83" s="449"/>
      <c r="IV83" s="449"/>
      <c r="IW83" s="449"/>
    </row>
    <row r="84" customFormat="false" ht="12.75" hidden="false" customHeight="false" outlineLevel="0" collapsed="false">
      <c r="A84" s="461" t="n">
        <f aca="false">A83+1</f>
        <v>82</v>
      </c>
      <c r="C84" s="489" t="s">
        <v>909</v>
      </c>
      <c r="D84" s="449"/>
      <c r="E84" s="468"/>
      <c r="F84" s="468"/>
      <c r="G84" s="468"/>
      <c r="H84" s="468"/>
      <c r="I84" s="468"/>
      <c r="J84" s="468"/>
      <c r="K84" s="468"/>
      <c r="L84" s="474"/>
      <c r="M84" s="474"/>
      <c r="N84" s="474"/>
      <c r="O84" s="474"/>
      <c r="P84" s="474"/>
      <c r="Q84" s="474"/>
      <c r="R84" s="474"/>
      <c r="S84" s="474"/>
      <c r="T84" s="449"/>
      <c r="U84" s="449"/>
      <c r="V84" s="449"/>
      <c r="W84" s="449"/>
      <c r="X84" s="449"/>
      <c r="Y84" s="449"/>
      <c r="Z84" s="449"/>
      <c r="AA84" s="449"/>
      <c r="AB84" s="449"/>
      <c r="AC84" s="449"/>
      <c r="AD84" s="449"/>
      <c r="AE84" s="449"/>
      <c r="AF84" s="449"/>
      <c r="AG84" s="449"/>
      <c r="AH84" s="449"/>
      <c r="AI84" s="449"/>
      <c r="AJ84" s="449"/>
      <c r="AK84" s="449"/>
      <c r="AL84" s="449"/>
      <c r="AM84" s="449"/>
      <c r="AN84" s="449"/>
      <c r="AO84" s="449"/>
      <c r="AP84" s="449"/>
      <c r="AQ84" s="449"/>
      <c r="AR84" s="449"/>
      <c r="AS84" s="449"/>
      <c r="AT84" s="449"/>
      <c r="AU84" s="449"/>
      <c r="AV84" s="449"/>
      <c r="AW84" s="449"/>
      <c r="AX84" s="449"/>
      <c r="AY84" s="449"/>
      <c r="AZ84" s="449"/>
      <c r="BA84" s="449"/>
      <c r="BB84" s="449"/>
      <c r="BC84" s="449"/>
      <c r="BD84" s="449"/>
      <c r="BE84" s="449"/>
      <c r="BF84" s="449"/>
      <c r="BG84" s="449"/>
      <c r="BH84" s="449"/>
      <c r="BI84" s="449"/>
      <c r="BJ84" s="449"/>
      <c r="BK84" s="449"/>
      <c r="BL84" s="449"/>
      <c r="BM84" s="449"/>
      <c r="BN84" s="449"/>
      <c r="BO84" s="449"/>
      <c r="BP84" s="449"/>
      <c r="BQ84" s="449"/>
      <c r="BR84" s="449"/>
      <c r="BS84" s="449"/>
      <c r="BT84" s="449"/>
      <c r="BU84" s="449"/>
      <c r="BV84" s="449"/>
      <c r="BW84" s="449"/>
      <c r="BX84" s="449"/>
      <c r="BY84" s="449"/>
      <c r="BZ84" s="449"/>
      <c r="CA84" s="449"/>
      <c r="CB84" s="449"/>
      <c r="CC84" s="449"/>
      <c r="CD84" s="449"/>
      <c r="CE84" s="449"/>
      <c r="CF84" s="449"/>
      <c r="CG84" s="449"/>
      <c r="CH84" s="449"/>
      <c r="CI84" s="449"/>
      <c r="CJ84" s="449"/>
      <c r="CK84" s="449"/>
      <c r="CL84" s="449"/>
      <c r="CM84" s="449"/>
      <c r="CN84" s="449"/>
      <c r="CO84" s="449"/>
      <c r="CP84" s="449"/>
      <c r="CQ84" s="449"/>
      <c r="CR84" s="449"/>
      <c r="CS84" s="449"/>
      <c r="CT84" s="449"/>
      <c r="CU84" s="449"/>
      <c r="CV84" s="449"/>
      <c r="CW84" s="449"/>
      <c r="CX84" s="449"/>
      <c r="CY84" s="449"/>
      <c r="CZ84" s="449"/>
      <c r="DA84" s="449"/>
      <c r="DB84" s="449"/>
      <c r="DC84" s="449"/>
      <c r="DD84" s="449"/>
      <c r="DE84" s="449"/>
      <c r="DF84" s="449"/>
      <c r="DG84" s="449"/>
      <c r="DH84" s="449"/>
      <c r="DI84" s="449"/>
      <c r="DJ84" s="449"/>
      <c r="DK84" s="449"/>
      <c r="DL84" s="449"/>
      <c r="DM84" s="449"/>
      <c r="DN84" s="449"/>
      <c r="DO84" s="449"/>
      <c r="DP84" s="449"/>
      <c r="DQ84" s="449"/>
      <c r="DR84" s="449"/>
      <c r="DS84" s="449"/>
      <c r="DT84" s="449"/>
      <c r="DU84" s="449"/>
      <c r="DV84" s="449"/>
      <c r="DW84" s="449"/>
      <c r="DX84" s="449"/>
      <c r="DY84" s="449"/>
      <c r="DZ84" s="449"/>
      <c r="EA84" s="449"/>
      <c r="EB84" s="449"/>
      <c r="EC84" s="449"/>
      <c r="ED84" s="449"/>
      <c r="EE84" s="449"/>
      <c r="EF84" s="449"/>
      <c r="EG84" s="449"/>
      <c r="EH84" s="449"/>
      <c r="EI84" s="449"/>
      <c r="EJ84" s="449"/>
      <c r="EK84" s="449"/>
      <c r="EL84" s="449"/>
      <c r="EM84" s="449"/>
      <c r="EN84" s="449"/>
      <c r="EO84" s="449"/>
      <c r="EP84" s="449"/>
      <c r="EQ84" s="449"/>
      <c r="ER84" s="449"/>
      <c r="ES84" s="449"/>
      <c r="ET84" s="449"/>
      <c r="EU84" s="449"/>
      <c r="EV84" s="449"/>
      <c r="EW84" s="449"/>
      <c r="EX84" s="449"/>
      <c r="EY84" s="449"/>
      <c r="EZ84" s="449"/>
      <c r="FA84" s="449"/>
      <c r="FB84" s="449"/>
      <c r="FC84" s="449"/>
      <c r="FD84" s="449"/>
      <c r="FE84" s="449"/>
      <c r="FF84" s="449"/>
      <c r="FG84" s="449"/>
      <c r="FH84" s="449"/>
      <c r="FI84" s="449"/>
      <c r="FJ84" s="449"/>
      <c r="FK84" s="449"/>
      <c r="FL84" s="449"/>
      <c r="FM84" s="449"/>
      <c r="FN84" s="449"/>
      <c r="FO84" s="449"/>
      <c r="FP84" s="449"/>
      <c r="FQ84" s="449"/>
      <c r="FR84" s="449"/>
      <c r="FS84" s="449"/>
      <c r="FT84" s="449"/>
      <c r="FU84" s="449"/>
      <c r="FV84" s="449"/>
      <c r="FW84" s="449"/>
      <c r="FX84" s="449"/>
      <c r="FY84" s="449"/>
      <c r="FZ84" s="449"/>
      <c r="GA84" s="449"/>
      <c r="GB84" s="449"/>
      <c r="GC84" s="449"/>
      <c r="GD84" s="449"/>
      <c r="GE84" s="449"/>
      <c r="GF84" s="449"/>
      <c r="GG84" s="449"/>
      <c r="GH84" s="449"/>
      <c r="GI84" s="449"/>
      <c r="GJ84" s="449"/>
      <c r="GK84" s="449"/>
      <c r="GL84" s="449"/>
      <c r="GM84" s="449"/>
      <c r="GN84" s="449"/>
      <c r="GO84" s="449"/>
      <c r="GP84" s="449"/>
      <c r="GQ84" s="449"/>
      <c r="GR84" s="449"/>
      <c r="GS84" s="449"/>
      <c r="GT84" s="449"/>
      <c r="GU84" s="449"/>
      <c r="GV84" s="449"/>
      <c r="GW84" s="449"/>
      <c r="GX84" s="449"/>
      <c r="GY84" s="449"/>
      <c r="GZ84" s="449"/>
      <c r="HA84" s="449"/>
      <c r="HB84" s="449"/>
      <c r="HC84" s="449"/>
      <c r="HD84" s="449"/>
      <c r="HE84" s="449"/>
      <c r="HF84" s="449"/>
      <c r="HG84" s="449"/>
      <c r="HH84" s="449"/>
      <c r="HI84" s="449"/>
      <c r="HJ84" s="449"/>
      <c r="HK84" s="449"/>
      <c r="HL84" s="449"/>
      <c r="HM84" s="449"/>
      <c r="HN84" s="449"/>
      <c r="HO84" s="449"/>
      <c r="HP84" s="449"/>
      <c r="HQ84" s="449"/>
      <c r="HR84" s="449"/>
      <c r="HS84" s="449"/>
      <c r="HT84" s="449"/>
      <c r="HU84" s="449"/>
      <c r="HV84" s="449"/>
      <c r="HW84" s="449"/>
      <c r="HX84" s="449"/>
      <c r="HY84" s="449"/>
      <c r="HZ84" s="449"/>
      <c r="IA84" s="449"/>
      <c r="IB84" s="449"/>
      <c r="IC84" s="449"/>
      <c r="ID84" s="449"/>
      <c r="IE84" s="449"/>
      <c r="IF84" s="449"/>
      <c r="IG84" s="449"/>
      <c r="IH84" s="449"/>
      <c r="II84" s="449"/>
      <c r="IJ84" s="449"/>
      <c r="IK84" s="449"/>
      <c r="IL84" s="449"/>
      <c r="IM84" s="449"/>
      <c r="IN84" s="449"/>
      <c r="IO84" s="449"/>
      <c r="IP84" s="449"/>
      <c r="IQ84" s="449"/>
      <c r="IR84" s="449"/>
      <c r="IS84" s="449"/>
      <c r="IT84" s="449"/>
      <c r="IU84" s="449"/>
      <c r="IV84" s="449"/>
      <c r="IW84" s="449"/>
    </row>
    <row r="85" customFormat="false" ht="12.75" hidden="false" customHeight="false" outlineLevel="0" collapsed="false">
      <c r="A85" s="461" t="n">
        <f aca="false">A84+1</f>
        <v>83</v>
      </c>
      <c r="C85" s="489" t="s">
        <v>910</v>
      </c>
      <c r="D85" s="449"/>
      <c r="E85" s="468"/>
      <c r="F85" s="468"/>
      <c r="G85" s="468"/>
      <c r="H85" s="468"/>
      <c r="I85" s="468"/>
      <c r="J85" s="468"/>
      <c r="K85" s="468"/>
      <c r="L85" s="474"/>
      <c r="M85" s="474"/>
      <c r="N85" s="474"/>
      <c r="O85" s="474"/>
      <c r="P85" s="474"/>
      <c r="Q85" s="474"/>
      <c r="R85" s="474"/>
      <c r="S85" s="474"/>
      <c r="T85" s="449"/>
      <c r="U85" s="449"/>
      <c r="V85" s="449"/>
      <c r="W85" s="449"/>
      <c r="X85" s="449"/>
      <c r="Y85" s="449"/>
      <c r="Z85" s="449"/>
      <c r="AA85" s="449"/>
      <c r="AB85" s="449"/>
      <c r="AC85" s="449"/>
      <c r="AD85" s="449"/>
      <c r="AE85" s="449"/>
      <c r="AF85" s="449"/>
      <c r="AG85" s="449"/>
      <c r="AH85" s="449"/>
      <c r="AI85" s="449"/>
      <c r="AJ85" s="449"/>
      <c r="AK85" s="449"/>
      <c r="AL85" s="449"/>
      <c r="AM85" s="449"/>
      <c r="AN85" s="449"/>
      <c r="AO85" s="449"/>
      <c r="AP85" s="449"/>
      <c r="AQ85" s="449"/>
      <c r="AR85" s="449"/>
      <c r="AS85" s="449"/>
      <c r="AT85" s="449"/>
      <c r="AU85" s="449"/>
      <c r="AV85" s="449"/>
      <c r="AW85" s="449"/>
      <c r="AX85" s="449"/>
      <c r="AY85" s="449"/>
      <c r="AZ85" s="449"/>
      <c r="BA85" s="449"/>
      <c r="BB85" s="449"/>
      <c r="BC85" s="449"/>
      <c r="BD85" s="449"/>
      <c r="BE85" s="449"/>
      <c r="BF85" s="449"/>
      <c r="BG85" s="449"/>
      <c r="BH85" s="449"/>
      <c r="BI85" s="449"/>
      <c r="BJ85" s="449"/>
      <c r="BK85" s="449"/>
      <c r="BL85" s="449"/>
      <c r="BM85" s="449"/>
      <c r="BN85" s="449"/>
      <c r="BO85" s="449"/>
      <c r="BP85" s="449"/>
      <c r="BQ85" s="449"/>
      <c r="BR85" s="449"/>
      <c r="BS85" s="449"/>
      <c r="BT85" s="449"/>
      <c r="BU85" s="449"/>
      <c r="BV85" s="449"/>
      <c r="BW85" s="449"/>
      <c r="BX85" s="449"/>
      <c r="BY85" s="449"/>
      <c r="BZ85" s="449"/>
      <c r="CA85" s="449"/>
      <c r="CB85" s="449"/>
      <c r="CC85" s="449"/>
      <c r="CD85" s="449"/>
      <c r="CE85" s="449"/>
      <c r="CF85" s="449"/>
      <c r="CG85" s="449"/>
      <c r="CH85" s="449"/>
      <c r="CI85" s="449"/>
      <c r="CJ85" s="449"/>
      <c r="CK85" s="449"/>
      <c r="CL85" s="449"/>
      <c r="CM85" s="449"/>
      <c r="CN85" s="449"/>
      <c r="CO85" s="449"/>
      <c r="CP85" s="449"/>
      <c r="CQ85" s="449"/>
      <c r="CR85" s="449"/>
      <c r="CS85" s="449"/>
      <c r="CT85" s="449"/>
      <c r="CU85" s="449"/>
      <c r="CV85" s="449"/>
      <c r="CW85" s="449"/>
      <c r="CX85" s="449"/>
      <c r="CY85" s="449"/>
      <c r="CZ85" s="449"/>
      <c r="DA85" s="449"/>
      <c r="DB85" s="449"/>
      <c r="DC85" s="449"/>
      <c r="DD85" s="449"/>
      <c r="DE85" s="449"/>
      <c r="DF85" s="449"/>
      <c r="DG85" s="449"/>
      <c r="DH85" s="449"/>
      <c r="DI85" s="449"/>
      <c r="DJ85" s="449"/>
      <c r="DK85" s="449"/>
      <c r="DL85" s="449"/>
      <c r="DM85" s="449"/>
      <c r="DN85" s="449"/>
      <c r="DO85" s="449"/>
      <c r="DP85" s="449"/>
      <c r="DQ85" s="449"/>
      <c r="DR85" s="449"/>
      <c r="DS85" s="449"/>
      <c r="DT85" s="449"/>
      <c r="DU85" s="449"/>
      <c r="DV85" s="449"/>
      <c r="DW85" s="449"/>
      <c r="DX85" s="449"/>
      <c r="DY85" s="449"/>
      <c r="DZ85" s="449"/>
      <c r="EA85" s="449"/>
      <c r="EB85" s="449"/>
      <c r="EC85" s="449"/>
      <c r="ED85" s="449"/>
      <c r="EE85" s="449"/>
      <c r="EF85" s="449"/>
      <c r="EG85" s="449"/>
      <c r="EH85" s="449"/>
      <c r="EI85" s="449"/>
      <c r="EJ85" s="449"/>
      <c r="EK85" s="449"/>
      <c r="EL85" s="449"/>
      <c r="EM85" s="449"/>
      <c r="EN85" s="449"/>
      <c r="EO85" s="449"/>
      <c r="EP85" s="449"/>
      <c r="EQ85" s="449"/>
      <c r="ER85" s="449"/>
      <c r="ES85" s="449"/>
      <c r="ET85" s="449"/>
      <c r="EU85" s="449"/>
      <c r="EV85" s="449"/>
      <c r="EW85" s="449"/>
      <c r="EX85" s="449"/>
      <c r="EY85" s="449"/>
      <c r="EZ85" s="449"/>
      <c r="FA85" s="449"/>
      <c r="FB85" s="449"/>
      <c r="FC85" s="449"/>
      <c r="FD85" s="449"/>
      <c r="FE85" s="449"/>
      <c r="FF85" s="449"/>
      <c r="FG85" s="449"/>
      <c r="FH85" s="449"/>
      <c r="FI85" s="449"/>
      <c r="FJ85" s="449"/>
      <c r="FK85" s="449"/>
      <c r="FL85" s="449"/>
      <c r="FM85" s="449"/>
      <c r="FN85" s="449"/>
      <c r="FO85" s="449"/>
      <c r="FP85" s="449"/>
      <c r="FQ85" s="449"/>
      <c r="FR85" s="449"/>
      <c r="FS85" s="449"/>
      <c r="FT85" s="449"/>
      <c r="FU85" s="449"/>
      <c r="FV85" s="449"/>
      <c r="FW85" s="449"/>
      <c r="FX85" s="449"/>
      <c r="FY85" s="449"/>
      <c r="FZ85" s="449"/>
      <c r="GA85" s="449"/>
      <c r="GB85" s="449"/>
      <c r="GC85" s="449"/>
      <c r="GD85" s="449"/>
      <c r="GE85" s="449"/>
      <c r="GF85" s="449"/>
      <c r="GG85" s="449"/>
      <c r="GH85" s="449"/>
      <c r="GI85" s="449"/>
      <c r="GJ85" s="449"/>
      <c r="GK85" s="449"/>
      <c r="GL85" s="449"/>
      <c r="GM85" s="449"/>
      <c r="GN85" s="449"/>
      <c r="GO85" s="449"/>
      <c r="GP85" s="449"/>
      <c r="GQ85" s="449"/>
      <c r="GR85" s="449"/>
      <c r="GS85" s="449"/>
      <c r="GT85" s="449"/>
      <c r="GU85" s="449"/>
      <c r="GV85" s="449"/>
      <c r="GW85" s="449"/>
      <c r="GX85" s="449"/>
      <c r="GY85" s="449"/>
      <c r="GZ85" s="449"/>
      <c r="HA85" s="449"/>
      <c r="HB85" s="449"/>
      <c r="HC85" s="449"/>
      <c r="HD85" s="449"/>
      <c r="HE85" s="449"/>
      <c r="HF85" s="449"/>
      <c r="HG85" s="449"/>
      <c r="HH85" s="449"/>
      <c r="HI85" s="449"/>
      <c r="HJ85" s="449"/>
      <c r="HK85" s="449"/>
      <c r="HL85" s="449"/>
      <c r="HM85" s="449"/>
      <c r="HN85" s="449"/>
      <c r="HO85" s="449"/>
      <c r="HP85" s="449"/>
      <c r="HQ85" s="449"/>
      <c r="HR85" s="449"/>
      <c r="HS85" s="449"/>
      <c r="HT85" s="449"/>
      <c r="HU85" s="449"/>
      <c r="HV85" s="449"/>
      <c r="HW85" s="449"/>
      <c r="HX85" s="449"/>
      <c r="HY85" s="449"/>
      <c r="HZ85" s="449"/>
      <c r="IA85" s="449"/>
      <c r="IB85" s="449"/>
      <c r="IC85" s="449"/>
      <c r="ID85" s="449"/>
      <c r="IE85" s="449"/>
      <c r="IF85" s="449"/>
      <c r="IG85" s="449"/>
      <c r="IH85" s="449"/>
      <c r="II85" s="449"/>
      <c r="IJ85" s="449"/>
      <c r="IK85" s="449"/>
      <c r="IL85" s="449"/>
      <c r="IM85" s="449"/>
      <c r="IN85" s="449"/>
      <c r="IO85" s="449"/>
      <c r="IP85" s="449"/>
      <c r="IQ85" s="449"/>
      <c r="IR85" s="449"/>
      <c r="IS85" s="449"/>
      <c r="IT85" s="449"/>
      <c r="IU85" s="449"/>
      <c r="IV85" s="449"/>
      <c r="IW85" s="449"/>
    </row>
    <row r="86" customFormat="false" ht="12.75" hidden="false" customHeight="false" outlineLevel="0" collapsed="false">
      <c r="A86" s="461" t="n">
        <f aca="false">A85+1</f>
        <v>84</v>
      </c>
      <c r="C86" s="489" t="s">
        <v>911</v>
      </c>
      <c r="D86" s="449"/>
      <c r="E86" s="468"/>
      <c r="F86" s="468"/>
      <c r="G86" s="468"/>
      <c r="H86" s="468"/>
      <c r="I86" s="468"/>
      <c r="J86" s="468"/>
      <c r="K86" s="468"/>
      <c r="L86" s="474"/>
      <c r="M86" s="474"/>
      <c r="N86" s="474"/>
      <c r="O86" s="474"/>
      <c r="P86" s="474"/>
      <c r="Q86" s="474"/>
      <c r="R86" s="474"/>
      <c r="S86" s="474"/>
      <c r="T86" s="449"/>
      <c r="U86" s="449"/>
      <c r="V86" s="449"/>
      <c r="W86" s="449"/>
      <c r="X86" s="449"/>
      <c r="Y86" s="449"/>
      <c r="Z86" s="449"/>
      <c r="AA86" s="449"/>
      <c r="AB86" s="449"/>
      <c r="AC86" s="449"/>
      <c r="AD86" s="449"/>
      <c r="AE86" s="449"/>
      <c r="AF86" s="449"/>
      <c r="AG86" s="449"/>
      <c r="AH86" s="449"/>
      <c r="AI86" s="449"/>
      <c r="AJ86" s="449"/>
      <c r="AK86" s="449"/>
      <c r="AL86" s="449"/>
      <c r="AM86" s="449"/>
      <c r="AN86" s="449"/>
      <c r="AO86" s="449"/>
      <c r="AP86" s="449"/>
      <c r="AQ86" s="449"/>
      <c r="AR86" s="449"/>
      <c r="AS86" s="449"/>
      <c r="AT86" s="449"/>
      <c r="AU86" s="449"/>
      <c r="AV86" s="449"/>
      <c r="AW86" s="449"/>
      <c r="AX86" s="449"/>
      <c r="AY86" s="449"/>
      <c r="AZ86" s="449"/>
      <c r="BA86" s="449"/>
      <c r="BB86" s="449"/>
      <c r="BC86" s="449"/>
      <c r="BD86" s="449"/>
      <c r="BE86" s="449"/>
      <c r="BF86" s="449"/>
      <c r="BG86" s="449"/>
      <c r="BH86" s="449"/>
      <c r="BI86" s="449"/>
      <c r="BJ86" s="449"/>
      <c r="BK86" s="449"/>
      <c r="BL86" s="449"/>
      <c r="BM86" s="449"/>
      <c r="BN86" s="449"/>
      <c r="BO86" s="449"/>
      <c r="BP86" s="449"/>
      <c r="BQ86" s="449"/>
      <c r="BR86" s="449"/>
      <c r="BS86" s="449"/>
      <c r="BT86" s="449"/>
      <c r="BU86" s="449"/>
      <c r="BV86" s="449"/>
      <c r="BW86" s="449"/>
      <c r="BX86" s="449"/>
      <c r="BY86" s="449"/>
      <c r="BZ86" s="449"/>
      <c r="CA86" s="449"/>
      <c r="CB86" s="449"/>
      <c r="CC86" s="449"/>
      <c r="CD86" s="449"/>
      <c r="CE86" s="449"/>
      <c r="CF86" s="449"/>
      <c r="CG86" s="449"/>
      <c r="CH86" s="449"/>
      <c r="CI86" s="449"/>
      <c r="CJ86" s="449"/>
      <c r="CK86" s="449"/>
      <c r="CL86" s="449"/>
      <c r="CM86" s="449"/>
      <c r="CN86" s="449"/>
      <c r="CO86" s="449"/>
      <c r="CP86" s="449"/>
      <c r="CQ86" s="449"/>
      <c r="CR86" s="449"/>
      <c r="CS86" s="449"/>
      <c r="CT86" s="449"/>
      <c r="CU86" s="449"/>
      <c r="CV86" s="449"/>
      <c r="CW86" s="449"/>
      <c r="CX86" s="449"/>
      <c r="CY86" s="449"/>
      <c r="CZ86" s="449"/>
      <c r="DA86" s="449"/>
      <c r="DB86" s="449"/>
      <c r="DC86" s="449"/>
      <c r="DD86" s="449"/>
      <c r="DE86" s="449"/>
      <c r="DF86" s="449"/>
      <c r="DG86" s="449"/>
      <c r="DH86" s="449"/>
      <c r="DI86" s="449"/>
      <c r="DJ86" s="449"/>
      <c r="DK86" s="449"/>
      <c r="DL86" s="449"/>
      <c r="DM86" s="449"/>
      <c r="DN86" s="449"/>
      <c r="DO86" s="449"/>
      <c r="DP86" s="449"/>
      <c r="DQ86" s="449"/>
      <c r="DR86" s="449"/>
      <c r="DS86" s="449"/>
      <c r="DT86" s="449"/>
      <c r="DU86" s="449"/>
      <c r="DV86" s="449"/>
      <c r="DW86" s="449"/>
      <c r="DX86" s="449"/>
      <c r="DY86" s="449"/>
      <c r="DZ86" s="449"/>
      <c r="EA86" s="449"/>
      <c r="EB86" s="449"/>
      <c r="EC86" s="449"/>
      <c r="ED86" s="449"/>
      <c r="EE86" s="449"/>
      <c r="EF86" s="449"/>
      <c r="EG86" s="449"/>
      <c r="EH86" s="449"/>
      <c r="EI86" s="449"/>
      <c r="EJ86" s="449"/>
      <c r="EK86" s="449"/>
      <c r="EL86" s="449"/>
      <c r="EM86" s="449"/>
      <c r="EN86" s="449"/>
      <c r="EO86" s="449"/>
      <c r="EP86" s="449"/>
      <c r="EQ86" s="449"/>
      <c r="ER86" s="449"/>
      <c r="ES86" s="449"/>
      <c r="ET86" s="449"/>
      <c r="EU86" s="449"/>
      <c r="EV86" s="449"/>
      <c r="EW86" s="449"/>
      <c r="EX86" s="449"/>
      <c r="EY86" s="449"/>
      <c r="EZ86" s="449"/>
      <c r="FA86" s="449"/>
      <c r="FB86" s="449"/>
      <c r="FC86" s="449"/>
      <c r="FD86" s="449"/>
      <c r="FE86" s="449"/>
      <c r="FF86" s="449"/>
      <c r="FG86" s="449"/>
      <c r="FH86" s="449"/>
      <c r="FI86" s="449"/>
      <c r="FJ86" s="449"/>
      <c r="FK86" s="449"/>
      <c r="FL86" s="449"/>
      <c r="FM86" s="449"/>
      <c r="FN86" s="449"/>
      <c r="FO86" s="449"/>
      <c r="FP86" s="449"/>
      <c r="FQ86" s="449"/>
      <c r="FR86" s="449"/>
      <c r="FS86" s="449"/>
      <c r="FT86" s="449"/>
      <c r="FU86" s="449"/>
      <c r="FV86" s="449"/>
      <c r="FW86" s="449"/>
      <c r="FX86" s="449"/>
      <c r="FY86" s="449"/>
      <c r="FZ86" s="449"/>
      <c r="GA86" s="449"/>
      <c r="GB86" s="449"/>
      <c r="GC86" s="449"/>
      <c r="GD86" s="449"/>
      <c r="GE86" s="449"/>
      <c r="GF86" s="449"/>
      <c r="GG86" s="449"/>
      <c r="GH86" s="449"/>
      <c r="GI86" s="449"/>
      <c r="GJ86" s="449"/>
      <c r="GK86" s="449"/>
      <c r="GL86" s="449"/>
      <c r="GM86" s="449"/>
      <c r="GN86" s="449"/>
      <c r="GO86" s="449"/>
      <c r="GP86" s="449"/>
      <c r="GQ86" s="449"/>
      <c r="GR86" s="449"/>
      <c r="GS86" s="449"/>
      <c r="GT86" s="449"/>
      <c r="GU86" s="449"/>
      <c r="GV86" s="449"/>
      <c r="GW86" s="449"/>
      <c r="GX86" s="449"/>
      <c r="GY86" s="449"/>
      <c r="GZ86" s="449"/>
      <c r="HA86" s="449"/>
      <c r="HB86" s="449"/>
      <c r="HC86" s="449"/>
      <c r="HD86" s="449"/>
      <c r="HE86" s="449"/>
      <c r="HF86" s="449"/>
      <c r="HG86" s="449"/>
      <c r="HH86" s="449"/>
      <c r="HI86" s="449"/>
      <c r="HJ86" s="449"/>
      <c r="HK86" s="449"/>
      <c r="HL86" s="449"/>
      <c r="HM86" s="449"/>
      <c r="HN86" s="449"/>
      <c r="HO86" s="449"/>
      <c r="HP86" s="449"/>
      <c r="HQ86" s="449"/>
      <c r="HR86" s="449"/>
      <c r="HS86" s="449"/>
      <c r="HT86" s="449"/>
      <c r="HU86" s="449"/>
      <c r="HV86" s="449"/>
      <c r="HW86" s="449"/>
      <c r="HX86" s="449"/>
      <c r="HY86" s="449"/>
      <c r="HZ86" s="449"/>
      <c r="IA86" s="449"/>
      <c r="IB86" s="449"/>
      <c r="IC86" s="449"/>
      <c r="ID86" s="449"/>
      <c r="IE86" s="449"/>
      <c r="IF86" s="449"/>
      <c r="IG86" s="449"/>
      <c r="IH86" s="449"/>
      <c r="II86" s="449"/>
      <c r="IJ86" s="449"/>
      <c r="IK86" s="449"/>
      <c r="IL86" s="449"/>
      <c r="IM86" s="449"/>
      <c r="IN86" s="449"/>
      <c r="IO86" s="449"/>
      <c r="IP86" s="449"/>
      <c r="IQ86" s="449"/>
      <c r="IR86" s="449"/>
      <c r="IS86" s="449"/>
      <c r="IT86" s="449"/>
      <c r="IU86" s="449"/>
      <c r="IV86" s="449"/>
      <c r="IW86" s="449"/>
    </row>
    <row r="87" customFormat="false" ht="12.75" hidden="false" customHeight="false" outlineLevel="0" collapsed="false">
      <c r="A87" s="461" t="n">
        <f aca="false">A86+1</f>
        <v>85</v>
      </c>
      <c r="C87" s="476" t="s">
        <v>912</v>
      </c>
      <c r="D87" s="449"/>
      <c r="E87" s="468"/>
      <c r="F87" s="468"/>
      <c r="G87" s="468"/>
      <c r="H87" s="468"/>
      <c r="I87" s="468"/>
      <c r="J87" s="468"/>
      <c r="K87" s="468"/>
      <c r="L87" s="474"/>
      <c r="M87" s="474"/>
      <c r="N87" s="474"/>
      <c r="O87" s="474"/>
      <c r="P87" s="474"/>
      <c r="Q87" s="474"/>
      <c r="R87" s="474"/>
      <c r="S87" s="474"/>
      <c r="T87" s="449"/>
      <c r="U87" s="449"/>
      <c r="V87" s="449"/>
      <c r="W87" s="449"/>
      <c r="X87" s="449"/>
      <c r="Y87" s="449"/>
      <c r="Z87" s="449"/>
      <c r="AA87" s="449"/>
      <c r="AB87" s="449"/>
      <c r="AC87" s="449"/>
      <c r="AD87" s="449"/>
      <c r="AE87" s="449"/>
      <c r="AF87" s="449"/>
      <c r="AG87" s="449"/>
      <c r="AH87" s="449"/>
      <c r="AI87" s="449"/>
      <c r="AJ87" s="449"/>
      <c r="AK87" s="449"/>
      <c r="AL87" s="449"/>
      <c r="AM87" s="449"/>
      <c r="AN87" s="449"/>
      <c r="AO87" s="449"/>
      <c r="AP87" s="449"/>
      <c r="AQ87" s="449"/>
      <c r="AR87" s="449"/>
      <c r="AS87" s="449"/>
      <c r="AT87" s="449"/>
      <c r="AU87" s="449"/>
      <c r="AV87" s="449"/>
      <c r="AW87" s="449"/>
      <c r="AX87" s="449"/>
      <c r="AY87" s="449"/>
      <c r="AZ87" s="449"/>
      <c r="BA87" s="449"/>
      <c r="BB87" s="449"/>
      <c r="BC87" s="449"/>
      <c r="BD87" s="449"/>
      <c r="BE87" s="449"/>
      <c r="BF87" s="449"/>
      <c r="BG87" s="449"/>
      <c r="BH87" s="449"/>
      <c r="BI87" s="449"/>
      <c r="BJ87" s="449"/>
      <c r="BK87" s="449"/>
      <c r="BL87" s="449"/>
      <c r="BM87" s="449"/>
      <c r="BN87" s="449"/>
      <c r="BO87" s="449"/>
      <c r="BP87" s="449"/>
      <c r="BQ87" s="449"/>
      <c r="BR87" s="449"/>
      <c r="BS87" s="449"/>
      <c r="BT87" s="449"/>
      <c r="BU87" s="449"/>
      <c r="BV87" s="449"/>
      <c r="BW87" s="449"/>
      <c r="BX87" s="449"/>
      <c r="BY87" s="449"/>
      <c r="BZ87" s="449"/>
      <c r="CA87" s="449"/>
      <c r="CB87" s="449"/>
      <c r="CC87" s="449"/>
      <c r="CD87" s="449"/>
      <c r="CE87" s="449"/>
      <c r="CF87" s="449"/>
      <c r="CG87" s="449"/>
      <c r="CH87" s="449"/>
      <c r="CI87" s="449"/>
      <c r="CJ87" s="449"/>
      <c r="CK87" s="449"/>
      <c r="CL87" s="449"/>
      <c r="CM87" s="449"/>
      <c r="CN87" s="449"/>
      <c r="CO87" s="449"/>
      <c r="CP87" s="449"/>
      <c r="CQ87" s="449"/>
      <c r="CR87" s="449"/>
      <c r="CS87" s="449"/>
      <c r="CT87" s="449"/>
      <c r="CU87" s="449"/>
      <c r="CV87" s="449"/>
      <c r="CW87" s="449"/>
      <c r="CX87" s="449"/>
      <c r="CY87" s="449"/>
      <c r="CZ87" s="449"/>
      <c r="DA87" s="449"/>
      <c r="DB87" s="449"/>
      <c r="DC87" s="449"/>
      <c r="DD87" s="449"/>
      <c r="DE87" s="449"/>
      <c r="DF87" s="449"/>
      <c r="DG87" s="449"/>
      <c r="DH87" s="449"/>
      <c r="DI87" s="449"/>
      <c r="DJ87" s="449"/>
      <c r="DK87" s="449"/>
      <c r="DL87" s="449"/>
      <c r="DM87" s="449"/>
      <c r="DN87" s="449"/>
      <c r="DO87" s="449"/>
      <c r="DP87" s="449"/>
      <c r="DQ87" s="449"/>
      <c r="DR87" s="449"/>
      <c r="DS87" s="449"/>
      <c r="DT87" s="449"/>
      <c r="DU87" s="449"/>
      <c r="DV87" s="449"/>
      <c r="DW87" s="449"/>
      <c r="DX87" s="449"/>
      <c r="DY87" s="449"/>
      <c r="DZ87" s="449"/>
      <c r="EA87" s="449"/>
      <c r="EB87" s="449"/>
      <c r="EC87" s="449"/>
      <c r="ED87" s="449"/>
      <c r="EE87" s="449"/>
      <c r="EF87" s="449"/>
      <c r="EG87" s="449"/>
      <c r="EH87" s="449"/>
      <c r="EI87" s="449"/>
      <c r="EJ87" s="449"/>
      <c r="EK87" s="449"/>
      <c r="EL87" s="449"/>
      <c r="EM87" s="449"/>
      <c r="EN87" s="449"/>
      <c r="EO87" s="449"/>
      <c r="EP87" s="449"/>
      <c r="EQ87" s="449"/>
      <c r="ER87" s="449"/>
      <c r="ES87" s="449"/>
      <c r="ET87" s="449"/>
      <c r="EU87" s="449"/>
      <c r="EV87" s="449"/>
      <c r="EW87" s="449"/>
      <c r="EX87" s="449"/>
      <c r="EY87" s="449"/>
      <c r="EZ87" s="449"/>
      <c r="FA87" s="449"/>
      <c r="FB87" s="449"/>
      <c r="FC87" s="449"/>
      <c r="FD87" s="449"/>
      <c r="FE87" s="449"/>
      <c r="FF87" s="449"/>
      <c r="FG87" s="449"/>
      <c r="FH87" s="449"/>
      <c r="FI87" s="449"/>
      <c r="FJ87" s="449"/>
      <c r="FK87" s="449"/>
      <c r="FL87" s="449"/>
      <c r="FM87" s="449"/>
      <c r="FN87" s="449"/>
      <c r="FO87" s="449"/>
      <c r="FP87" s="449"/>
      <c r="FQ87" s="449"/>
      <c r="FR87" s="449"/>
      <c r="FS87" s="449"/>
      <c r="FT87" s="449"/>
      <c r="FU87" s="449"/>
      <c r="FV87" s="449"/>
      <c r="FW87" s="449"/>
      <c r="FX87" s="449"/>
      <c r="FY87" s="449"/>
      <c r="FZ87" s="449"/>
      <c r="GA87" s="449"/>
      <c r="GB87" s="449"/>
      <c r="GC87" s="449"/>
      <c r="GD87" s="449"/>
      <c r="GE87" s="449"/>
      <c r="GF87" s="449"/>
      <c r="GG87" s="449"/>
      <c r="GH87" s="449"/>
      <c r="GI87" s="449"/>
      <c r="GJ87" s="449"/>
      <c r="GK87" s="449"/>
      <c r="GL87" s="449"/>
      <c r="GM87" s="449"/>
      <c r="GN87" s="449"/>
      <c r="GO87" s="449"/>
      <c r="GP87" s="449"/>
      <c r="GQ87" s="449"/>
      <c r="GR87" s="449"/>
      <c r="GS87" s="449"/>
      <c r="GT87" s="449"/>
      <c r="GU87" s="449"/>
      <c r="GV87" s="449"/>
      <c r="GW87" s="449"/>
      <c r="GX87" s="449"/>
      <c r="GY87" s="449"/>
      <c r="GZ87" s="449"/>
      <c r="HA87" s="449"/>
      <c r="HB87" s="449"/>
      <c r="HC87" s="449"/>
      <c r="HD87" s="449"/>
      <c r="HE87" s="449"/>
      <c r="HF87" s="449"/>
      <c r="HG87" s="449"/>
      <c r="HH87" s="449"/>
      <c r="HI87" s="449"/>
      <c r="HJ87" s="449"/>
      <c r="HK87" s="449"/>
      <c r="HL87" s="449"/>
      <c r="HM87" s="449"/>
      <c r="HN87" s="449"/>
      <c r="HO87" s="449"/>
      <c r="HP87" s="449"/>
      <c r="HQ87" s="449"/>
      <c r="HR87" s="449"/>
      <c r="HS87" s="449"/>
      <c r="HT87" s="449"/>
      <c r="HU87" s="449"/>
      <c r="HV87" s="449"/>
      <c r="HW87" s="449"/>
      <c r="HX87" s="449"/>
      <c r="HY87" s="449"/>
      <c r="HZ87" s="449"/>
      <c r="IA87" s="449"/>
      <c r="IB87" s="449"/>
      <c r="IC87" s="449"/>
      <c r="ID87" s="449"/>
      <c r="IE87" s="449"/>
      <c r="IF87" s="449"/>
      <c r="IG87" s="449"/>
      <c r="IH87" s="449"/>
      <c r="II87" s="449"/>
      <c r="IJ87" s="449"/>
      <c r="IK87" s="449"/>
      <c r="IL87" s="449"/>
      <c r="IM87" s="449"/>
      <c r="IN87" s="449"/>
      <c r="IO87" s="449"/>
      <c r="IP87" s="449"/>
      <c r="IQ87" s="449"/>
      <c r="IR87" s="449"/>
      <c r="IS87" s="449"/>
      <c r="IT87" s="449"/>
      <c r="IU87" s="449"/>
      <c r="IV87" s="449"/>
      <c r="IW87" s="449"/>
    </row>
    <row r="88" customFormat="false" ht="12.75" hidden="false" customHeight="false" outlineLevel="0" collapsed="false">
      <c r="A88" s="461" t="n">
        <f aca="false">A87+1</f>
        <v>86</v>
      </c>
      <c r="C88" s="476" t="s">
        <v>913</v>
      </c>
      <c r="D88" s="449"/>
      <c r="E88" s="468"/>
      <c r="F88" s="468"/>
      <c r="G88" s="468"/>
      <c r="H88" s="468"/>
      <c r="I88" s="468"/>
      <c r="J88" s="468"/>
      <c r="K88" s="468"/>
      <c r="L88" s="474"/>
      <c r="M88" s="474"/>
      <c r="N88" s="474"/>
      <c r="O88" s="474"/>
      <c r="P88" s="474"/>
      <c r="Q88" s="474"/>
      <c r="R88" s="474"/>
      <c r="S88" s="474"/>
      <c r="T88" s="449"/>
      <c r="U88" s="449"/>
      <c r="V88" s="449"/>
      <c r="W88" s="449"/>
      <c r="X88" s="449"/>
      <c r="Y88" s="449"/>
      <c r="Z88" s="449"/>
      <c r="AA88" s="449"/>
      <c r="AB88" s="449"/>
      <c r="AC88" s="449"/>
      <c r="AD88" s="449"/>
      <c r="AE88" s="449"/>
      <c r="AF88" s="449"/>
      <c r="AG88" s="449"/>
      <c r="AH88" s="449"/>
      <c r="AI88" s="449"/>
      <c r="AJ88" s="449"/>
      <c r="AK88" s="449"/>
      <c r="AL88" s="449"/>
      <c r="AM88" s="449"/>
      <c r="AN88" s="449"/>
      <c r="AO88" s="449"/>
      <c r="AP88" s="449"/>
      <c r="AQ88" s="449"/>
      <c r="AR88" s="449"/>
      <c r="AS88" s="449"/>
      <c r="AT88" s="449"/>
      <c r="AU88" s="449"/>
      <c r="AV88" s="449"/>
      <c r="AW88" s="449"/>
      <c r="AX88" s="449"/>
      <c r="AY88" s="449"/>
      <c r="AZ88" s="449"/>
      <c r="BA88" s="449"/>
      <c r="BB88" s="449"/>
      <c r="BC88" s="449"/>
      <c r="BD88" s="449"/>
      <c r="BE88" s="449"/>
      <c r="BF88" s="449"/>
      <c r="BG88" s="449"/>
      <c r="BH88" s="449"/>
      <c r="BI88" s="449"/>
      <c r="BJ88" s="449"/>
      <c r="BK88" s="449"/>
      <c r="BL88" s="449"/>
      <c r="BM88" s="449"/>
      <c r="BN88" s="449"/>
      <c r="BO88" s="449"/>
      <c r="BP88" s="449"/>
      <c r="BQ88" s="449"/>
      <c r="BR88" s="449"/>
      <c r="BS88" s="449"/>
      <c r="BT88" s="449"/>
      <c r="BU88" s="449"/>
      <c r="BV88" s="449"/>
      <c r="BW88" s="449"/>
      <c r="BX88" s="449"/>
      <c r="BY88" s="449"/>
      <c r="BZ88" s="449"/>
      <c r="CA88" s="449"/>
      <c r="CB88" s="449"/>
      <c r="CC88" s="449"/>
      <c r="CD88" s="449"/>
      <c r="CE88" s="449"/>
      <c r="CF88" s="449"/>
      <c r="CG88" s="449"/>
      <c r="CH88" s="449"/>
      <c r="CI88" s="449"/>
      <c r="CJ88" s="449"/>
      <c r="CK88" s="449"/>
      <c r="CL88" s="449"/>
      <c r="CM88" s="449"/>
      <c r="CN88" s="449"/>
      <c r="CO88" s="449"/>
      <c r="CP88" s="449"/>
      <c r="CQ88" s="449"/>
      <c r="CR88" s="449"/>
      <c r="CS88" s="449"/>
      <c r="CT88" s="449"/>
      <c r="CU88" s="449"/>
      <c r="CV88" s="449"/>
      <c r="CW88" s="449"/>
      <c r="CX88" s="449"/>
      <c r="CY88" s="449"/>
      <c r="CZ88" s="449"/>
      <c r="DA88" s="449"/>
      <c r="DB88" s="449"/>
      <c r="DC88" s="449"/>
      <c r="DD88" s="449"/>
      <c r="DE88" s="449"/>
      <c r="DF88" s="449"/>
      <c r="DG88" s="449"/>
      <c r="DH88" s="449"/>
      <c r="DI88" s="449"/>
      <c r="DJ88" s="449"/>
      <c r="DK88" s="449"/>
      <c r="DL88" s="449"/>
      <c r="DM88" s="449"/>
      <c r="DN88" s="449"/>
      <c r="DO88" s="449"/>
      <c r="DP88" s="449"/>
      <c r="DQ88" s="449"/>
      <c r="DR88" s="449"/>
      <c r="DS88" s="449"/>
      <c r="DT88" s="449"/>
      <c r="DU88" s="449"/>
      <c r="DV88" s="449"/>
      <c r="DW88" s="449"/>
      <c r="DX88" s="449"/>
      <c r="DY88" s="449"/>
      <c r="DZ88" s="449"/>
      <c r="EA88" s="449"/>
      <c r="EB88" s="449"/>
      <c r="EC88" s="449"/>
      <c r="ED88" s="449"/>
      <c r="EE88" s="449"/>
      <c r="EF88" s="449"/>
      <c r="EG88" s="449"/>
      <c r="EH88" s="449"/>
      <c r="EI88" s="449"/>
      <c r="EJ88" s="449"/>
      <c r="EK88" s="449"/>
      <c r="EL88" s="449"/>
      <c r="EM88" s="449"/>
      <c r="EN88" s="449"/>
      <c r="EO88" s="449"/>
      <c r="EP88" s="449"/>
      <c r="EQ88" s="449"/>
      <c r="ER88" s="449"/>
      <c r="ES88" s="449"/>
      <c r="ET88" s="449"/>
      <c r="EU88" s="449"/>
      <c r="EV88" s="449"/>
      <c r="EW88" s="449"/>
      <c r="EX88" s="449"/>
      <c r="EY88" s="449"/>
      <c r="EZ88" s="449"/>
      <c r="FA88" s="449"/>
      <c r="FB88" s="449"/>
      <c r="FC88" s="449"/>
      <c r="FD88" s="449"/>
      <c r="FE88" s="449"/>
      <c r="FF88" s="449"/>
      <c r="FG88" s="449"/>
      <c r="FH88" s="449"/>
      <c r="FI88" s="449"/>
      <c r="FJ88" s="449"/>
      <c r="FK88" s="449"/>
      <c r="FL88" s="449"/>
      <c r="FM88" s="449"/>
      <c r="FN88" s="449"/>
      <c r="FO88" s="449"/>
      <c r="FP88" s="449"/>
      <c r="FQ88" s="449"/>
      <c r="FR88" s="449"/>
      <c r="FS88" s="449"/>
      <c r="FT88" s="449"/>
      <c r="FU88" s="449"/>
      <c r="FV88" s="449"/>
      <c r="FW88" s="449"/>
      <c r="FX88" s="449"/>
      <c r="FY88" s="449"/>
      <c r="FZ88" s="449"/>
      <c r="GA88" s="449"/>
      <c r="GB88" s="449"/>
      <c r="GC88" s="449"/>
      <c r="GD88" s="449"/>
      <c r="GE88" s="449"/>
      <c r="GF88" s="449"/>
      <c r="GG88" s="449"/>
      <c r="GH88" s="449"/>
      <c r="GI88" s="449"/>
      <c r="GJ88" s="449"/>
      <c r="GK88" s="449"/>
      <c r="GL88" s="449"/>
      <c r="GM88" s="449"/>
      <c r="GN88" s="449"/>
      <c r="GO88" s="449"/>
      <c r="GP88" s="449"/>
      <c r="GQ88" s="449"/>
      <c r="GR88" s="449"/>
      <c r="GS88" s="449"/>
      <c r="GT88" s="449"/>
      <c r="GU88" s="449"/>
      <c r="GV88" s="449"/>
      <c r="GW88" s="449"/>
      <c r="GX88" s="449"/>
      <c r="GY88" s="449"/>
      <c r="GZ88" s="449"/>
      <c r="HA88" s="449"/>
      <c r="HB88" s="449"/>
      <c r="HC88" s="449"/>
      <c r="HD88" s="449"/>
      <c r="HE88" s="449"/>
      <c r="HF88" s="449"/>
      <c r="HG88" s="449"/>
      <c r="HH88" s="449"/>
      <c r="HI88" s="449"/>
      <c r="HJ88" s="449"/>
      <c r="HK88" s="449"/>
      <c r="HL88" s="449"/>
      <c r="HM88" s="449"/>
      <c r="HN88" s="449"/>
      <c r="HO88" s="449"/>
      <c r="HP88" s="449"/>
      <c r="HQ88" s="449"/>
      <c r="HR88" s="449"/>
      <c r="HS88" s="449"/>
      <c r="HT88" s="449"/>
      <c r="HU88" s="449"/>
      <c r="HV88" s="449"/>
      <c r="HW88" s="449"/>
      <c r="HX88" s="449"/>
      <c r="HY88" s="449"/>
      <c r="HZ88" s="449"/>
      <c r="IA88" s="449"/>
      <c r="IB88" s="449"/>
      <c r="IC88" s="449"/>
      <c r="ID88" s="449"/>
      <c r="IE88" s="449"/>
      <c r="IF88" s="449"/>
      <c r="IG88" s="449"/>
      <c r="IH88" s="449"/>
      <c r="II88" s="449"/>
      <c r="IJ88" s="449"/>
      <c r="IK88" s="449"/>
      <c r="IL88" s="449"/>
      <c r="IM88" s="449"/>
      <c r="IN88" s="449"/>
      <c r="IO88" s="449"/>
      <c r="IP88" s="449"/>
      <c r="IQ88" s="449"/>
      <c r="IR88" s="449"/>
      <c r="IS88" s="449"/>
      <c r="IT88" s="449"/>
      <c r="IU88" s="449"/>
      <c r="IV88" s="449"/>
      <c r="IW88" s="449"/>
    </row>
    <row r="89" customFormat="false" ht="12.75" hidden="false" customHeight="false" outlineLevel="0" collapsed="false">
      <c r="A89" s="461" t="n">
        <f aca="false">A50+1</f>
        <v>88</v>
      </c>
      <c r="C89" s="490" t="s">
        <v>914</v>
      </c>
      <c r="D89" s="449"/>
      <c r="E89" s="468"/>
      <c r="F89" s="468"/>
      <c r="G89" s="468"/>
      <c r="H89" s="468"/>
      <c r="I89" s="468"/>
      <c r="J89" s="468"/>
      <c r="K89" s="468"/>
      <c r="L89" s="474"/>
      <c r="M89" s="474"/>
      <c r="N89" s="474"/>
      <c r="O89" s="474"/>
      <c r="P89" s="474"/>
      <c r="Q89" s="474"/>
      <c r="R89" s="474"/>
      <c r="S89" s="474"/>
      <c r="T89" s="449"/>
      <c r="U89" s="449"/>
      <c r="V89" s="449"/>
      <c r="W89" s="449"/>
      <c r="X89" s="449"/>
      <c r="Y89" s="449"/>
      <c r="Z89" s="449"/>
      <c r="AA89" s="449"/>
      <c r="AB89" s="449"/>
      <c r="AC89" s="449"/>
      <c r="AD89" s="449"/>
      <c r="AE89" s="449"/>
      <c r="AF89" s="449"/>
      <c r="AG89" s="449"/>
      <c r="AH89" s="449"/>
      <c r="AI89" s="449"/>
      <c r="AJ89" s="449"/>
      <c r="AK89" s="449"/>
      <c r="AL89" s="449"/>
      <c r="AM89" s="449"/>
      <c r="AN89" s="449"/>
      <c r="AO89" s="449"/>
      <c r="AP89" s="449"/>
      <c r="AQ89" s="449"/>
      <c r="AR89" s="449"/>
      <c r="AS89" s="449"/>
      <c r="AT89" s="449"/>
      <c r="AU89" s="449"/>
      <c r="AV89" s="449"/>
      <c r="AW89" s="449"/>
      <c r="AX89" s="449"/>
      <c r="AY89" s="449"/>
      <c r="AZ89" s="449"/>
      <c r="BA89" s="449"/>
      <c r="BB89" s="449"/>
      <c r="BC89" s="449"/>
      <c r="BD89" s="449"/>
      <c r="BE89" s="449"/>
      <c r="BF89" s="449"/>
      <c r="BG89" s="449"/>
      <c r="BH89" s="449"/>
      <c r="BI89" s="449"/>
      <c r="BJ89" s="449"/>
      <c r="BK89" s="449"/>
      <c r="BL89" s="449"/>
      <c r="BM89" s="449"/>
      <c r="BN89" s="449"/>
      <c r="BO89" s="449"/>
      <c r="BP89" s="449"/>
      <c r="BQ89" s="449"/>
      <c r="BR89" s="449"/>
      <c r="BS89" s="449"/>
      <c r="BT89" s="449"/>
      <c r="BU89" s="449"/>
      <c r="BV89" s="449"/>
      <c r="BW89" s="449"/>
      <c r="BX89" s="449"/>
      <c r="BY89" s="449"/>
      <c r="BZ89" s="449"/>
      <c r="CA89" s="449"/>
      <c r="CB89" s="449"/>
      <c r="CC89" s="449"/>
      <c r="CD89" s="449"/>
      <c r="CE89" s="449"/>
      <c r="CF89" s="449"/>
      <c r="CG89" s="449"/>
      <c r="CH89" s="449"/>
      <c r="CI89" s="449"/>
      <c r="CJ89" s="449"/>
      <c r="CK89" s="449"/>
      <c r="CL89" s="449"/>
      <c r="CM89" s="449"/>
      <c r="CN89" s="449"/>
      <c r="CO89" s="449"/>
      <c r="CP89" s="449"/>
      <c r="CQ89" s="449"/>
      <c r="CR89" s="449"/>
      <c r="CS89" s="449"/>
      <c r="CT89" s="449"/>
      <c r="CU89" s="449"/>
      <c r="CV89" s="449"/>
      <c r="CW89" s="449"/>
      <c r="CX89" s="449"/>
      <c r="CY89" s="449"/>
      <c r="CZ89" s="449"/>
      <c r="DA89" s="449"/>
      <c r="DB89" s="449"/>
      <c r="DC89" s="449"/>
      <c r="DD89" s="449"/>
      <c r="DE89" s="449"/>
      <c r="DF89" s="449"/>
      <c r="DG89" s="449"/>
      <c r="DH89" s="449"/>
      <c r="DI89" s="449"/>
      <c r="DJ89" s="449"/>
      <c r="DK89" s="449"/>
      <c r="DL89" s="449"/>
      <c r="DM89" s="449"/>
      <c r="DN89" s="449"/>
      <c r="DO89" s="449"/>
      <c r="DP89" s="449"/>
      <c r="DQ89" s="449"/>
      <c r="DR89" s="449"/>
      <c r="DS89" s="449"/>
      <c r="DT89" s="449"/>
      <c r="DU89" s="449"/>
      <c r="DV89" s="449"/>
      <c r="DW89" s="449"/>
      <c r="DX89" s="449"/>
      <c r="DY89" s="449"/>
      <c r="DZ89" s="449"/>
      <c r="EA89" s="449"/>
      <c r="EB89" s="449"/>
      <c r="EC89" s="449"/>
      <c r="ED89" s="449"/>
      <c r="EE89" s="449"/>
      <c r="EF89" s="449"/>
      <c r="EG89" s="449"/>
      <c r="EH89" s="449"/>
      <c r="EI89" s="449"/>
      <c r="EJ89" s="449"/>
      <c r="EK89" s="449"/>
      <c r="EL89" s="449"/>
      <c r="EM89" s="449"/>
      <c r="EN89" s="449"/>
      <c r="EO89" s="449"/>
      <c r="EP89" s="449"/>
      <c r="EQ89" s="449"/>
      <c r="ER89" s="449"/>
      <c r="ES89" s="449"/>
      <c r="ET89" s="449"/>
      <c r="EU89" s="449"/>
      <c r="EV89" s="449"/>
      <c r="EW89" s="449"/>
      <c r="EX89" s="449"/>
      <c r="EY89" s="449"/>
      <c r="EZ89" s="449"/>
      <c r="FA89" s="449"/>
      <c r="FB89" s="449"/>
      <c r="FC89" s="449"/>
      <c r="FD89" s="449"/>
      <c r="FE89" s="449"/>
      <c r="FF89" s="449"/>
      <c r="FG89" s="449"/>
      <c r="FH89" s="449"/>
      <c r="FI89" s="449"/>
      <c r="FJ89" s="449"/>
      <c r="FK89" s="449"/>
      <c r="FL89" s="449"/>
      <c r="FM89" s="449"/>
      <c r="FN89" s="449"/>
      <c r="FO89" s="449"/>
      <c r="FP89" s="449"/>
      <c r="FQ89" s="449"/>
      <c r="FR89" s="449"/>
      <c r="FS89" s="449"/>
      <c r="FT89" s="449"/>
      <c r="FU89" s="449"/>
      <c r="FV89" s="449"/>
      <c r="FW89" s="449"/>
      <c r="FX89" s="449"/>
      <c r="FY89" s="449"/>
      <c r="FZ89" s="449"/>
      <c r="GA89" s="449"/>
      <c r="GB89" s="449"/>
      <c r="GC89" s="449"/>
      <c r="GD89" s="449"/>
      <c r="GE89" s="449"/>
      <c r="GF89" s="449"/>
      <c r="GG89" s="449"/>
      <c r="GH89" s="449"/>
      <c r="GI89" s="449"/>
      <c r="GJ89" s="449"/>
      <c r="GK89" s="449"/>
      <c r="GL89" s="449"/>
      <c r="GM89" s="449"/>
      <c r="GN89" s="449"/>
      <c r="GO89" s="449"/>
      <c r="GP89" s="449"/>
      <c r="GQ89" s="449"/>
      <c r="GR89" s="449"/>
      <c r="GS89" s="449"/>
      <c r="GT89" s="449"/>
      <c r="GU89" s="449"/>
      <c r="GV89" s="449"/>
      <c r="GW89" s="449"/>
      <c r="GX89" s="449"/>
      <c r="GY89" s="449"/>
      <c r="GZ89" s="449"/>
      <c r="HA89" s="449"/>
      <c r="HB89" s="449"/>
      <c r="HC89" s="449"/>
      <c r="HD89" s="449"/>
      <c r="HE89" s="449"/>
      <c r="HF89" s="449"/>
      <c r="HG89" s="449"/>
      <c r="HH89" s="449"/>
      <c r="HI89" s="449"/>
      <c r="HJ89" s="449"/>
      <c r="HK89" s="449"/>
      <c r="HL89" s="449"/>
      <c r="HM89" s="449"/>
      <c r="HN89" s="449"/>
      <c r="HO89" s="449"/>
      <c r="HP89" s="449"/>
      <c r="HQ89" s="449"/>
      <c r="HR89" s="449"/>
      <c r="HS89" s="449"/>
      <c r="HT89" s="449"/>
      <c r="HU89" s="449"/>
      <c r="HV89" s="449"/>
      <c r="HW89" s="449"/>
      <c r="HX89" s="449"/>
      <c r="HY89" s="449"/>
      <c r="HZ89" s="449"/>
      <c r="IA89" s="449"/>
      <c r="IB89" s="449"/>
      <c r="IC89" s="449"/>
      <c r="ID89" s="449"/>
      <c r="IE89" s="449"/>
      <c r="IF89" s="449"/>
      <c r="IG89" s="449"/>
      <c r="IH89" s="449"/>
      <c r="II89" s="449"/>
      <c r="IJ89" s="449"/>
      <c r="IK89" s="449"/>
      <c r="IL89" s="449"/>
      <c r="IM89" s="449"/>
      <c r="IN89" s="449"/>
      <c r="IO89" s="449"/>
      <c r="IP89" s="449"/>
      <c r="IQ89" s="449"/>
      <c r="IR89" s="449"/>
      <c r="IS89" s="449"/>
      <c r="IT89" s="449"/>
      <c r="IU89" s="449"/>
      <c r="IV89" s="449"/>
      <c r="IW89" s="449"/>
    </row>
    <row r="90" customFormat="false" ht="12.75" hidden="false" customHeight="false" outlineLevel="0" collapsed="false">
      <c r="A90" s="461" t="n">
        <f aca="false">A89+1</f>
        <v>89</v>
      </c>
      <c r="C90" s="491" t="s">
        <v>915</v>
      </c>
      <c r="D90" s="449"/>
      <c r="E90" s="468"/>
      <c r="F90" s="468"/>
      <c r="G90" s="468"/>
      <c r="H90" s="468"/>
      <c r="I90" s="468"/>
      <c r="J90" s="468"/>
      <c r="K90" s="468"/>
      <c r="L90" s="474"/>
      <c r="M90" s="474"/>
      <c r="N90" s="474"/>
      <c r="O90" s="474"/>
      <c r="P90" s="474"/>
      <c r="Q90" s="474"/>
      <c r="R90" s="474"/>
      <c r="S90" s="474"/>
      <c r="T90" s="449"/>
      <c r="U90" s="449"/>
      <c r="V90" s="449"/>
      <c r="W90" s="449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49"/>
      <c r="AV90" s="449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9"/>
      <c r="BK90" s="449"/>
      <c r="BL90" s="449"/>
      <c r="BM90" s="449"/>
      <c r="BN90" s="449"/>
      <c r="BO90" s="449"/>
      <c r="BP90" s="449"/>
      <c r="BQ90" s="449"/>
      <c r="BR90" s="449"/>
      <c r="BS90" s="449"/>
      <c r="BT90" s="449"/>
      <c r="BU90" s="449"/>
      <c r="BV90" s="449"/>
      <c r="BW90" s="449"/>
      <c r="BX90" s="449"/>
      <c r="BY90" s="449"/>
      <c r="BZ90" s="449"/>
      <c r="CA90" s="449"/>
      <c r="CB90" s="449"/>
      <c r="CC90" s="449"/>
      <c r="CD90" s="449"/>
      <c r="CE90" s="449"/>
      <c r="CF90" s="449"/>
      <c r="CG90" s="449"/>
      <c r="CH90" s="449"/>
      <c r="CI90" s="449"/>
      <c r="CJ90" s="449"/>
      <c r="CK90" s="449"/>
      <c r="CL90" s="449"/>
      <c r="CM90" s="449"/>
      <c r="CN90" s="449"/>
      <c r="CO90" s="449"/>
      <c r="CP90" s="449"/>
      <c r="CQ90" s="449"/>
      <c r="CR90" s="449"/>
      <c r="CS90" s="449"/>
      <c r="CT90" s="449"/>
      <c r="CU90" s="449"/>
      <c r="CV90" s="449"/>
      <c r="CW90" s="449"/>
      <c r="CX90" s="449"/>
      <c r="CY90" s="449"/>
      <c r="CZ90" s="449"/>
      <c r="DA90" s="449"/>
      <c r="DB90" s="449"/>
      <c r="DC90" s="449"/>
      <c r="DD90" s="449"/>
      <c r="DE90" s="449"/>
      <c r="DF90" s="449"/>
      <c r="DG90" s="449"/>
      <c r="DH90" s="449"/>
      <c r="DI90" s="449"/>
      <c r="DJ90" s="449"/>
      <c r="DK90" s="449"/>
      <c r="DL90" s="449"/>
      <c r="DM90" s="449"/>
      <c r="DN90" s="449"/>
      <c r="DO90" s="449"/>
      <c r="DP90" s="449"/>
      <c r="DQ90" s="449"/>
      <c r="DR90" s="449"/>
      <c r="DS90" s="449"/>
      <c r="DT90" s="449"/>
      <c r="DU90" s="449"/>
      <c r="DV90" s="449"/>
      <c r="DW90" s="449"/>
      <c r="DX90" s="449"/>
      <c r="DY90" s="449"/>
      <c r="DZ90" s="449"/>
      <c r="EA90" s="449"/>
      <c r="EB90" s="449"/>
      <c r="EC90" s="449"/>
      <c r="ED90" s="449"/>
      <c r="EE90" s="449"/>
      <c r="EF90" s="449"/>
      <c r="EG90" s="449"/>
      <c r="EH90" s="449"/>
      <c r="EI90" s="449"/>
      <c r="EJ90" s="449"/>
      <c r="EK90" s="449"/>
      <c r="EL90" s="449"/>
      <c r="EM90" s="449"/>
      <c r="EN90" s="449"/>
      <c r="EO90" s="449"/>
      <c r="EP90" s="449"/>
      <c r="EQ90" s="449"/>
      <c r="ER90" s="449"/>
      <c r="ES90" s="449"/>
      <c r="ET90" s="449"/>
      <c r="EU90" s="449"/>
      <c r="EV90" s="449"/>
      <c r="EW90" s="449"/>
      <c r="EX90" s="449"/>
      <c r="EY90" s="449"/>
      <c r="EZ90" s="449"/>
      <c r="FA90" s="449"/>
      <c r="FB90" s="449"/>
      <c r="FC90" s="449"/>
      <c r="FD90" s="449"/>
      <c r="FE90" s="449"/>
      <c r="FF90" s="449"/>
      <c r="FG90" s="449"/>
      <c r="FH90" s="449"/>
      <c r="FI90" s="449"/>
      <c r="FJ90" s="449"/>
      <c r="FK90" s="449"/>
      <c r="FL90" s="449"/>
      <c r="FM90" s="449"/>
      <c r="FN90" s="449"/>
      <c r="FO90" s="449"/>
      <c r="FP90" s="449"/>
      <c r="FQ90" s="449"/>
      <c r="FR90" s="449"/>
      <c r="FS90" s="449"/>
      <c r="FT90" s="449"/>
      <c r="FU90" s="449"/>
      <c r="FV90" s="449"/>
      <c r="FW90" s="449"/>
      <c r="FX90" s="449"/>
      <c r="FY90" s="449"/>
      <c r="FZ90" s="449"/>
      <c r="GA90" s="449"/>
      <c r="GB90" s="449"/>
      <c r="GC90" s="449"/>
      <c r="GD90" s="449"/>
      <c r="GE90" s="449"/>
      <c r="GF90" s="449"/>
      <c r="GG90" s="449"/>
      <c r="GH90" s="449"/>
      <c r="GI90" s="449"/>
      <c r="GJ90" s="449"/>
      <c r="GK90" s="449"/>
      <c r="GL90" s="449"/>
      <c r="GM90" s="449"/>
      <c r="GN90" s="449"/>
      <c r="GO90" s="449"/>
      <c r="GP90" s="449"/>
      <c r="GQ90" s="449"/>
      <c r="GR90" s="449"/>
      <c r="GS90" s="449"/>
      <c r="GT90" s="449"/>
      <c r="GU90" s="449"/>
      <c r="GV90" s="449"/>
      <c r="GW90" s="449"/>
      <c r="GX90" s="449"/>
      <c r="GY90" s="449"/>
      <c r="GZ90" s="449"/>
      <c r="HA90" s="449"/>
      <c r="HB90" s="449"/>
      <c r="HC90" s="449"/>
      <c r="HD90" s="449"/>
      <c r="HE90" s="449"/>
      <c r="HF90" s="449"/>
      <c r="HG90" s="449"/>
      <c r="HH90" s="449"/>
      <c r="HI90" s="449"/>
      <c r="HJ90" s="449"/>
      <c r="HK90" s="449"/>
      <c r="HL90" s="449"/>
      <c r="HM90" s="449"/>
      <c r="HN90" s="449"/>
      <c r="HO90" s="449"/>
      <c r="HP90" s="449"/>
      <c r="HQ90" s="449"/>
      <c r="HR90" s="449"/>
      <c r="HS90" s="449"/>
      <c r="HT90" s="449"/>
      <c r="HU90" s="449"/>
      <c r="HV90" s="449"/>
      <c r="HW90" s="449"/>
      <c r="HX90" s="449"/>
      <c r="HY90" s="449"/>
      <c r="HZ90" s="449"/>
      <c r="IA90" s="449"/>
      <c r="IB90" s="449"/>
      <c r="IC90" s="449"/>
      <c r="ID90" s="449"/>
      <c r="IE90" s="449"/>
      <c r="IF90" s="449"/>
      <c r="IG90" s="449"/>
      <c r="IH90" s="449"/>
      <c r="II90" s="449"/>
      <c r="IJ90" s="449"/>
      <c r="IK90" s="449"/>
      <c r="IL90" s="449"/>
      <c r="IM90" s="449"/>
      <c r="IN90" s="449"/>
      <c r="IO90" s="449"/>
      <c r="IP90" s="449"/>
      <c r="IQ90" s="449"/>
      <c r="IR90" s="449"/>
      <c r="IS90" s="449"/>
      <c r="IT90" s="449"/>
      <c r="IU90" s="449"/>
      <c r="IV90" s="449"/>
      <c r="IW90" s="449"/>
    </row>
    <row r="91" customFormat="false" ht="12.75" hidden="false" customHeight="false" outlineLevel="0" collapsed="false">
      <c r="A91" s="0"/>
      <c r="B91" s="0"/>
      <c r="C91" s="0"/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false" customHeight="false" outlineLevel="0" collapsed="false">
      <c r="A92" s="481"/>
      <c r="B92" s="456"/>
      <c r="C92" s="475" t="s">
        <v>916</v>
      </c>
      <c r="D92" s="471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471"/>
      <c r="CA92" s="471"/>
      <c r="CB92" s="471"/>
      <c r="CC92" s="471"/>
      <c r="CD92" s="471"/>
      <c r="CE92" s="471"/>
      <c r="CF92" s="471"/>
      <c r="CG92" s="471"/>
      <c r="CH92" s="471"/>
      <c r="CI92" s="471"/>
      <c r="CJ92" s="471"/>
      <c r="CK92" s="471"/>
      <c r="CL92" s="471"/>
      <c r="CM92" s="471"/>
      <c r="CN92" s="471"/>
      <c r="CO92" s="471"/>
      <c r="CP92" s="471"/>
      <c r="CQ92" s="471"/>
      <c r="CR92" s="471"/>
      <c r="CS92" s="471"/>
      <c r="CT92" s="471"/>
      <c r="CU92" s="471"/>
      <c r="CV92" s="471"/>
      <c r="CW92" s="471"/>
      <c r="CX92" s="471"/>
      <c r="CY92" s="471"/>
      <c r="CZ92" s="471"/>
      <c r="DA92" s="471"/>
      <c r="DB92" s="471"/>
      <c r="DC92" s="471"/>
      <c r="DD92" s="471"/>
      <c r="DE92" s="471"/>
      <c r="DF92" s="471"/>
      <c r="DG92" s="471"/>
      <c r="DH92" s="471"/>
      <c r="DI92" s="471"/>
      <c r="DJ92" s="471"/>
      <c r="DK92" s="471"/>
      <c r="DL92" s="471"/>
      <c r="DM92" s="471"/>
      <c r="DN92" s="471"/>
      <c r="DO92" s="471"/>
      <c r="DP92" s="471"/>
      <c r="DQ92" s="471"/>
      <c r="DR92" s="471"/>
      <c r="DS92" s="471"/>
      <c r="DT92" s="471"/>
      <c r="DU92" s="471"/>
      <c r="DV92" s="471"/>
      <c r="DW92" s="471"/>
      <c r="DX92" s="471"/>
      <c r="DY92" s="471"/>
      <c r="DZ92" s="471"/>
      <c r="EA92" s="471"/>
      <c r="EB92" s="471"/>
      <c r="EC92" s="471"/>
      <c r="ED92" s="471"/>
      <c r="EE92" s="471"/>
      <c r="EF92" s="471"/>
      <c r="EG92" s="471"/>
      <c r="EH92" s="471"/>
      <c r="EI92" s="471"/>
      <c r="EJ92" s="471"/>
      <c r="EK92" s="471"/>
      <c r="EL92" s="471"/>
      <c r="EM92" s="471"/>
      <c r="EN92" s="471"/>
      <c r="EO92" s="471"/>
      <c r="EP92" s="471"/>
      <c r="EQ92" s="471"/>
      <c r="ER92" s="471"/>
      <c r="ES92" s="471"/>
      <c r="ET92" s="471"/>
      <c r="EU92" s="471"/>
      <c r="EV92" s="471"/>
      <c r="EW92" s="471"/>
      <c r="EX92" s="471"/>
      <c r="EY92" s="471"/>
      <c r="EZ92" s="471"/>
      <c r="FA92" s="471"/>
      <c r="FB92" s="471"/>
      <c r="FC92" s="471"/>
      <c r="FD92" s="471"/>
      <c r="FE92" s="471"/>
      <c r="FF92" s="471"/>
      <c r="FG92" s="471"/>
      <c r="FH92" s="471"/>
      <c r="FI92" s="471"/>
      <c r="FJ92" s="471"/>
      <c r="FK92" s="471"/>
      <c r="FL92" s="471"/>
      <c r="FM92" s="471"/>
      <c r="FN92" s="471"/>
      <c r="FO92" s="471"/>
      <c r="FP92" s="471"/>
      <c r="FQ92" s="471"/>
      <c r="FR92" s="471"/>
      <c r="FS92" s="471"/>
      <c r="FT92" s="471"/>
      <c r="FU92" s="471"/>
      <c r="FV92" s="471"/>
      <c r="FW92" s="471"/>
      <c r="FX92" s="471"/>
      <c r="FY92" s="471"/>
      <c r="FZ92" s="471"/>
      <c r="GA92" s="471"/>
      <c r="GB92" s="471"/>
      <c r="GC92" s="471"/>
      <c r="GD92" s="471"/>
      <c r="GE92" s="471"/>
      <c r="GF92" s="471"/>
      <c r="GG92" s="471"/>
      <c r="GH92" s="471"/>
      <c r="GI92" s="471"/>
      <c r="GJ92" s="471"/>
      <c r="GK92" s="471"/>
      <c r="GL92" s="471"/>
      <c r="GM92" s="471"/>
      <c r="GN92" s="471"/>
      <c r="GO92" s="471"/>
      <c r="GP92" s="471"/>
      <c r="GQ92" s="471"/>
      <c r="GR92" s="471"/>
      <c r="GS92" s="471"/>
      <c r="GT92" s="471"/>
      <c r="GU92" s="471"/>
      <c r="GV92" s="471"/>
      <c r="GW92" s="471"/>
      <c r="GX92" s="471"/>
      <c r="GY92" s="471"/>
      <c r="GZ92" s="471"/>
      <c r="HA92" s="471"/>
      <c r="HB92" s="471"/>
      <c r="HC92" s="471"/>
      <c r="HD92" s="471"/>
      <c r="HE92" s="471"/>
      <c r="HF92" s="471"/>
      <c r="HG92" s="471"/>
      <c r="HH92" s="471"/>
      <c r="HI92" s="471"/>
      <c r="HJ92" s="471"/>
      <c r="HK92" s="471"/>
      <c r="HL92" s="471"/>
      <c r="HM92" s="471"/>
      <c r="HN92" s="471"/>
      <c r="HO92" s="471"/>
      <c r="HP92" s="471"/>
      <c r="HQ92" s="471"/>
      <c r="HR92" s="471"/>
      <c r="HS92" s="471"/>
      <c r="HT92" s="471"/>
      <c r="HU92" s="471"/>
      <c r="HV92" s="471"/>
      <c r="HW92" s="471"/>
      <c r="HX92" s="471"/>
      <c r="HY92" s="471"/>
      <c r="HZ92" s="471"/>
      <c r="IA92" s="471"/>
      <c r="IB92" s="471"/>
      <c r="IC92" s="471"/>
      <c r="ID92" s="471"/>
      <c r="IE92" s="471"/>
      <c r="IF92" s="471"/>
      <c r="IG92" s="471"/>
      <c r="IH92" s="471"/>
      <c r="II92" s="471"/>
      <c r="IJ92" s="471"/>
      <c r="IK92" s="471"/>
      <c r="IL92" s="471"/>
      <c r="IM92" s="471"/>
      <c r="IN92" s="471"/>
      <c r="IO92" s="471"/>
      <c r="IP92" s="471"/>
      <c r="IQ92" s="471"/>
      <c r="IR92" s="471"/>
      <c r="IS92" s="471"/>
      <c r="IT92" s="471"/>
      <c r="IU92" s="471"/>
      <c r="IV92" s="471"/>
      <c r="IW92" s="471"/>
    </row>
    <row r="93" customFormat="false" ht="12.75" hidden="false" customHeight="false" outlineLevel="0" collapsed="false">
      <c r="A93" s="461" t="n">
        <f aca="false">A49+1</f>
        <v>47</v>
      </c>
      <c r="C93" s="492" t="s">
        <v>917</v>
      </c>
      <c r="D93" s="449"/>
      <c r="E93" s="468"/>
      <c r="F93" s="468"/>
      <c r="G93" s="468"/>
      <c r="H93" s="468"/>
      <c r="I93" s="468"/>
      <c r="J93" s="468"/>
      <c r="K93" s="468"/>
      <c r="L93" s="474"/>
      <c r="M93" s="474"/>
      <c r="N93" s="474"/>
      <c r="O93" s="474"/>
      <c r="P93" s="474"/>
      <c r="Q93" s="474"/>
      <c r="R93" s="474"/>
      <c r="S93" s="474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  <c r="AH93" s="449"/>
      <c r="AI93" s="449"/>
      <c r="AJ93" s="449"/>
      <c r="AK93" s="449"/>
      <c r="AL93" s="449"/>
      <c r="AM93" s="449"/>
      <c r="AN93" s="449"/>
      <c r="AO93" s="449"/>
      <c r="AP93" s="449"/>
      <c r="AQ93" s="449"/>
      <c r="AR93" s="449"/>
      <c r="AS93" s="449"/>
      <c r="AT93" s="449"/>
      <c r="AU93" s="449"/>
      <c r="AV93" s="449"/>
      <c r="AW93" s="449"/>
      <c r="AX93" s="449"/>
      <c r="AY93" s="449"/>
      <c r="AZ93" s="449"/>
      <c r="BA93" s="449"/>
      <c r="BB93" s="449"/>
      <c r="BC93" s="449"/>
      <c r="BD93" s="449"/>
      <c r="BE93" s="449"/>
      <c r="BF93" s="449"/>
      <c r="BG93" s="449"/>
      <c r="BH93" s="449"/>
      <c r="BI93" s="449"/>
      <c r="BJ93" s="449"/>
      <c r="BK93" s="449"/>
      <c r="BL93" s="449"/>
      <c r="BM93" s="449"/>
      <c r="BN93" s="449"/>
      <c r="BO93" s="449"/>
      <c r="BP93" s="449"/>
      <c r="BQ93" s="449"/>
      <c r="BR93" s="449"/>
      <c r="BS93" s="449"/>
      <c r="BT93" s="449"/>
      <c r="BU93" s="449"/>
      <c r="BV93" s="449"/>
      <c r="BW93" s="449"/>
      <c r="BX93" s="449"/>
      <c r="BY93" s="449"/>
      <c r="BZ93" s="449"/>
      <c r="CA93" s="449"/>
      <c r="CB93" s="449"/>
      <c r="CC93" s="449"/>
      <c r="CD93" s="449"/>
      <c r="CE93" s="449"/>
      <c r="CF93" s="449"/>
      <c r="CG93" s="449"/>
      <c r="CH93" s="449"/>
      <c r="CI93" s="449"/>
      <c r="CJ93" s="449"/>
      <c r="CK93" s="449"/>
      <c r="CL93" s="449"/>
      <c r="CM93" s="449"/>
      <c r="CN93" s="449"/>
      <c r="CO93" s="449"/>
      <c r="CP93" s="449"/>
      <c r="CQ93" s="449"/>
      <c r="CR93" s="449"/>
      <c r="CS93" s="449"/>
      <c r="CT93" s="449"/>
      <c r="CU93" s="449"/>
      <c r="CV93" s="449"/>
      <c r="CW93" s="449"/>
      <c r="CX93" s="449"/>
      <c r="CY93" s="449"/>
      <c r="CZ93" s="449"/>
      <c r="DA93" s="449"/>
      <c r="DB93" s="449"/>
      <c r="DC93" s="449"/>
      <c r="DD93" s="449"/>
      <c r="DE93" s="449"/>
      <c r="DF93" s="449"/>
      <c r="DG93" s="449"/>
      <c r="DH93" s="449"/>
      <c r="DI93" s="449"/>
      <c r="DJ93" s="449"/>
      <c r="DK93" s="449"/>
      <c r="DL93" s="449"/>
      <c r="DM93" s="449"/>
      <c r="DN93" s="449"/>
      <c r="DO93" s="449"/>
      <c r="DP93" s="449"/>
      <c r="DQ93" s="449"/>
      <c r="DR93" s="449"/>
      <c r="DS93" s="449"/>
      <c r="DT93" s="449"/>
      <c r="DU93" s="449"/>
      <c r="DV93" s="449"/>
      <c r="DW93" s="449"/>
      <c r="DX93" s="449"/>
      <c r="DY93" s="449"/>
      <c r="DZ93" s="449"/>
      <c r="EA93" s="449"/>
      <c r="EB93" s="449"/>
      <c r="EC93" s="449"/>
      <c r="ED93" s="449"/>
      <c r="EE93" s="449"/>
      <c r="EF93" s="449"/>
      <c r="EG93" s="449"/>
      <c r="EH93" s="449"/>
      <c r="EI93" s="449"/>
      <c r="EJ93" s="449"/>
      <c r="EK93" s="449"/>
      <c r="EL93" s="449"/>
      <c r="EM93" s="449"/>
      <c r="EN93" s="449"/>
      <c r="EO93" s="449"/>
      <c r="EP93" s="449"/>
      <c r="EQ93" s="449"/>
      <c r="ER93" s="449"/>
      <c r="ES93" s="449"/>
      <c r="ET93" s="449"/>
      <c r="EU93" s="449"/>
      <c r="EV93" s="449"/>
      <c r="EW93" s="449"/>
      <c r="EX93" s="449"/>
      <c r="EY93" s="449"/>
      <c r="EZ93" s="449"/>
      <c r="FA93" s="449"/>
      <c r="FB93" s="449"/>
      <c r="FC93" s="449"/>
      <c r="FD93" s="449"/>
      <c r="FE93" s="449"/>
      <c r="FF93" s="449"/>
      <c r="FG93" s="449"/>
      <c r="FH93" s="449"/>
      <c r="FI93" s="449"/>
      <c r="FJ93" s="449"/>
      <c r="FK93" s="449"/>
      <c r="FL93" s="449"/>
      <c r="FM93" s="449"/>
      <c r="FN93" s="449"/>
      <c r="FO93" s="449"/>
      <c r="FP93" s="449"/>
      <c r="FQ93" s="449"/>
      <c r="FR93" s="449"/>
      <c r="FS93" s="449"/>
      <c r="FT93" s="449"/>
      <c r="FU93" s="449"/>
      <c r="FV93" s="449"/>
      <c r="FW93" s="449"/>
      <c r="FX93" s="449"/>
      <c r="FY93" s="449"/>
      <c r="FZ93" s="449"/>
      <c r="GA93" s="449"/>
      <c r="GB93" s="449"/>
      <c r="GC93" s="449"/>
      <c r="GD93" s="449"/>
      <c r="GE93" s="449"/>
      <c r="GF93" s="449"/>
      <c r="GG93" s="449"/>
      <c r="GH93" s="449"/>
      <c r="GI93" s="449"/>
      <c r="GJ93" s="449"/>
      <c r="GK93" s="449"/>
      <c r="GL93" s="449"/>
      <c r="GM93" s="449"/>
      <c r="GN93" s="449"/>
      <c r="GO93" s="449"/>
      <c r="GP93" s="449"/>
      <c r="GQ93" s="449"/>
      <c r="GR93" s="449"/>
      <c r="GS93" s="449"/>
      <c r="GT93" s="449"/>
      <c r="GU93" s="449"/>
      <c r="GV93" s="449"/>
      <c r="GW93" s="449"/>
      <c r="GX93" s="449"/>
      <c r="GY93" s="449"/>
      <c r="GZ93" s="449"/>
      <c r="HA93" s="449"/>
      <c r="HB93" s="449"/>
      <c r="HC93" s="449"/>
      <c r="HD93" s="449"/>
      <c r="HE93" s="449"/>
      <c r="HF93" s="449"/>
      <c r="HG93" s="449"/>
      <c r="HH93" s="449"/>
      <c r="HI93" s="449"/>
      <c r="HJ93" s="449"/>
      <c r="HK93" s="449"/>
      <c r="HL93" s="449"/>
      <c r="HM93" s="449"/>
      <c r="HN93" s="449"/>
      <c r="HO93" s="449"/>
      <c r="HP93" s="449"/>
      <c r="HQ93" s="449"/>
      <c r="HR93" s="449"/>
      <c r="HS93" s="449"/>
      <c r="HT93" s="449"/>
      <c r="HU93" s="449"/>
      <c r="HV93" s="449"/>
      <c r="HW93" s="449"/>
      <c r="HX93" s="449"/>
      <c r="HY93" s="449"/>
      <c r="HZ93" s="449"/>
      <c r="IA93" s="449"/>
      <c r="IB93" s="449"/>
      <c r="IC93" s="449"/>
      <c r="ID93" s="449"/>
      <c r="IE93" s="449"/>
      <c r="IF93" s="449"/>
      <c r="IG93" s="449"/>
      <c r="IH93" s="449"/>
      <c r="II93" s="449"/>
      <c r="IJ93" s="449"/>
      <c r="IK93" s="449"/>
      <c r="IL93" s="449"/>
      <c r="IM93" s="449"/>
      <c r="IN93" s="449"/>
      <c r="IO93" s="449"/>
      <c r="IP93" s="449"/>
      <c r="IQ93" s="449"/>
      <c r="IR93" s="449"/>
      <c r="IS93" s="449"/>
      <c r="IT93" s="449"/>
      <c r="IU93" s="449"/>
      <c r="IV93" s="449"/>
      <c r="IW93" s="449"/>
    </row>
    <row r="94" customFormat="false" ht="12.75" hidden="false" customHeight="false" outlineLevel="0" collapsed="false">
      <c r="A94" s="461" t="n">
        <f aca="false">A93+1</f>
        <v>48</v>
      </c>
      <c r="C94" s="492" t="s">
        <v>918</v>
      </c>
      <c r="D94" s="449"/>
      <c r="E94" s="468"/>
      <c r="F94" s="468"/>
      <c r="G94" s="468"/>
      <c r="H94" s="468"/>
      <c r="I94" s="468"/>
      <c r="J94" s="468"/>
      <c r="K94" s="468"/>
      <c r="L94" s="474"/>
      <c r="M94" s="474"/>
      <c r="N94" s="474"/>
      <c r="O94" s="474"/>
      <c r="P94" s="474"/>
      <c r="Q94" s="474"/>
      <c r="R94" s="474"/>
      <c r="S94" s="474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  <c r="AH94" s="449"/>
      <c r="AI94" s="449"/>
      <c r="AJ94" s="449"/>
      <c r="AK94" s="449"/>
      <c r="AL94" s="449"/>
      <c r="AM94" s="449"/>
      <c r="AN94" s="449"/>
      <c r="AO94" s="449"/>
      <c r="AP94" s="449"/>
      <c r="AQ94" s="449"/>
      <c r="AR94" s="449"/>
      <c r="AS94" s="449"/>
      <c r="AT94" s="449"/>
      <c r="AU94" s="449"/>
      <c r="AV94" s="449"/>
      <c r="AW94" s="449"/>
      <c r="AX94" s="449"/>
      <c r="AY94" s="449"/>
      <c r="AZ94" s="449"/>
      <c r="BA94" s="449"/>
      <c r="BB94" s="449"/>
      <c r="BC94" s="449"/>
      <c r="BD94" s="449"/>
      <c r="BE94" s="449"/>
      <c r="BF94" s="449"/>
      <c r="BG94" s="449"/>
      <c r="BH94" s="449"/>
      <c r="BI94" s="449"/>
      <c r="BJ94" s="449"/>
      <c r="BK94" s="449"/>
      <c r="BL94" s="449"/>
      <c r="BM94" s="449"/>
      <c r="BN94" s="449"/>
      <c r="BO94" s="449"/>
      <c r="BP94" s="449"/>
      <c r="BQ94" s="449"/>
      <c r="BR94" s="449"/>
      <c r="BS94" s="449"/>
      <c r="BT94" s="449"/>
      <c r="BU94" s="449"/>
      <c r="BV94" s="449"/>
      <c r="BW94" s="449"/>
      <c r="BX94" s="449"/>
      <c r="BY94" s="449"/>
      <c r="BZ94" s="449"/>
      <c r="CA94" s="449"/>
      <c r="CB94" s="449"/>
      <c r="CC94" s="449"/>
      <c r="CD94" s="449"/>
      <c r="CE94" s="449"/>
      <c r="CF94" s="449"/>
      <c r="CG94" s="449"/>
      <c r="CH94" s="449"/>
      <c r="CI94" s="449"/>
      <c r="CJ94" s="449"/>
      <c r="CK94" s="449"/>
      <c r="CL94" s="449"/>
      <c r="CM94" s="449"/>
      <c r="CN94" s="449"/>
      <c r="CO94" s="449"/>
      <c r="CP94" s="449"/>
      <c r="CQ94" s="449"/>
      <c r="CR94" s="449"/>
      <c r="CS94" s="449"/>
      <c r="CT94" s="449"/>
      <c r="CU94" s="449"/>
      <c r="CV94" s="449"/>
      <c r="CW94" s="449"/>
      <c r="CX94" s="449"/>
      <c r="CY94" s="449"/>
      <c r="CZ94" s="449"/>
      <c r="DA94" s="449"/>
      <c r="DB94" s="449"/>
      <c r="DC94" s="449"/>
      <c r="DD94" s="449"/>
      <c r="DE94" s="449"/>
      <c r="DF94" s="449"/>
      <c r="DG94" s="449"/>
      <c r="DH94" s="449"/>
      <c r="DI94" s="449"/>
      <c r="DJ94" s="449"/>
      <c r="DK94" s="449"/>
      <c r="DL94" s="449"/>
      <c r="DM94" s="449"/>
      <c r="DN94" s="449"/>
      <c r="DO94" s="449"/>
      <c r="DP94" s="449"/>
      <c r="DQ94" s="449"/>
      <c r="DR94" s="449"/>
      <c r="DS94" s="449"/>
      <c r="DT94" s="449"/>
      <c r="DU94" s="449"/>
      <c r="DV94" s="449"/>
      <c r="DW94" s="449"/>
      <c r="DX94" s="449"/>
      <c r="DY94" s="449"/>
      <c r="DZ94" s="449"/>
      <c r="EA94" s="449"/>
      <c r="EB94" s="449"/>
      <c r="EC94" s="449"/>
      <c r="ED94" s="449"/>
      <c r="EE94" s="449"/>
      <c r="EF94" s="449"/>
      <c r="EG94" s="449"/>
      <c r="EH94" s="449"/>
      <c r="EI94" s="449"/>
      <c r="EJ94" s="449"/>
      <c r="EK94" s="449"/>
      <c r="EL94" s="449"/>
      <c r="EM94" s="449"/>
      <c r="EN94" s="449"/>
      <c r="EO94" s="449"/>
      <c r="EP94" s="449"/>
      <c r="EQ94" s="449"/>
      <c r="ER94" s="449"/>
      <c r="ES94" s="449"/>
      <c r="ET94" s="449"/>
      <c r="EU94" s="449"/>
      <c r="EV94" s="449"/>
      <c r="EW94" s="449"/>
      <c r="EX94" s="449"/>
      <c r="EY94" s="449"/>
      <c r="EZ94" s="449"/>
      <c r="FA94" s="449"/>
      <c r="FB94" s="449"/>
      <c r="FC94" s="449"/>
      <c r="FD94" s="449"/>
      <c r="FE94" s="449"/>
      <c r="FF94" s="449"/>
      <c r="FG94" s="449"/>
      <c r="FH94" s="449"/>
      <c r="FI94" s="449"/>
      <c r="FJ94" s="449"/>
      <c r="FK94" s="449"/>
      <c r="FL94" s="449"/>
      <c r="FM94" s="449"/>
      <c r="FN94" s="449"/>
      <c r="FO94" s="449"/>
      <c r="FP94" s="449"/>
      <c r="FQ94" s="449"/>
      <c r="FR94" s="449"/>
      <c r="FS94" s="449"/>
      <c r="FT94" s="449"/>
      <c r="FU94" s="449"/>
      <c r="FV94" s="449"/>
      <c r="FW94" s="449"/>
      <c r="FX94" s="449"/>
      <c r="FY94" s="449"/>
      <c r="FZ94" s="449"/>
      <c r="GA94" s="449"/>
      <c r="GB94" s="449"/>
      <c r="GC94" s="449"/>
      <c r="GD94" s="449"/>
      <c r="GE94" s="449"/>
      <c r="GF94" s="449"/>
      <c r="GG94" s="449"/>
      <c r="GH94" s="449"/>
      <c r="GI94" s="449"/>
      <c r="GJ94" s="449"/>
      <c r="GK94" s="449"/>
      <c r="GL94" s="449"/>
      <c r="GM94" s="449"/>
      <c r="GN94" s="449"/>
      <c r="GO94" s="449"/>
      <c r="GP94" s="449"/>
      <c r="GQ94" s="449"/>
      <c r="GR94" s="449"/>
      <c r="GS94" s="449"/>
      <c r="GT94" s="449"/>
      <c r="GU94" s="449"/>
      <c r="GV94" s="449"/>
      <c r="GW94" s="449"/>
      <c r="GX94" s="449"/>
      <c r="GY94" s="449"/>
      <c r="GZ94" s="449"/>
      <c r="HA94" s="449"/>
      <c r="HB94" s="449"/>
      <c r="HC94" s="449"/>
      <c r="HD94" s="449"/>
      <c r="HE94" s="449"/>
      <c r="HF94" s="449"/>
      <c r="HG94" s="449"/>
      <c r="HH94" s="449"/>
      <c r="HI94" s="449"/>
      <c r="HJ94" s="449"/>
      <c r="HK94" s="449"/>
      <c r="HL94" s="449"/>
      <c r="HM94" s="449"/>
      <c r="HN94" s="449"/>
      <c r="HO94" s="449"/>
      <c r="HP94" s="449"/>
      <c r="HQ94" s="449"/>
      <c r="HR94" s="449"/>
      <c r="HS94" s="449"/>
      <c r="HT94" s="449"/>
      <c r="HU94" s="449"/>
      <c r="HV94" s="449"/>
      <c r="HW94" s="449"/>
      <c r="HX94" s="449"/>
      <c r="HY94" s="449"/>
      <c r="HZ94" s="449"/>
      <c r="IA94" s="449"/>
      <c r="IB94" s="449"/>
      <c r="IC94" s="449"/>
      <c r="ID94" s="449"/>
      <c r="IE94" s="449"/>
      <c r="IF94" s="449"/>
      <c r="IG94" s="449"/>
      <c r="IH94" s="449"/>
      <c r="II94" s="449"/>
      <c r="IJ94" s="449"/>
      <c r="IK94" s="449"/>
      <c r="IL94" s="449"/>
      <c r="IM94" s="449"/>
      <c r="IN94" s="449"/>
      <c r="IO94" s="449"/>
      <c r="IP94" s="449"/>
      <c r="IQ94" s="449"/>
      <c r="IR94" s="449"/>
      <c r="IS94" s="449"/>
      <c r="IT94" s="449"/>
      <c r="IU94" s="449"/>
      <c r="IV94" s="449"/>
      <c r="IW94" s="449"/>
    </row>
    <row r="95" customFormat="false" ht="12.75" hidden="false" customHeight="false" outlineLevel="0" collapsed="false">
      <c r="A95" s="461" t="n">
        <f aca="false">A94+1</f>
        <v>49</v>
      </c>
      <c r="C95" s="493" t="s">
        <v>919</v>
      </c>
      <c r="D95" s="449"/>
      <c r="E95" s="468"/>
      <c r="F95" s="468"/>
      <c r="G95" s="468"/>
      <c r="H95" s="468"/>
      <c r="I95" s="468"/>
      <c r="J95" s="468"/>
      <c r="K95" s="468"/>
      <c r="L95" s="474"/>
      <c r="M95" s="474"/>
      <c r="N95" s="474"/>
      <c r="O95" s="474"/>
      <c r="P95" s="474"/>
      <c r="Q95" s="474"/>
      <c r="R95" s="474"/>
      <c r="S95" s="474"/>
      <c r="T95" s="449"/>
      <c r="U95" s="449"/>
      <c r="V95" s="449"/>
      <c r="W95" s="449"/>
      <c r="X95" s="449"/>
      <c r="Y95" s="449"/>
      <c r="Z95" s="449"/>
      <c r="AA95" s="449"/>
      <c r="AB95" s="449"/>
      <c r="AC95" s="449"/>
      <c r="AD95" s="449"/>
      <c r="AE95" s="449"/>
      <c r="AF95" s="449"/>
      <c r="AG95" s="449"/>
      <c r="AH95" s="449"/>
      <c r="AI95" s="449"/>
      <c r="AJ95" s="449"/>
      <c r="AK95" s="449"/>
      <c r="AL95" s="449"/>
      <c r="AM95" s="449"/>
      <c r="AN95" s="449"/>
      <c r="AO95" s="449"/>
      <c r="AP95" s="449"/>
      <c r="AQ95" s="449"/>
      <c r="AR95" s="449"/>
      <c r="AS95" s="449"/>
      <c r="AT95" s="449"/>
      <c r="AU95" s="449"/>
      <c r="AV95" s="449"/>
      <c r="AW95" s="449"/>
      <c r="AX95" s="449"/>
      <c r="AY95" s="449"/>
      <c r="AZ95" s="449"/>
      <c r="BA95" s="449"/>
      <c r="BB95" s="449"/>
      <c r="BC95" s="449"/>
      <c r="BD95" s="449"/>
      <c r="BE95" s="449"/>
      <c r="BF95" s="449"/>
      <c r="BG95" s="449"/>
      <c r="BH95" s="449"/>
      <c r="BI95" s="449"/>
      <c r="BJ95" s="449"/>
      <c r="BK95" s="449"/>
      <c r="BL95" s="449"/>
      <c r="BM95" s="449"/>
      <c r="BN95" s="449"/>
      <c r="BO95" s="449"/>
      <c r="BP95" s="449"/>
      <c r="BQ95" s="449"/>
      <c r="BR95" s="449"/>
      <c r="BS95" s="449"/>
      <c r="BT95" s="449"/>
      <c r="BU95" s="449"/>
      <c r="BV95" s="449"/>
      <c r="BW95" s="449"/>
      <c r="BX95" s="449"/>
      <c r="BY95" s="449"/>
      <c r="BZ95" s="449"/>
      <c r="CA95" s="449"/>
      <c r="CB95" s="449"/>
      <c r="CC95" s="449"/>
      <c r="CD95" s="449"/>
      <c r="CE95" s="449"/>
      <c r="CF95" s="449"/>
      <c r="CG95" s="449"/>
      <c r="CH95" s="449"/>
      <c r="CI95" s="449"/>
      <c r="CJ95" s="449"/>
      <c r="CK95" s="449"/>
      <c r="CL95" s="449"/>
      <c r="CM95" s="449"/>
      <c r="CN95" s="449"/>
      <c r="CO95" s="449"/>
      <c r="CP95" s="449"/>
      <c r="CQ95" s="449"/>
      <c r="CR95" s="449"/>
      <c r="CS95" s="449"/>
      <c r="CT95" s="449"/>
      <c r="CU95" s="449"/>
      <c r="CV95" s="449"/>
      <c r="CW95" s="449"/>
      <c r="CX95" s="449"/>
      <c r="CY95" s="449"/>
      <c r="CZ95" s="449"/>
      <c r="DA95" s="449"/>
      <c r="DB95" s="449"/>
      <c r="DC95" s="449"/>
      <c r="DD95" s="449"/>
      <c r="DE95" s="449"/>
      <c r="DF95" s="449"/>
      <c r="DG95" s="449"/>
      <c r="DH95" s="449"/>
      <c r="DI95" s="449"/>
      <c r="DJ95" s="449"/>
      <c r="DK95" s="449"/>
      <c r="DL95" s="449"/>
      <c r="DM95" s="449"/>
      <c r="DN95" s="449"/>
      <c r="DO95" s="449"/>
      <c r="DP95" s="449"/>
      <c r="DQ95" s="449"/>
      <c r="DR95" s="449"/>
      <c r="DS95" s="449"/>
      <c r="DT95" s="449"/>
      <c r="DU95" s="449"/>
      <c r="DV95" s="449"/>
      <c r="DW95" s="449"/>
      <c r="DX95" s="449"/>
      <c r="DY95" s="449"/>
      <c r="DZ95" s="449"/>
      <c r="EA95" s="449"/>
      <c r="EB95" s="449"/>
      <c r="EC95" s="449"/>
      <c r="ED95" s="449"/>
      <c r="EE95" s="449"/>
      <c r="EF95" s="449"/>
      <c r="EG95" s="449"/>
      <c r="EH95" s="449"/>
      <c r="EI95" s="449"/>
      <c r="EJ95" s="449"/>
      <c r="EK95" s="449"/>
      <c r="EL95" s="449"/>
      <c r="EM95" s="449"/>
      <c r="EN95" s="449"/>
      <c r="EO95" s="449"/>
      <c r="EP95" s="449"/>
      <c r="EQ95" s="449"/>
      <c r="ER95" s="449"/>
      <c r="ES95" s="449"/>
      <c r="ET95" s="449"/>
      <c r="EU95" s="449"/>
      <c r="EV95" s="449"/>
      <c r="EW95" s="449"/>
      <c r="EX95" s="449"/>
      <c r="EY95" s="449"/>
      <c r="EZ95" s="449"/>
      <c r="FA95" s="449"/>
      <c r="FB95" s="449"/>
      <c r="FC95" s="449"/>
      <c r="FD95" s="449"/>
      <c r="FE95" s="449"/>
      <c r="FF95" s="449"/>
      <c r="FG95" s="449"/>
      <c r="FH95" s="449"/>
      <c r="FI95" s="449"/>
      <c r="FJ95" s="449"/>
      <c r="FK95" s="449"/>
      <c r="FL95" s="449"/>
      <c r="FM95" s="449"/>
      <c r="FN95" s="449"/>
      <c r="FO95" s="449"/>
      <c r="FP95" s="449"/>
      <c r="FQ95" s="449"/>
      <c r="FR95" s="449"/>
      <c r="FS95" s="449"/>
      <c r="FT95" s="449"/>
      <c r="FU95" s="449"/>
      <c r="FV95" s="449"/>
      <c r="FW95" s="449"/>
      <c r="FX95" s="449"/>
      <c r="FY95" s="449"/>
      <c r="FZ95" s="449"/>
      <c r="GA95" s="449"/>
      <c r="GB95" s="449"/>
      <c r="GC95" s="449"/>
      <c r="GD95" s="449"/>
      <c r="GE95" s="449"/>
      <c r="GF95" s="449"/>
      <c r="GG95" s="449"/>
      <c r="GH95" s="449"/>
      <c r="GI95" s="449"/>
      <c r="GJ95" s="449"/>
      <c r="GK95" s="449"/>
      <c r="GL95" s="449"/>
      <c r="GM95" s="449"/>
      <c r="GN95" s="449"/>
      <c r="GO95" s="449"/>
      <c r="GP95" s="449"/>
      <c r="GQ95" s="449"/>
      <c r="GR95" s="449"/>
      <c r="GS95" s="449"/>
      <c r="GT95" s="449"/>
      <c r="GU95" s="449"/>
      <c r="GV95" s="449"/>
      <c r="GW95" s="449"/>
      <c r="GX95" s="449"/>
      <c r="GY95" s="449"/>
      <c r="GZ95" s="449"/>
      <c r="HA95" s="449"/>
      <c r="HB95" s="449"/>
      <c r="HC95" s="449"/>
      <c r="HD95" s="449"/>
      <c r="HE95" s="449"/>
      <c r="HF95" s="449"/>
      <c r="HG95" s="449"/>
      <c r="HH95" s="449"/>
      <c r="HI95" s="449"/>
      <c r="HJ95" s="449"/>
      <c r="HK95" s="449"/>
      <c r="HL95" s="449"/>
      <c r="HM95" s="449"/>
      <c r="HN95" s="449"/>
      <c r="HO95" s="449"/>
      <c r="HP95" s="449"/>
      <c r="HQ95" s="449"/>
      <c r="HR95" s="449"/>
      <c r="HS95" s="449"/>
      <c r="HT95" s="449"/>
      <c r="HU95" s="449"/>
      <c r="HV95" s="449"/>
      <c r="HW95" s="449"/>
      <c r="HX95" s="449"/>
      <c r="HY95" s="449"/>
      <c r="HZ95" s="449"/>
      <c r="IA95" s="449"/>
      <c r="IB95" s="449"/>
      <c r="IC95" s="449"/>
      <c r="ID95" s="449"/>
      <c r="IE95" s="449"/>
      <c r="IF95" s="449"/>
      <c r="IG95" s="449"/>
      <c r="IH95" s="449"/>
      <c r="II95" s="449"/>
      <c r="IJ95" s="449"/>
      <c r="IK95" s="449"/>
      <c r="IL95" s="449"/>
      <c r="IM95" s="449"/>
      <c r="IN95" s="449"/>
      <c r="IO95" s="449"/>
      <c r="IP95" s="449"/>
      <c r="IQ95" s="449"/>
      <c r="IR95" s="449"/>
      <c r="IS95" s="449"/>
      <c r="IT95" s="449"/>
      <c r="IU95" s="449"/>
      <c r="IV95" s="449"/>
      <c r="IW95" s="449"/>
    </row>
    <row r="96" customFormat="false" ht="12.75" hidden="false" customHeight="false" outlineLevel="0" collapsed="false">
      <c r="A96" s="461" t="n">
        <f aca="false">A95+1</f>
        <v>50</v>
      </c>
      <c r="C96" s="493" t="s">
        <v>920</v>
      </c>
      <c r="D96" s="449"/>
      <c r="E96" s="468"/>
      <c r="F96" s="468"/>
      <c r="G96" s="468"/>
      <c r="H96" s="468"/>
      <c r="I96" s="468"/>
      <c r="J96" s="468"/>
      <c r="K96" s="468"/>
      <c r="L96" s="474"/>
      <c r="M96" s="474"/>
      <c r="N96" s="474"/>
      <c r="O96" s="474"/>
      <c r="P96" s="474"/>
      <c r="Q96" s="474"/>
      <c r="R96" s="474"/>
      <c r="S96" s="474"/>
      <c r="T96" s="449"/>
      <c r="U96" s="449"/>
      <c r="V96" s="449"/>
      <c r="W96" s="449"/>
      <c r="X96" s="449"/>
      <c r="Y96" s="449"/>
      <c r="Z96" s="449"/>
      <c r="AA96" s="449"/>
      <c r="AB96" s="449"/>
      <c r="AC96" s="449"/>
      <c r="AD96" s="449"/>
      <c r="AE96" s="449"/>
      <c r="AF96" s="449"/>
      <c r="AG96" s="449"/>
      <c r="AH96" s="449"/>
      <c r="AI96" s="449"/>
      <c r="AJ96" s="449"/>
      <c r="AK96" s="449"/>
      <c r="AL96" s="449"/>
      <c r="AM96" s="449"/>
      <c r="AN96" s="449"/>
      <c r="AO96" s="449"/>
      <c r="AP96" s="449"/>
      <c r="AQ96" s="449"/>
      <c r="AR96" s="449"/>
      <c r="AS96" s="449"/>
      <c r="AT96" s="449"/>
      <c r="AU96" s="449"/>
      <c r="AV96" s="449"/>
      <c r="AW96" s="449"/>
      <c r="AX96" s="449"/>
      <c r="AY96" s="449"/>
      <c r="AZ96" s="449"/>
      <c r="BA96" s="449"/>
      <c r="BB96" s="449"/>
      <c r="BC96" s="449"/>
      <c r="BD96" s="449"/>
      <c r="BE96" s="449"/>
      <c r="BF96" s="449"/>
      <c r="BG96" s="449"/>
      <c r="BH96" s="449"/>
      <c r="BI96" s="449"/>
      <c r="BJ96" s="449"/>
      <c r="BK96" s="449"/>
      <c r="BL96" s="449"/>
      <c r="BM96" s="449"/>
      <c r="BN96" s="449"/>
      <c r="BO96" s="449"/>
      <c r="BP96" s="449"/>
      <c r="BQ96" s="449"/>
      <c r="BR96" s="449"/>
      <c r="BS96" s="449"/>
      <c r="BT96" s="449"/>
      <c r="BU96" s="449"/>
      <c r="BV96" s="449"/>
      <c r="BW96" s="449"/>
      <c r="BX96" s="449"/>
      <c r="BY96" s="449"/>
      <c r="BZ96" s="449"/>
      <c r="CA96" s="449"/>
      <c r="CB96" s="449"/>
      <c r="CC96" s="449"/>
      <c r="CD96" s="449"/>
      <c r="CE96" s="449"/>
      <c r="CF96" s="449"/>
      <c r="CG96" s="449"/>
      <c r="CH96" s="449"/>
      <c r="CI96" s="449"/>
      <c r="CJ96" s="449"/>
      <c r="CK96" s="449"/>
      <c r="CL96" s="449"/>
      <c r="CM96" s="449"/>
      <c r="CN96" s="449"/>
      <c r="CO96" s="449"/>
      <c r="CP96" s="449"/>
      <c r="CQ96" s="449"/>
      <c r="CR96" s="449"/>
      <c r="CS96" s="449"/>
      <c r="CT96" s="449"/>
      <c r="CU96" s="449"/>
      <c r="CV96" s="449"/>
      <c r="CW96" s="449"/>
      <c r="CX96" s="449"/>
      <c r="CY96" s="449"/>
      <c r="CZ96" s="449"/>
      <c r="DA96" s="449"/>
      <c r="DB96" s="449"/>
      <c r="DC96" s="449"/>
      <c r="DD96" s="449"/>
      <c r="DE96" s="449"/>
      <c r="DF96" s="449"/>
      <c r="DG96" s="449"/>
      <c r="DH96" s="449"/>
      <c r="DI96" s="449"/>
      <c r="DJ96" s="449"/>
      <c r="DK96" s="449"/>
      <c r="DL96" s="449"/>
      <c r="DM96" s="449"/>
      <c r="DN96" s="449"/>
      <c r="DO96" s="449"/>
      <c r="DP96" s="449"/>
      <c r="DQ96" s="449"/>
      <c r="DR96" s="449"/>
      <c r="DS96" s="449"/>
      <c r="DT96" s="449"/>
      <c r="DU96" s="449"/>
      <c r="DV96" s="449"/>
      <c r="DW96" s="449"/>
      <c r="DX96" s="449"/>
      <c r="DY96" s="449"/>
      <c r="DZ96" s="449"/>
      <c r="EA96" s="449"/>
      <c r="EB96" s="449"/>
      <c r="EC96" s="449"/>
      <c r="ED96" s="449"/>
      <c r="EE96" s="449"/>
      <c r="EF96" s="449"/>
      <c r="EG96" s="449"/>
      <c r="EH96" s="449"/>
      <c r="EI96" s="449"/>
      <c r="EJ96" s="449"/>
      <c r="EK96" s="449"/>
      <c r="EL96" s="449"/>
      <c r="EM96" s="449"/>
      <c r="EN96" s="449"/>
      <c r="EO96" s="449"/>
      <c r="EP96" s="449"/>
      <c r="EQ96" s="449"/>
      <c r="ER96" s="449"/>
      <c r="ES96" s="449"/>
      <c r="ET96" s="449"/>
      <c r="EU96" s="449"/>
      <c r="EV96" s="449"/>
      <c r="EW96" s="449"/>
      <c r="EX96" s="449"/>
      <c r="EY96" s="449"/>
      <c r="EZ96" s="449"/>
      <c r="FA96" s="449"/>
      <c r="FB96" s="449"/>
      <c r="FC96" s="449"/>
      <c r="FD96" s="449"/>
      <c r="FE96" s="449"/>
      <c r="FF96" s="449"/>
      <c r="FG96" s="449"/>
      <c r="FH96" s="449"/>
      <c r="FI96" s="449"/>
      <c r="FJ96" s="449"/>
      <c r="FK96" s="449"/>
      <c r="FL96" s="449"/>
      <c r="FM96" s="449"/>
      <c r="FN96" s="449"/>
      <c r="FO96" s="449"/>
      <c r="FP96" s="449"/>
      <c r="FQ96" s="449"/>
      <c r="FR96" s="449"/>
      <c r="FS96" s="449"/>
      <c r="FT96" s="449"/>
      <c r="FU96" s="449"/>
      <c r="FV96" s="449"/>
      <c r="FW96" s="449"/>
      <c r="FX96" s="449"/>
      <c r="FY96" s="449"/>
      <c r="FZ96" s="449"/>
      <c r="GA96" s="449"/>
      <c r="GB96" s="449"/>
      <c r="GC96" s="449"/>
      <c r="GD96" s="449"/>
      <c r="GE96" s="449"/>
      <c r="GF96" s="449"/>
      <c r="GG96" s="449"/>
      <c r="GH96" s="449"/>
      <c r="GI96" s="449"/>
      <c r="GJ96" s="449"/>
      <c r="GK96" s="449"/>
      <c r="GL96" s="449"/>
      <c r="GM96" s="449"/>
      <c r="GN96" s="449"/>
      <c r="GO96" s="449"/>
      <c r="GP96" s="449"/>
      <c r="GQ96" s="449"/>
      <c r="GR96" s="449"/>
      <c r="GS96" s="449"/>
      <c r="GT96" s="449"/>
      <c r="GU96" s="449"/>
      <c r="GV96" s="449"/>
      <c r="GW96" s="449"/>
      <c r="GX96" s="449"/>
      <c r="GY96" s="449"/>
      <c r="GZ96" s="449"/>
      <c r="HA96" s="449"/>
      <c r="HB96" s="449"/>
      <c r="HC96" s="449"/>
      <c r="HD96" s="449"/>
      <c r="HE96" s="449"/>
      <c r="HF96" s="449"/>
      <c r="HG96" s="449"/>
      <c r="HH96" s="449"/>
      <c r="HI96" s="449"/>
      <c r="HJ96" s="449"/>
      <c r="HK96" s="449"/>
      <c r="HL96" s="449"/>
      <c r="HM96" s="449"/>
      <c r="HN96" s="449"/>
      <c r="HO96" s="449"/>
      <c r="HP96" s="449"/>
      <c r="HQ96" s="449"/>
      <c r="HR96" s="449"/>
      <c r="HS96" s="449"/>
      <c r="HT96" s="449"/>
      <c r="HU96" s="449"/>
      <c r="HV96" s="449"/>
      <c r="HW96" s="449"/>
      <c r="HX96" s="449"/>
      <c r="HY96" s="449"/>
      <c r="HZ96" s="449"/>
      <c r="IA96" s="449"/>
      <c r="IB96" s="449"/>
      <c r="IC96" s="449"/>
      <c r="ID96" s="449"/>
      <c r="IE96" s="449"/>
      <c r="IF96" s="449"/>
      <c r="IG96" s="449"/>
      <c r="IH96" s="449"/>
      <c r="II96" s="449"/>
      <c r="IJ96" s="449"/>
      <c r="IK96" s="449"/>
      <c r="IL96" s="449"/>
      <c r="IM96" s="449"/>
      <c r="IN96" s="449"/>
      <c r="IO96" s="449"/>
      <c r="IP96" s="449"/>
      <c r="IQ96" s="449"/>
      <c r="IR96" s="449"/>
      <c r="IS96" s="449"/>
      <c r="IT96" s="449"/>
      <c r="IU96" s="449"/>
      <c r="IV96" s="449"/>
      <c r="IW96" s="449"/>
    </row>
    <row r="97" customFormat="false" ht="12.75" hidden="false" customHeight="false" outlineLevel="0" collapsed="false">
      <c r="A97" s="461" t="n">
        <f aca="false">A96+1</f>
        <v>51</v>
      </c>
      <c r="C97" s="493" t="s">
        <v>921</v>
      </c>
      <c r="D97" s="449"/>
      <c r="E97" s="468"/>
      <c r="F97" s="468"/>
      <c r="G97" s="468"/>
      <c r="H97" s="468"/>
      <c r="I97" s="468"/>
      <c r="J97" s="468"/>
      <c r="K97" s="468"/>
      <c r="L97" s="474"/>
      <c r="M97" s="474"/>
      <c r="N97" s="474"/>
      <c r="O97" s="474"/>
      <c r="P97" s="474"/>
      <c r="Q97" s="474"/>
      <c r="R97" s="474"/>
      <c r="S97" s="474"/>
      <c r="T97" s="449"/>
      <c r="U97" s="449"/>
      <c r="V97" s="449"/>
      <c r="W97" s="449"/>
      <c r="X97" s="449"/>
      <c r="Y97" s="449"/>
      <c r="Z97" s="449"/>
      <c r="AA97" s="449"/>
      <c r="AB97" s="449"/>
      <c r="AC97" s="449"/>
      <c r="AD97" s="449"/>
      <c r="AE97" s="449"/>
      <c r="AF97" s="449"/>
      <c r="AG97" s="449"/>
      <c r="AH97" s="449"/>
      <c r="AI97" s="449"/>
      <c r="AJ97" s="449"/>
      <c r="AK97" s="449"/>
      <c r="AL97" s="449"/>
      <c r="AM97" s="449"/>
      <c r="AN97" s="449"/>
      <c r="AO97" s="449"/>
      <c r="AP97" s="449"/>
      <c r="AQ97" s="449"/>
      <c r="AR97" s="449"/>
      <c r="AS97" s="449"/>
      <c r="AT97" s="449"/>
      <c r="AU97" s="449"/>
      <c r="AV97" s="449"/>
      <c r="AW97" s="449"/>
      <c r="AX97" s="449"/>
      <c r="AY97" s="449"/>
      <c r="AZ97" s="449"/>
      <c r="BA97" s="449"/>
      <c r="BB97" s="449"/>
      <c r="BC97" s="449"/>
      <c r="BD97" s="449"/>
      <c r="BE97" s="449"/>
      <c r="BF97" s="449"/>
      <c r="BG97" s="449"/>
      <c r="BH97" s="449"/>
      <c r="BI97" s="449"/>
      <c r="BJ97" s="449"/>
      <c r="BK97" s="449"/>
      <c r="BL97" s="449"/>
      <c r="BM97" s="449"/>
      <c r="BN97" s="449"/>
      <c r="BO97" s="449"/>
      <c r="BP97" s="449"/>
      <c r="BQ97" s="449"/>
      <c r="BR97" s="449"/>
      <c r="BS97" s="449"/>
      <c r="BT97" s="449"/>
      <c r="BU97" s="449"/>
      <c r="BV97" s="449"/>
      <c r="BW97" s="449"/>
      <c r="BX97" s="449"/>
      <c r="BY97" s="449"/>
      <c r="BZ97" s="449"/>
      <c r="CA97" s="449"/>
      <c r="CB97" s="449"/>
      <c r="CC97" s="449"/>
      <c r="CD97" s="449"/>
      <c r="CE97" s="449"/>
      <c r="CF97" s="449"/>
      <c r="CG97" s="449"/>
      <c r="CH97" s="449"/>
      <c r="CI97" s="449"/>
      <c r="CJ97" s="449"/>
      <c r="CK97" s="449"/>
      <c r="CL97" s="449"/>
      <c r="CM97" s="449"/>
      <c r="CN97" s="449"/>
      <c r="CO97" s="449"/>
      <c r="CP97" s="449"/>
      <c r="CQ97" s="449"/>
      <c r="CR97" s="449"/>
      <c r="CS97" s="449"/>
      <c r="CT97" s="449"/>
      <c r="CU97" s="449"/>
      <c r="CV97" s="449"/>
      <c r="CW97" s="449"/>
      <c r="CX97" s="449"/>
      <c r="CY97" s="449"/>
      <c r="CZ97" s="449"/>
      <c r="DA97" s="449"/>
      <c r="DB97" s="449"/>
      <c r="DC97" s="449"/>
      <c r="DD97" s="449"/>
      <c r="DE97" s="449"/>
      <c r="DF97" s="449"/>
      <c r="DG97" s="449"/>
      <c r="DH97" s="449"/>
      <c r="DI97" s="449"/>
      <c r="DJ97" s="449"/>
      <c r="DK97" s="449"/>
      <c r="DL97" s="449"/>
      <c r="DM97" s="449"/>
      <c r="DN97" s="449"/>
      <c r="DO97" s="449"/>
      <c r="DP97" s="449"/>
      <c r="DQ97" s="449"/>
      <c r="DR97" s="449"/>
      <c r="DS97" s="449"/>
      <c r="DT97" s="449"/>
      <c r="DU97" s="449"/>
      <c r="DV97" s="449"/>
      <c r="DW97" s="449"/>
      <c r="DX97" s="449"/>
      <c r="DY97" s="449"/>
      <c r="DZ97" s="449"/>
      <c r="EA97" s="449"/>
      <c r="EB97" s="449"/>
      <c r="EC97" s="449"/>
      <c r="ED97" s="449"/>
      <c r="EE97" s="449"/>
      <c r="EF97" s="449"/>
      <c r="EG97" s="449"/>
      <c r="EH97" s="449"/>
      <c r="EI97" s="449"/>
      <c r="EJ97" s="449"/>
      <c r="EK97" s="449"/>
      <c r="EL97" s="449"/>
      <c r="EM97" s="449"/>
      <c r="EN97" s="449"/>
      <c r="EO97" s="449"/>
      <c r="EP97" s="449"/>
      <c r="EQ97" s="449"/>
      <c r="ER97" s="449"/>
      <c r="ES97" s="449"/>
      <c r="ET97" s="449"/>
      <c r="EU97" s="449"/>
      <c r="EV97" s="449"/>
      <c r="EW97" s="449"/>
      <c r="EX97" s="449"/>
      <c r="EY97" s="449"/>
      <c r="EZ97" s="449"/>
      <c r="FA97" s="449"/>
      <c r="FB97" s="449"/>
      <c r="FC97" s="449"/>
      <c r="FD97" s="449"/>
      <c r="FE97" s="449"/>
      <c r="FF97" s="449"/>
      <c r="FG97" s="449"/>
      <c r="FH97" s="449"/>
      <c r="FI97" s="449"/>
      <c r="FJ97" s="449"/>
      <c r="FK97" s="449"/>
      <c r="FL97" s="449"/>
      <c r="FM97" s="449"/>
      <c r="FN97" s="449"/>
      <c r="FO97" s="449"/>
      <c r="FP97" s="449"/>
      <c r="FQ97" s="449"/>
      <c r="FR97" s="449"/>
      <c r="FS97" s="449"/>
      <c r="FT97" s="449"/>
      <c r="FU97" s="449"/>
      <c r="FV97" s="449"/>
      <c r="FW97" s="449"/>
      <c r="FX97" s="449"/>
      <c r="FY97" s="449"/>
      <c r="FZ97" s="449"/>
      <c r="GA97" s="449"/>
      <c r="GB97" s="449"/>
      <c r="GC97" s="449"/>
      <c r="GD97" s="449"/>
      <c r="GE97" s="449"/>
      <c r="GF97" s="449"/>
      <c r="GG97" s="449"/>
      <c r="GH97" s="449"/>
      <c r="GI97" s="449"/>
      <c r="GJ97" s="449"/>
      <c r="GK97" s="449"/>
      <c r="GL97" s="449"/>
      <c r="GM97" s="449"/>
      <c r="GN97" s="449"/>
      <c r="GO97" s="449"/>
      <c r="GP97" s="449"/>
      <c r="GQ97" s="449"/>
      <c r="GR97" s="449"/>
      <c r="GS97" s="449"/>
      <c r="GT97" s="449"/>
      <c r="GU97" s="449"/>
      <c r="GV97" s="449"/>
      <c r="GW97" s="449"/>
      <c r="GX97" s="449"/>
      <c r="GY97" s="449"/>
      <c r="GZ97" s="449"/>
      <c r="HA97" s="449"/>
      <c r="HB97" s="449"/>
      <c r="HC97" s="449"/>
      <c r="HD97" s="449"/>
      <c r="HE97" s="449"/>
      <c r="HF97" s="449"/>
      <c r="HG97" s="449"/>
      <c r="HH97" s="449"/>
      <c r="HI97" s="449"/>
      <c r="HJ97" s="449"/>
      <c r="HK97" s="449"/>
      <c r="HL97" s="449"/>
      <c r="HM97" s="449"/>
      <c r="HN97" s="449"/>
      <c r="HO97" s="449"/>
      <c r="HP97" s="449"/>
      <c r="HQ97" s="449"/>
      <c r="HR97" s="449"/>
      <c r="HS97" s="449"/>
      <c r="HT97" s="449"/>
      <c r="HU97" s="449"/>
      <c r="HV97" s="449"/>
      <c r="HW97" s="449"/>
      <c r="HX97" s="449"/>
      <c r="HY97" s="449"/>
      <c r="HZ97" s="449"/>
      <c r="IA97" s="449"/>
      <c r="IB97" s="449"/>
      <c r="IC97" s="449"/>
      <c r="ID97" s="449"/>
      <c r="IE97" s="449"/>
      <c r="IF97" s="449"/>
      <c r="IG97" s="449"/>
      <c r="IH97" s="449"/>
      <c r="II97" s="449"/>
      <c r="IJ97" s="449"/>
      <c r="IK97" s="449"/>
      <c r="IL97" s="449"/>
      <c r="IM97" s="449"/>
      <c r="IN97" s="449"/>
      <c r="IO97" s="449"/>
      <c r="IP97" s="449"/>
      <c r="IQ97" s="449"/>
      <c r="IR97" s="449"/>
      <c r="IS97" s="449"/>
      <c r="IT97" s="449"/>
      <c r="IU97" s="449"/>
      <c r="IV97" s="449"/>
      <c r="IW97" s="449"/>
    </row>
    <row r="98" customFormat="false" ht="12.75" hidden="false" customHeight="false" outlineLevel="0" collapsed="false">
      <c r="A98" s="461" t="n">
        <f aca="false">A97+1</f>
        <v>52</v>
      </c>
      <c r="C98" s="493" t="s">
        <v>922</v>
      </c>
      <c r="D98" s="449"/>
      <c r="E98" s="468"/>
      <c r="F98" s="468"/>
      <c r="G98" s="468"/>
      <c r="H98" s="468"/>
      <c r="I98" s="468"/>
      <c r="J98" s="468"/>
      <c r="K98" s="468"/>
      <c r="L98" s="474"/>
      <c r="M98" s="474"/>
      <c r="N98" s="474"/>
      <c r="O98" s="474"/>
      <c r="P98" s="474"/>
      <c r="Q98" s="474"/>
      <c r="R98" s="474"/>
      <c r="S98" s="474"/>
      <c r="T98" s="449"/>
      <c r="U98" s="449"/>
      <c r="V98" s="449"/>
      <c r="W98" s="449"/>
      <c r="X98" s="449"/>
      <c r="Y98" s="449"/>
      <c r="Z98" s="449"/>
      <c r="AA98" s="449"/>
      <c r="AB98" s="449"/>
      <c r="AC98" s="449"/>
      <c r="AD98" s="449"/>
      <c r="AE98" s="449"/>
      <c r="AF98" s="449"/>
      <c r="AG98" s="449"/>
      <c r="AH98" s="449"/>
      <c r="AI98" s="449"/>
      <c r="AJ98" s="449"/>
      <c r="AK98" s="449"/>
      <c r="AL98" s="449"/>
      <c r="AM98" s="449"/>
      <c r="AN98" s="449"/>
      <c r="AO98" s="449"/>
      <c r="AP98" s="449"/>
      <c r="AQ98" s="449"/>
      <c r="AR98" s="449"/>
      <c r="AS98" s="449"/>
      <c r="AT98" s="449"/>
      <c r="AU98" s="449"/>
      <c r="AV98" s="449"/>
      <c r="AW98" s="449"/>
      <c r="AX98" s="449"/>
      <c r="AY98" s="449"/>
      <c r="AZ98" s="449"/>
      <c r="BA98" s="449"/>
      <c r="BB98" s="449"/>
      <c r="BC98" s="449"/>
      <c r="BD98" s="449"/>
      <c r="BE98" s="449"/>
      <c r="BF98" s="449"/>
      <c r="BG98" s="449"/>
      <c r="BH98" s="449"/>
      <c r="BI98" s="449"/>
      <c r="BJ98" s="449"/>
      <c r="BK98" s="449"/>
      <c r="BL98" s="449"/>
      <c r="BM98" s="449"/>
      <c r="BN98" s="449"/>
      <c r="BO98" s="449"/>
      <c r="BP98" s="449"/>
      <c r="BQ98" s="449"/>
      <c r="BR98" s="449"/>
      <c r="BS98" s="449"/>
      <c r="BT98" s="449"/>
      <c r="BU98" s="449"/>
      <c r="BV98" s="449"/>
      <c r="BW98" s="449"/>
      <c r="BX98" s="449"/>
      <c r="BY98" s="449"/>
      <c r="BZ98" s="449"/>
      <c r="CA98" s="449"/>
      <c r="CB98" s="449"/>
      <c r="CC98" s="449"/>
      <c r="CD98" s="449"/>
      <c r="CE98" s="449"/>
      <c r="CF98" s="449"/>
      <c r="CG98" s="449"/>
      <c r="CH98" s="449"/>
      <c r="CI98" s="449"/>
      <c r="CJ98" s="449"/>
      <c r="CK98" s="449"/>
      <c r="CL98" s="449"/>
      <c r="CM98" s="449"/>
      <c r="CN98" s="449"/>
      <c r="CO98" s="449"/>
      <c r="CP98" s="449"/>
      <c r="CQ98" s="449"/>
      <c r="CR98" s="449"/>
      <c r="CS98" s="449"/>
      <c r="CT98" s="449"/>
      <c r="CU98" s="449"/>
      <c r="CV98" s="449"/>
      <c r="CW98" s="449"/>
      <c r="CX98" s="449"/>
      <c r="CY98" s="449"/>
      <c r="CZ98" s="449"/>
      <c r="DA98" s="449"/>
      <c r="DB98" s="449"/>
      <c r="DC98" s="449"/>
      <c r="DD98" s="449"/>
      <c r="DE98" s="449"/>
      <c r="DF98" s="449"/>
      <c r="DG98" s="449"/>
      <c r="DH98" s="449"/>
      <c r="DI98" s="449"/>
      <c r="DJ98" s="449"/>
      <c r="DK98" s="449"/>
      <c r="DL98" s="449"/>
      <c r="DM98" s="449"/>
      <c r="DN98" s="449"/>
      <c r="DO98" s="449"/>
      <c r="DP98" s="449"/>
      <c r="DQ98" s="449"/>
      <c r="DR98" s="449"/>
      <c r="DS98" s="449"/>
      <c r="DT98" s="449"/>
      <c r="DU98" s="449"/>
      <c r="DV98" s="449"/>
      <c r="DW98" s="449"/>
      <c r="DX98" s="449"/>
      <c r="DY98" s="449"/>
      <c r="DZ98" s="449"/>
      <c r="EA98" s="449"/>
      <c r="EB98" s="449"/>
      <c r="EC98" s="449"/>
      <c r="ED98" s="449"/>
      <c r="EE98" s="449"/>
      <c r="EF98" s="449"/>
      <c r="EG98" s="449"/>
      <c r="EH98" s="449"/>
      <c r="EI98" s="449"/>
      <c r="EJ98" s="449"/>
      <c r="EK98" s="449"/>
      <c r="EL98" s="449"/>
      <c r="EM98" s="449"/>
      <c r="EN98" s="449"/>
      <c r="EO98" s="449"/>
      <c r="EP98" s="449"/>
      <c r="EQ98" s="449"/>
      <c r="ER98" s="449"/>
      <c r="ES98" s="449"/>
      <c r="ET98" s="449"/>
      <c r="EU98" s="449"/>
      <c r="EV98" s="449"/>
      <c r="EW98" s="449"/>
      <c r="EX98" s="449"/>
      <c r="EY98" s="449"/>
      <c r="EZ98" s="449"/>
      <c r="FA98" s="449"/>
      <c r="FB98" s="449"/>
      <c r="FC98" s="449"/>
      <c r="FD98" s="449"/>
      <c r="FE98" s="449"/>
      <c r="FF98" s="449"/>
      <c r="FG98" s="449"/>
      <c r="FH98" s="449"/>
      <c r="FI98" s="449"/>
      <c r="FJ98" s="449"/>
      <c r="FK98" s="449"/>
      <c r="FL98" s="449"/>
      <c r="FM98" s="449"/>
      <c r="FN98" s="449"/>
      <c r="FO98" s="449"/>
      <c r="FP98" s="449"/>
      <c r="FQ98" s="449"/>
      <c r="FR98" s="449"/>
      <c r="FS98" s="449"/>
      <c r="FT98" s="449"/>
      <c r="FU98" s="449"/>
      <c r="FV98" s="449"/>
      <c r="FW98" s="449"/>
      <c r="FX98" s="449"/>
      <c r="FY98" s="449"/>
      <c r="FZ98" s="449"/>
      <c r="GA98" s="449"/>
      <c r="GB98" s="449"/>
      <c r="GC98" s="449"/>
      <c r="GD98" s="449"/>
      <c r="GE98" s="449"/>
      <c r="GF98" s="449"/>
      <c r="GG98" s="449"/>
      <c r="GH98" s="449"/>
      <c r="GI98" s="449"/>
      <c r="GJ98" s="449"/>
      <c r="GK98" s="449"/>
      <c r="GL98" s="449"/>
      <c r="GM98" s="449"/>
      <c r="GN98" s="449"/>
      <c r="GO98" s="449"/>
      <c r="GP98" s="449"/>
      <c r="GQ98" s="449"/>
      <c r="GR98" s="449"/>
      <c r="GS98" s="449"/>
      <c r="GT98" s="449"/>
      <c r="GU98" s="449"/>
      <c r="GV98" s="449"/>
      <c r="GW98" s="449"/>
      <c r="GX98" s="449"/>
      <c r="GY98" s="449"/>
      <c r="GZ98" s="449"/>
      <c r="HA98" s="449"/>
      <c r="HB98" s="449"/>
      <c r="HC98" s="449"/>
      <c r="HD98" s="449"/>
      <c r="HE98" s="449"/>
      <c r="HF98" s="449"/>
      <c r="HG98" s="449"/>
      <c r="HH98" s="449"/>
      <c r="HI98" s="449"/>
      <c r="HJ98" s="449"/>
      <c r="HK98" s="449"/>
      <c r="HL98" s="449"/>
      <c r="HM98" s="449"/>
      <c r="HN98" s="449"/>
      <c r="HO98" s="449"/>
      <c r="HP98" s="449"/>
      <c r="HQ98" s="449"/>
      <c r="HR98" s="449"/>
      <c r="HS98" s="449"/>
      <c r="HT98" s="449"/>
      <c r="HU98" s="449"/>
      <c r="HV98" s="449"/>
      <c r="HW98" s="449"/>
      <c r="HX98" s="449"/>
      <c r="HY98" s="449"/>
      <c r="HZ98" s="449"/>
      <c r="IA98" s="449"/>
      <c r="IB98" s="449"/>
      <c r="IC98" s="449"/>
      <c r="ID98" s="449"/>
      <c r="IE98" s="449"/>
      <c r="IF98" s="449"/>
      <c r="IG98" s="449"/>
      <c r="IH98" s="449"/>
      <c r="II98" s="449"/>
      <c r="IJ98" s="449"/>
      <c r="IK98" s="449"/>
      <c r="IL98" s="449"/>
      <c r="IM98" s="449"/>
      <c r="IN98" s="449"/>
      <c r="IO98" s="449"/>
      <c r="IP98" s="449"/>
      <c r="IQ98" s="449"/>
      <c r="IR98" s="449"/>
      <c r="IS98" s="449"/>
      <c r="IT98" s="449"/>
      <c r="IU98" s="449"/>
      <c r="IV98" s="449"/>
      <c r="IW98" s="449"/>
    </row>
    <row r="99" customFormat="false" ht="12.75" hidden="false" customHeight="false" outlineLevel="0" collapsed="false">
      <c r="A99" s="461" t="n">
        <f aca="false">A98+1</f>
        <v>53</v>
      </c>
      <c r="C99" s="493" t="s">
        <v>923</v>
      </c>
      <c r="D99" s="449"/>
      <c r="E99" s="468"/>
      <c r="F99" s="468"/>
      <c r="G99" s="468"/>
      <c r="H99" s="468"/>
      <c r="I99" s="468"/>
      <c r="J99" s="468"/>
      <c r="K99" s="468"/>
      <c r="L99" s="474"/>
      <c r="M99" s="474"/>
      <c r="N99" s="474"/>
      <c r="O99" s="474"/>
      <c r="P99" s="474"/>
      <c r="Q99" s="474"/>
      <c r="R99" s="474"/>
      <c r="S99" s="474"/>
      <c r="T99" s="449"/>
      <c r="U99" s="449"/>
      <c r="V99" s="449"/>
      <c r="W99" s="449"/>
      <c r="X99" s="449"/>
      <c r="Y99" s="449"/>
      <c r="Z99" s="449"/>
      <c r="AA99" s="449"/>
      <c r="AB99" s="449"/>
      <c r="AC99" s="449"/>
      <c r="AD99" s="449"/>
      <c r="AE99" s="449"/>
      <c r="AF99" s="449"/>
      <c r="AG99" s="449"/>
      <c r="AH99" s="449"/>
      <c r="AI99" s="449"/>
      <c r="AJ99" s="449"/>
      <c r="AK99" s="449"/>
      <c r="AL99" s="449"/>
      <c r="AM99" s="449"/>
      <c r="AN99" s="449"/>
      <c r="AO99" s="449"/>
      <c r="AP99" s="449"/>
      <c r="AQ99" s="449"/>
      <c r="AR99" s="449"/>
      <c r="AS99" s="449"/>
      <c r="AT99" s="449"/>
      <c r="AU99" s="449"/>
      <c r="AV99" s="449"/>
      <c r="AW99" s="449"/>
      <c r="AX99" s="449"/>
      <c r="AY99" s="449"/>
      <c r="AZ99" s="449"/>
      <c r="BA99" s="449"/>
      <c r="BB99" s="449"/>
      <c r="BC99" s="449"/>
      <c r="BD99" s="449"/>
      <c r="BE99" s="449"/>
      <c r="BF99" s="449"/>
      <c r="BG99" s="449"/>
      <c r="BH99" s="449"/>
      <c r="BI99" s="449"/>
      <c r="BJ99" s="449"/>
      <c r="BK99" s="449"/>
      <c r="BL99" s="449"/>
      <c r="BM99" s="449"/>
      <c r="BN99" s="449"/>
      <c r="BO99" s="449"/>
      <c r="BP99" s="449"/>
      <c r="BQ99" s="449"/>
      <c r="BR99" s="449"/>
      <c r="BS99" s="449"/>
      <c r="BT99" s="449"/>
      <c r="BU99" s="449"/>
      <c r="BV99" s="449"/>
      <c r="BW99" s="449"/>
      <c r="BX99" s="449"/>
      <c r="BY99" s="449"/>
      <c r="BZ99" s="449"/>
      <c r="CA99" s="449"/>
      <c r="CB99" s="449"/>
      <c r="CC99" s="449"/>
      <c r="CD99" s="449"/>
      <c r="CE99" s="449"/>
      <c r="CF99" s="449"/>
      <c r="CG99" s="449"/>
      <c r="CH99" s="449"/>
      <c r="CI99" s="449"/>
      <c r="CJ99" s="449"/>
      <c r="CK99" s="449"/>
      <c r="CL99" s="449"/>
      <c r="CM99" s="449"/>
      <c r="CN99" s="449"/>
      <c r="CO99" s="449"/>
      <c r="CP99" s="449"/>
      <c r="CQ99" s="449"/>
      <c r="CR99" s="449"/>
      <c r="CS99" s="449"/>
      <c r="CT99" s="449"/>
      <c r="CU99" s="449"/>
      <c r="CV99" s="449"/>
      <c r="CW99" s="449"/>
      <c r="CX99" s="449"/>
      <c r="CY99" s="449"/>
      <c r="CZ99" s="449"/>
      <c r="DA99" s="449"/>
      <c r="DB99" s="449"/>
      <c r="DC99" s="449"/>
      <c r="DD99" s="449"/>
      <c r="DE99" s="449"/>
      <c r="DF99" s="449"/>
      <c r="DG99" s="449"/>
      <c r="DH99" s="449"/>
      <c r="DI99" s="449"/>
      <c r="DJ99" s="449"/>
      <c r="DK99" s="449"/>
      <c r="DL99" s="449"/>
      <c r="DM99" s="449"/>
      <c r="DN99" s="449"/>
      <c r="DO99" s="449"/>
      <c r="DP99" s="449"/>
      <c r="DQ99" s="449"/>
      <c r="DR99" s="449"/>
      <c r="DS99" s="449"/>
      <c r="DT99" s="449"/>
      <c r="DU99" s="449"/>
      <c r="DV99" s="449"/>
      <c r="DW99" s="449"/>
      <c r="DX99" s="449"/>
      <c r="DY99" s="449"/>
      <c r="DZ99" s="449"/>
      <c r="EA99" s="449"/>
      <c r="EB99" s="449"/>
      <c r="EC99" s="449"/>
      <c r="ED99" s="449"/>
      <c r="EE99" s="449"/>
      <c r="EF99" s="449"/>
      <c r="EG99" s="449"/>
      <c r="EH99" s="449"/>
      <c r="EI99" s="449"/>
      <c r="EJ99" s="449"/>
      <c r="EK99" s="449"/>
      <c r="EL99" s="449"/>
      <c r="EM99" s="449"/>
      <c r="EN99" s="449"/>
      <c r="EO99" s="449"/>
      <c r="EP99" s="449"/>
      <c r="EQ99" s="449"/>
      <c r="ER99" s="449"/>
      <c r="ES99" s="449"/>
      <c r="ET99" s="449"/>
      <c r="EU99" s="449"/>
      <c r="EV99" s="449"/>
      <c r="EW99" s="449"/>
      <c r="EX99" s="449"/>
      <c r="EY99" s="449"/>
      <c r="EZ99" s="449"/>
      <c r="FA99" s="449"/>
      <c r="FB99" s="449"/>
      <c r="FC99" s="449"/>
      <c r="FD99" s="449"/>
      <c r="FE99" s="449"/>
      <c r="FF99" s="449"/>
      <c r="FG99" s="449"/>
      <c r="FH99" s="449"/>
      <c r="FI99" s="449"/>
      <c r="FJ99" s="449"/>
      <c r="FK99" s="449"/>
      <c r="FL99" s="449"/>
      <c r="FM99" s="449"/>
      <c r="FN99" s="449"/>
      <c r="FO99" s="449"/>
      <c r="FP99" s="449"/>
      <c r="FQ99" s="449"/>
      <c r="FR99" s="449"/>
      <c r="FS99" s="449"/>
      <c r="FT99" s="449"/>
      <c r="FU99" s="449"/>
      <c r="FV99" s="449"/>
      <c r="FW99" s="449"/>
      <c r="FX99" s="449"/>
      <c r="FY99" s="449"/>
      <c r="FZ99" s="449"/>
      <c r="GA99" s="449"/>
      <c r="GB99" s="449"/>
      <c r="GC99" s="449"/>
      <c r="GD99" s="449"/>
      <c r="GE99" s="449"/>
      <c r="GF99" s="449"/>
      <c r="GG99" s="449"/>
      <c r="GH99" s="449"/>
      <c r="GI99" s="449"/>
      <c r="GJ99" s="449"/>
      <c r="GK99" s="449"/>
      <c r="GL99" s="449"/>
      <c r="GM99" s="449"/>
      <c r="GN99" s="449"/>
      <c r="GO99" s="449"/>
      <c r="GP99" s="449"/>
      <c r="GQ99" s="449"/>
      <c r="GR99" s="449"/>
      <c r="GS99" s="449"/>
      <c r="GT99" s="449"/>
      <c r="GU99" s="449"/>
      <c r="GV99" s="449"/>
      <c r="GW99" s="449"/>
      <c r="GX99" s="449"/>
      <c r="GY99" s="449"/>
      <c r="GZ99" s="449"/>
      <c r="HA99" s="449"/>
      <c r="HB99" s="449"/>
      <c r="HC99" s="449"/>
      <c r="HD99" s="449"/>
      <c r="HE99" s="449"/>
      <c r="HF99" s="449"/>
      <c r="HG99" s="449"/>
      <c r="HH99" s="449"/>
      <c r="HI99" s="449"/>
      <c r="HJ99" s="449"/>
      <c r="HK99" s="449"/>
      <c r="HL99" s="449"/>
      <c r="HM99" s="449"/>
      <c r="HN99" s="449"/>
      <c r="HO99" s="449"/>
      <c r="HP99" s="449"/>
      <c r="HQ99" s="449"/>
      <c r="HR99" s="449"/>
      <c r="HS99" s="449"/>
      <c r="HT99" s="449"/>
      <c r="HU99" s="449"/>
      <c r="HV99" s="449"/>
      <c r="HW99" s="449"/>
      <c r="HX99" s="449"/>
      <c r="HY99" s="449"/>
      <c r="HZ99" s="449"/>
      <c r="IA99" s="449"/>
      <c r="IB99" s="449"/>
      <c r="IC99" s="449"/>
      <c r="ID99" s="449"/>
      <c r="IE99" s="449"/>
      <c r="IF99" s="449"/>
      <c r="IG99" s="449"/>
      <c r="IH99" s="449"/>
      <c r="II99" s="449"/>
      <c r="IJ99" s="449"/>
      <c r="IK99" s="449"/>
      <c r="IL99" s="449"/>
      <c r="IM99" s="449"/>
      <c r="IN99" s="449"/>
      <c r="IO99" s="449"/>
      <c r="IP99" s="449"/>
      <c r="IQ99" s="449"/>
      <c r="IR99" s="449"/>
      <c r="IS99" s="449"/>
      <c r="IT99" s="449"/>
      <c r="IU99" s="449"/>
      <c r="IV99" s="449"/>
      <c r="IW99" s="449"/>
    </row>
    <row r="100" customFormat="false" ht="12.75" hidden="false" customHeight="false" outlineLevel="0" collapsed="false">
      <c r="A100" s="461" t="n">
        <f aca="false">A99+1</f>
        <v>54</v>
      </c>
      <c r="C100" s="493" t="s">
        <v>924</v>
      </c>
      <c r="D100" s="449"/>
      <c r="E100" s="468"/>
      <c r="F100" s="468"/>
      <c r="G100" s="468"/>
      <c r="H100" s="468"/>
      <c r="I100" s="468"/>
      <c r="J100" s="468"/>
      <c r="K100" s="468"/>
      <c r="L100" s="474"/>
      <c r="M100" s="474"/>
      <c r="N100" s="474"/>
      <c r="O100" s="474"/>
      <c r="P100" s="474"/>
      <c r="Q100" s="474"/>
      <c r="R100" s="474"/>
      <c r="S100" s="474"/>
      <c r="T100" s="449"/>
      <c r="U100" s="449"/>
      <c r="V100" s="449"/>
      <c r="W100" s="449"/>
      <c r="X100" s="449"/>
      <c r="Y100" s="449"/>
      <c r="Z100" s="449"/>
      <c r="AA100" s="449"/>
      <c r="AB100" s="449"/>
      <c r="AC100" s="449"/>
      <c r="AD100" s="449"/>
      <c r="AE100" s="449"/>
      <c r="AF100" s="449"/>
      <c r="AG100" s="449"/>
      <c r="AH100" s="449"/>
      <c r="AI100" s="449"/>
      <c r="AJ100" s="449"/>
      <c r="AK100" s="449"/>
      <c r="AL100" s="449"/>
      <c r="AM100" s="449"/>
      <c r="AN100" s="449"/>
      <c r="AO100" s="449"/>
      <c r="AP100" s="449"/>
      <c r="AQ100" s="449"/>
      <c r="AR100" s="449"/>
      <c r="AS100" s="449"/>
      <c r="AT100" s="449"/>
      <c r="AU100" s="449"/>
      <c r="AV100" s="449"/>
      <c r="AW100" s="449"/>
      <c r="AX100" s="449"/>
      <c r="AY100" s="449"/>
      <c r="AZ100" s="449"/>
      <c r="BA100" s="449"/>
      <c r="BB100" s="449"/>
      <c r="BC100" s="449"/>
      <c r="BD100" s="449"/>
      <c r="BE100" s="449"/>
      <c r="BF100" s="449"/>
      <c r="BG100" s="449"/>
      <c r="BH100" s="449"/>
      <c r="BI100" s="449"/>
      <c r="BJ100" s="449"/>
      <c r="BK100" s="449"/>
      <c r="BL100" s="449"/>
      <c r="BM100" s="449"/>
      <c r="BN100" s="449"/>
      <c r="BO100" s="449"/>
      <c r="BP100" s="449"/>
      <c r="BQ100" s="449"/>
      <c r="BR100" s="449"/>
      <c r="BS100" s="449"/>
      <c r="BT100" s="449"/>
      <c r="BU100" s="449"/>
      <c r="BV100" s="449"/>
      <c r="BW100" s="449"/>
      <c r="BX100" s="449"/>
      <c r="BY100" s="449"/>
      <c r="BZ100" s="449"/>
      <c r="CA100" s="449"/>
      <c r="CB100" s="449"/>
      <c r="CC100" s="449"/>
      <c r="CD100" s="449"/>
      <c r="CE100" s="449"/>
      <c r="CF100" s="449"/>
      <c r="CG100" s="449"/>
      <c r="CH100" s="449"/>
      <c r="CI100" s="449"/>
      <c r="CJ100" s="449"/>
      <c r="CK100" s="449"/>
      <c r="CL100" s="449"/>
      <c r="CM100" s="449"/>
      <c r="CN100" s="449"/>
      <c r="CO100" s="449"/>
      <c r="CP100" s="449"/>
      <c r="CQ100" s="449"/>
      <c r="CR100" s="449"/>
      <c r="CS100" s="449"/>
      <c r="CT100" s="449"/>
      <c r="CU100" s="449"/>
      <c r="CV100" s="449"/>
      <c r="CW100" s="449"/>
      <c r="CX100" s="449"/>
      <c r="CY100" s="449"/>
      <c r="CZ100" s="449"/>
      <c r="DA100" s="449"/>
      <c r="DB100" s="449"/>
      <c r="DC100" s="449"/>
      <c r="DD100" s="449"/>
      <c r="DE100" s="449"/>
      <c r="DF100" s="449"/>
      <c r="DG100" s="449"/>
      <c r="DH100" s="449"/>
      <c r="DI100" s="449"/>
      <c r="DJ100" s="449"/>
      <c r="DK100" s="449"/>
      <c r="DL100" s="449"/>
      <c r="DM100" s="449"/>
      <c r="DN100" s="449"/>
      <c r="DO100" s="449"/>
      <c r="DP100" s="449"/>
      <c r="DQ100" s="449"/>
      <c r="DR100" s="449"/>
      <c r="DS100" s="449"/>
      <c r="DT100" s="449"/>
      <c r="DU100" s="449"/>
      <c r="DV100" s="449"/>
      <c r="DW100" s="449"/>
      <c r="DX100" s="449"/>
      <c r="DY100" s="449"/>
      <c r="DZ100" s="449"/>
      <c r="EA100" s="449"/>
      <c r="EB100" s="449"/>
      <c r="EC100" s="449"/>
      <c r="ED100" s="449"/>
      <c r="EE100" s="449"/>
      <c r="EF100" s="449"/>
      <c r="EG100" s="449"/>
      <c r="EH100" s="449"/>
      <c r="EI100" s="449"/>
      <c r="EJ100" s="449"/>
      <c r="EK100" s="449"/>
      <c r="EL100" s="449"/>
      <c r="EM100" s="449"/>
      <c r="EN100" s="449"/>
      <c r="EO100" s="449"/>
      <c r="EP100" s="449"/>
      <c r="EQ100" s="449"/>
      <c r="ER100" s="449"/>
      <c r="ES100" s="449"/>
      <c r="ET100" s="449"/>
      <c r="EU100" s="449"/>
      <c r="EV100" s="449"/>
      <c r="EW100" s="449"/>
      <c r="EX100" s="449"/>
      <c r="EY100" s="449"/>
      <c r="EZ100" s="449"/>
      <c r="FA100" s="449"/>
      <c r="FB100" s="449"/>
      <c r="FC100" s="449"/>
      <c r="FD100" s="449"/>
      <c r="FE100" s="449"/>
      <c r="FF100" s="449"/>
      <c r="FG100" s="449"/>
      <c r="FH100" s="449"/>
      <c r="FI100" s="449"/>
      <c r="FJ100" s="449"/>
      <c r="FK100" s="449"/>
      <c r="FL100" s="449"/>
      <c r="FM100" s="449"/>
      <c r="FN100" s="449"/>
      <c r="FO100" s="449"/>
      <c r="FP100" s="449"/>
      <c r="FQ100" s="449"/>
      <c r="FR100" s="449"/>
      <c r="FS100" s="449"/>
      <c r="FT100" s="449"/>
      <c r="FU100" s="449"/>
      <c r="FV100" s="449"/>
      <c r="FW100" s="449"/>
      <c r="FX100" s="449"/>
      <c r="FY100" s="449"/>
      <c r="FZ100" s="449"/>
      <c r="GA100" s="449"/>
      <c r="GB100" s="449"/>
      <c r="GC100" s="449"/>
      <c r="GD100" s="449"/>
      <c r="GE100" s="449"/>
      <c r="GF100" s="449"/>
      <c r="GG100" s="449"/>
      <c r="GH100" s="449"/>
      <c r="GI100" s="449"/>
      <c r="GJ100" s="449"/>
      <c r="GK100" s="449"/>
      <c r="GL100" s="449"/>
      <c r="GM100" s="449"/>
      <c r="GN100" s="449"/>
      <c r="GO100" s="449"/>
      <c r="GP100" s="449"/>
      <c r="GQ100" s="449"/>
      <c r="GR100" s="449"/>
      <c r="GS100" s="449"/>
      <c r="GT100" s="449"/>
      <c r="GU100" s="449"/>
      <c r="GV100" s="449"/>
      <c r="GW100" s="449"/>
      <c r="GX100" s="449"/>
      <c r="GY100" s="449"/>
      <c r="GZ100" s="449"/>
      <c r="HA100" s="449"/>
      <c r="HB100" s="449"/>
      <c r="HC100" s="449"/>
      <c r="HD100" s="449"/>
      <c r="HE100" s="449"/>
      <c r="HF100" s="449"/>
      <c r="HG100" s="449"/>
      <c r="HH100" s="449"/>
      <c r="HI100" s="449"/>
      <c r="HJ100" s="449"/>
      <c r="HK100" s="449"/>
      <c r="HL100" s="449"/>
      <c r="HM100" s="449"/>
      <c r="HN100" s="449"/>
      <c r="HO100" s="449"/>
      <c r="HP100" s="449"/>
      <c r="HQ100" s="449"/>
      <c r="HR100" s="449"/>
      <c r="HS100" s="449"/>
      <c r="HT100" s="449"/>
      <c r="HU100" s="449"/>
      <c r="HV100" s="449"/>
      <c r="HW100" s="449"/>
      <c r="HX100" s="449"/>
      <c r="HY100" s="449"/>
      <c r="HZ100" s="449"/>
      <c r="IA100" s="449"/>
      <c r="IB100" s="449"/>
      <c r="IC100" s="449"/>
      <c r="ID100" s="449"/>
      <c r="IE100" s="449"/>
      <c r="IF100" s="449"/>
      <c r="IG100" s="449"/>
      <c r="IH100" s="449"/>
      <c r="II100" s="449"/>
      <c r="IJ100" s="449"/>
      <c r="IK100" s="449"/>
      <c r="IL100" s="449"/>
      <c r="IM100" s="449"/>
      <c r="IN100" s="449"/>
      <c r="IO100" s="449"/>
      <c r="IP100" s="449"/>
      <c r="IQ100" s="449"/>
      <c r="IR100" s="449"/>
      <c r="IS100" s="449"/>
      <c r="IT100" s="449"/>
      <c r="IU100" s="449"/>
      <c r="IV100" s="449"/>
      <c r="IW100" s="449"/>
    </row>
    <row r="101" customFormat="false" ht="12.75" hidden="false" customHeight="false" outlineLevel="0" collapsed="false">
      <c r="A101" s="461" t="n">
        <f aca="false">A100+1</f>
        <v>55</v>
      </c>
      <c r="C101" s="493" t="s">
        <v>925</v>
      </c>
      <c r="D101" s="449"/>
      <c r="E101" s="468"/>
      <c r="F101" s="468"/>
      <c r="G101" s="468"/>
      <c r="H101" s="468"/>
      <c r="I101" s="468"/>
      <c r="J101" s="468"/>
      <c r="K101" s="468"/>
      <c r="L101" s="474"/>
      <c r="M101" s="474"/>
      <c r="N101" s="474"/>
      <c r="O101" s="474"/>
      <c r="P101" s="474"/>
      <c r="Q101" s="474"/>
      <c r="R101" s="474"/>
      <c r="S101" s="474"/>
      <c r="T101" s="449"/>
      <c r="U101" s="449"/>
      <c r="V101" s="449"/>
      <c r="W101" s="449"/>
      <c r="X101" s="449"/>
      <c r="Y101" s="449"/>
      <c r="Z101" s="449"/>
      <c r="AA101" s="449"/>
      <c r="AB101" s="449"/>
      <c r="AC101" s="449"/>
      <c r="AD101" s="449"/>
      <c r="AE101" s="449"/>
      <c r="AF101" s="449"/>
      <c r="AG101" s="449"/>
      <c r="AH101" s="449"/>
      <c r="AI101" s="449"/>
      <c r="AJ101" s="449"/>
      <c r="AK101" s="449"/>
      <c r="AL101" s="449"/>
      <c r="AM101" s="449"/>
      <c r="AN101" s="449"/>
      <c r="AO101" s="449"/>
      <c r="AP101" s="449"/>
      <c r="AQ101" s="449"/>
      <c r="AR101" s="449"/>
      <c r="AS101" s="449"/>
      <c r="AT101" s="449"/>
      <c r="AU101" s="449"/>
      <c r="AV101" s="449"/>
      <c r="AW101" s="449"/>
      <c r="AX101" s="449"/>
      <c r="AY101" s="449"/>
      <c r="AZ101" s="449"/>
      <c r="BA101" s="449"/>
      <c r="BB101" s="449"/>
      <c r="BC101" s="449"/>
      <c r="BD101" s="449"/>
      <c r="BE101" s="449"/>
      <c r="BF101" s="449"/>
      <c r="BG101" s="449"/>
      <c r="BH101" s="449"/>
      <c r="BI101" s="449"/>
      <c r="BJ101" s="449"/>
      <c r="BK101" s="449"/>
      <c r="BL101" s="449"/>
      <c r="BM101" s="449"/>
      <c r="BN101" s="449"/>
      <c r="BO101" s="449"/>
      <c r="BP101" s="449"/>
      <c r="BQ101" s="449"/>
      <c r="BR101" s="449"/>
      <c r="BS101" s="449"/>
      <c r="BT101" s="449"/>
      <c r="BU101" s="449"/>
      <c r="BV101" s="449"/>
      <c r="BW101" s="449"/>
      <c r="BX101" s="449"/>
      <c r="BY101" s="449"/>
      <c r="BZ101" s="449"/>
      <c r="CA101" s="449"/>
      <c r="CB101" s="449"/>
      <c r="CC101" s="449"/>
      <c r="CD101" s="449"/>
      <c r="CE101" s="449"/>
      <c r="CF101" s="449"/>
      <c r="CG101" s="449"/>
      <c r="CH101" s="449"/>
      <c r="CI101" s="449"/>
      <c r="CJ101" s="449"/>
      <c r="CK101" s="449"/>
      <c r="CL101" s="449"/>
      <c r="CM101" s="449"/>
      <c r="CN101" s="449"/>
      <c r="CO101" s="449"/>
      <c r="CP101" s="449"/>
      <c r="CQ101" s="449"/>
      <c r="CR101" s="449"/>
      <c r="CS101" s="449"/>
      <c r="CT101" s="449"/>
      <c r="CU101" s="449"/>
      <c r="CV101" s="449"/>
      <c r="CW101" s="449"/>
      <c r="CX101" s="449"/>
      <c r="CY101" s="449"/>
      <c r="CZ101" s="449"/>
      <c r="DA101" s="449"/>
      <c r="DB101" s="449"/>
      <c r="DC101" s="449"/>
      <c r="DD101" s="449"/>
      <c r="DE101" s="449"/>
      <c r="DF101" s="449"/>
      <c r="DG101" s="449"/>
      <c r="DH101" s="449"/>
      <c r="DI101" s="449"/>
      <c r="DJ101" s="449"/>
      <c r="DK101" s="449"/>
      <c r="DL101" s="449"/>
      <c r="DM101" s="449"/>
      <c r="DN101" s="449"/>
      <c r="DO101" s="449"/>
      <c r="DP101" s="449"/>
      <c r="DQ101" s="449"/>
      <c r="DR101" s="449"/>
      <c r="DS101" s="449"/>
      <c r="DT101" s="449"/>
      <c r="DU101" s="449"/>
      <c r="DV101" s="449"/>
      <c r="DW101" s="449"/>
      <c r="DX101" s="449"/>
      <c r="DY101" s="449"/>
      <c r="DZ101" s="449"/>
      <c r="EA101" s="449"/>
      <c r="EB101" s="449"/>
      <c r="EC101" s="449"/>
      <c r="ED101" s="449"/>
      <c r="EE101" s="449"/>
      <c r="EF101" s="449"/>
      <c r="EG101" s="449"/>
      <c r="EH101" s="449"/>
      <c r="EI101" s="449"/>
      <c r="EJ101" s="449"/>
      <c r="EK101" s="449"/>
      <c r="EL101" s="449"/>
      <c r="EM101" s="449"/>
      <c r="EN101" s="449"/>
      <c r="EO101" s="449"/>
      <c r="EP101" s="449"/>
      <c r="EQ101" s="449"/>
      <c r="ER101" s="449"/>
      <c r="ES101" s="449"/>
      <c r="ET101" s="449"/>
      <c r="EU101" s="449"/>
      <c r="EV101" s="449"/>
      <c r="EW101" s="449"/>
      <c r="EX101" s="449"/>
      <c r="EY101" s="449"/>
      <c r="EZ101" s="449"/>
      <c r="FA101" s="449"/>
      <c r="FB101" s="449"/>
      <c r="FC101" s="449"/>
      <c r="FD101" s="449"/>
      <c r="FE101" s="449"/>
      <c r="FF101" s="449"/>
      <c r="FG101" s="449"/>
      <c r="FH101" s="449"/>
      <c r="FI101" s="449"/>
      <c r="FJ101" s="449"/>
      <c r="FK101" s="449"/>
      <c r="FL101" s="449"/>
      <c r="FM101" s="449"/>
      <c r="FN101" s="449"/>
      <c r="FO101" s="449"/>
      <c r="FP101" s="449"/>
      <c r="FQ101" s="449"/>
      <c r="FR101" s="449"/>
      <c r="FS101" s="449"/>
      <c r="FT101" s="449"/>
      <c r="FU101" s="449"/>
      <c r="FV101" s="449"/>
      <c r="FW101" s="449"/>
      <c r="FX101" s="449"/>
      <c r="FY101" s="449"/>
      <c r="FZ101" s="449"/>
      <c r="GA101" s="449"/>
      <c r="GB101" s="449"/>
      <c r="GC101" s="449"/>
      <c r="GD101" s="449"/>
      <c r="GE101" s="449"/>
      <c r="GF101" s="449"/>
      <c r="GG101" s="449"/>
      <c r="GH101" s="449"/>
      <c r="GI101" s="449"/>
      <c r="GJ101" s="449"/>
      <c r="GK101" s="449"/>
      <c r="GL101" s="449"/>
      <c r="GM101" s="449"/>
      <c r="GN101" s="449"/>
      <c r="GO101" s="449"/>
      <c r="GP101" s="449"/>
      <c r="GQ101" s="449"/>
      <c r="GR101" s="449"/>
      <c r="GS101" s="449"/>
      <c r="GT101" s="449"/>
      <c r="GU101" s="449"/>
      <c r="GV101" s="449"/>
      <c r="GW101" s="449"/>
      <c r="GX101" s="449"/>
      <c r="GY101" s="449"/>
      <c r="GZ101" s="449"/>
      <c r="HA101" s="449"/>
      <c r="HB101" s="449"/>
      <c r="HC101" s="449"/>
      <c r="HD101" s="449"/>
      <c r="HE101" s="449"/>
      <c r="HF101" s="449"/>
      <c r="HG101" s="449"/>
      <c r="HH101" s="449"/>
      <c r="HI101" s="449"/>
      <c r="HJ101" s="449"/>
      <c r="HK101" s="449"/>
      <c r="HL101" s="449"/>
      <c r="HM101" s="449"/>
      <c r="HN101" s="449"/>
      <c r="HO101" s="449"/>
      <c r="HP101" s="449"/>
      <c r="HQ101" s="449"/>
      <c r="HR101" s="449"/>
      <c r="HS101" s="449"/>
      <c r="HT101" s="449"/>
      <c r="HU101" s="449"/>
      <c r="HV101" s="449"/>
      <c r="HW101" s="449"/>
      <c r="HX101" s="449"/>
      <c r="HY101" s="449"/>
      <c r="HZ101" s="449"/>
      <c r="IA101" s="449"/>
      <c r="IB101" s="449"/>
      <c r="IC101" s="449"/>
      <c r="ID101" s="449"/>
      <c r="IE101" s="449"/>
      <c r="IF101" s="449"/>
      <c r="IG101" s="449"/>
      <c r="IH101" s="449"/>
      <c r="II101" s="449"/>
      <c r="IJ101" s="449"/>
      <c r="IK101" s="449"/>
      <c r="IL101" s="449"/>
      <c r="IM101" s="449"/>
      <c r="IN101" s="449"/>
      <c r="IO101" s="449"/>
      <c r="IP101" s="449"/>
      <c r="IQ101" s="449"/>
      <c r="IR101" s="449"/>
      <c r="IS101" s="449"/>
      <c r="IT101" s="449"/>
      <c r="IU101" s="449"/>
      <c r="IV101" s="449"/>
      <c r="IW101" s="449"/>
    </row>
    <row r="102" customFormat="false" ht="12.75" hidden="false" customHeight="false" outlineLevel="0" collapsed="false">
      <c r="A102" s="461" t="n">
        <f aca="false">A101+1</f>
        <v>56</v>
      </c>
      <c r="C102" s="493" t="s">
        <v>926</v>
      </c>
      <c r="D102" s="449"/>
      <c r="E102" s="468"/>
      <c r="F102" s="468"/>
      <c r="G102" s="468"/>
      <c r="H102" s="468"/>
      <c r="I102" s="468"/>
      <c r="J102" s="468"/>
      <c r="K102" s="468"/>
      <c r="L102" s="474"/>
      <c r="M102" s="474"/>
      <c r="N102" s="474"/>
      <c r="O102" s="474"/>
      <c r="P102" s="474"/>
      <c r="Q102" s="474"/>
      <c r="R102" s="474"/>
      <c r="S102" s="474"/>
      <c r="T102" s="449"/>
      <c r="U102" s="449"/>
      <c r="V102" s="449"/>
      <c r="W102" s="449"/>
      <c r="X102" s="449"/>
      <c r="Y102" s="449"/>
      <c r="Z102" s="449"/>
      <c r="AA102" s="449"/>
      <c r="AB102" s="449"/>
      <c r="AC102" s="449"/>
      <c r="AD102" s="449"/>
      <c r="AE102" s="449"/>
      <c r="AF102" s="449"/>
      <c r="AG102" s="449"/>
      <c r="AH102" s="449"/>
      <c r="AI102" s="449"/>
      <c r="AJ102" s="449"/>
      <c r="AK102" s="449"/>
      <c r="AL102" s="449"/>
      <c r="AM102" s="449"/>
      <c r="AN102" s="449"/>
      <c r="AO102" s="449"/>
      <c r="AP102" s="449"/>
      <c r="AQ102" s="449"/>
      <c r="AR102" s="449"/>
      <c r="AS102" s="449"/>
      <c r="AT102" s="449"/>
      <c r="AU102" s="449"/>
      <c r="AV102" s="449"/>
      <c r="AW102" s="449"/>
      <c r="AX102" s="449"/>
      <c r="AY102" s="449"/>
      <c r="AZ102" s="449"/>
      <c r="BA102" s="449"/>
      <c r="BB102" s="449"/>
      <c r="BC102" s="449"/>
      <c r="BD102" s="449"/>
      <c r="BE102" s="449"/>
      <c r="BF102" s="449"/>
      <c r="BG102" s="449"/>
      <c r="BH102" s="449"/>
      <c r="BI102" s="449"/>
      <c r="BJ102" s="449"/>
      <c r="BK102" s="449"/>
      <c r="BL102" s="449"/>
      <c r="BM102" s="449"/>
      <c r="BN102" s="449"/>
      <c r="BO102" s="449"/>
      <c r="BP102" s="449"/>
      <c r="BQ102" s="449"/>
      <c r="BR102" s="449"/>
      <c r="BS102" s="449"/>
      <c r="BT102" s="449"/>
      <c r="BU102" s="449"/>
      <c r="BV102" s="449"/>
      <c r="BW102" s="449"/>
      <c r="BX102" s="449"/>
      <c r="BY102" s="449"/>
      <c r="BZ102" s="449"/>
      <c r="CA102" s="449"/>
      <c r="CB102" s="449"/>
      <c r="CC102" s="449"/>
      <c r="CD102" s="449"/>
      <c r="CE102" s="449"/>
      <c r="CF102" s="449"/>
      <c r="CG102" s="449"/>
      <c r="CH102" s="449"/>
      <c r="CI102" s="449"/>
      <c r="CJ102" s="449"/>
      <c r="CK102" s="449"/>
      <c r="CL102" s="449"/>
      <c r="CM102" s="449"/>
      <c r="CN102" s="449"/>
      <c r="CO102" s="449"/>
      <c r="CP102" s="449"/>
      <c r="CQ102" s="449"/>
      <c r="CR102" s="449"/>
      <c r="CS102" s="449"/>
      <c r="CT102" s="449"/>
      <c r="CU102" s="449"/>
      <c r="CV102" s="449"/>
      <c r="CW102" s="449"/>
      <c r="CX102" s="449"/>
      <c r="CY102" s="449"/>
      <c r="CZ102" s="449"/>
      <c r="DA102" s="449"/>
      <c r="DB102" s="449"/>
      <c r="DC102" s="449"/>
      <c r="DD102" s="449"/>
      <c r="DE102" s="449"/>
      <c r="DF102" s="449"/>
      <c r="DG102" s="449"/>
      <c r="DH102" s="449"/>
      <c r="DI102" s="449"/>
      <c r="DJ102" s="449"/>
      <c r="DK102" s="449"/>
      <c r="DL102" s="449"/>
      <c r="DM102" s="449"/>
      <c r="DN102" s="449"/>
      <c r="DO102" s="449"/>
      <c r="DP102" s="449"/>
      <c r="DQ102" s="449"/>
      <c r="DR102" s="449"/>
      <c r="DS102" s="449"/>
      <c r="DT102" s="449"/>
      <c r="DU102" s="449"/>
      <c r="DV102" s="449"/>
      <c r="DW102" s="449"/>
      <c r="DX102" s="449"/>
      <c r="DY102" s="449"/>
      <c r="DZ102" s="449"/>
      <c r="EA102" s="449"/>
      <c r="EB102" s="449"/>
      <c r="EC102" s="449"/>
      <c r="ED102" s="449"/>
      <c r="EE102" s="449"/>
      <c r="EF102" s="449"/>
      <c r="EG102" s="449"/>
      <c r="EH102" s="449"/>
      <c r="EI102" s="449"/>
      <c r="EJ102" s="449"/>
      <c r="EK102" s="449"/>
      <c r="EL102" s="449"/>
      <c r="EM102" s="449"/>
      <c r="EN102" s="449"/>
      <c r="EO102" s="449"/>
      <c r="EP102" s="449"/>
      <c r="EQ102" s="449"/>
      <c r="ER102" s="449"/>
      <c r="ES102" s="449"/>
      <c r="ET102" s="449"/>
      <c r="EU102" s="449"/>
      <c r="EV102" s="449"/>
      <c r="EW102" s="449"/>
      <c r="EX102" s="449"/>
      <c r="EY102" s="449"/>
      <c r="EZ102" s="449"/>
      <c r="FA102" s="449"/>
      <c r="FB102" s="449"/>
      <c r="FC102" s="449"/>
      <c r="FD102" s="449"/>
      <c r="FE102" s="449"/>
      <c r="FF102" s="449"/>
      <c r="FG102" s="449"/>
      <c r="FH102" s="449"/>
      <c r="FI102" s="449"/>
      <c r="FJ102" s="449"/>
      <c r="FK102" s="449"/>
      <c r="FL102" s="449"/>
      <c r="FM102" s="449"/>
      <c r="FN102" s="449"/>
      <c r="FO102" s="449"/>
      <c r="FP102" s="449"/>
      <c r="FQ102" s="449"/>
      <c r="FR102" s="449"/>
      <c r="FS102" s="449"/>
      <c r="FT102" s="449"/>
      <c r="FU102" s="449"/>
      <c r="FV102" s="449"/>
      <c r="FW102" s="449"/>
      <c r="FX102" s="449"/>
      <c r="FY102" s="449"/>
      <c r="FZ102" s="449"/>
      <c r="GA102" s="449"/>
      <c r="GB102" s="449"/>
      <c r="GC102" s="449"/>
      <c r="GD102" s="449"/>
      <c r="GE102" s="449"/>
      <c r="GF102" s="449"/>
      <c r="GG102" s="449"/>
      <c r="GH102" s="449"/>
      <c r="GI102" s="449"/>
      <c r="GJ102" s="449"/>
      <c r="GK102" s="449"/>
      <c r="GL102" s="449"/>
      <c r="GM102" s="449"/>
      <c r="GN102" s="449"/>
      <c r="GO102" s="449"/>
      <c r="GP102" s="449"/>
      <c r="GQ102" s="449"/>
      <c r="GR102" s="449"/>
      <c r="GS102" s="449"/>
      <c r="GT102" s="449"/>
      <c r="GU102" s="449"/>
      <c r="GV102" s="449"/>
      <c r="GW102" s="449"/>
      <c r="GX102" s="449"/>
      <c r="GY102" s="449"/>
      <c r="GZ102" s="449"/>
      <c r="HA102" s="449"/>
      <c r="HB102" s="449"/>
      <c r="HC102" s="449"/>
      <c r="HD102" s="449"/>
      <c r="HE102" s="449"/>
      <c r="HF102" s="449"/>
      <c r="HG102" s="449"/>
      <c r="HH102" s="449"/>
      <c r="HI102" s="449"/>
      <c r="HJ102" s="449"/>
      <c r="HK102" s="449"/>
      <c r="HL102" s="449"/>
      <c r="HM102" s="449"/>
      <c r="HN102" s="449"/>
      <c r="HO102" s="449"/>
      <c r="HP102" s="449"/>
      <c r="HQ102" s="449"/>
      <c r="HR102" s="449"/>
      <c r="HS102" s="449"/>
      <c r="HT102" s="449"/>
      <c r="HU102" s="449"/>
      <c r="HV102" s="449"/>
      <c r="HW102" s="449"/>
      <c r="HX102" s="449"/>
      <c r="HY102" s="449"/>
      <c r="HZ102" s="449"/>
      <c r="IA102" s="449"/>
      <c r="IB102" s="449"/>
      <c r="IC102" s="449"/>
      <c r="ID102" s="449"/>
      <c r="IE102" s="449"/>
      <c r="IF102" s="449"/>
      <c r="IG102" s="449"/>
      <c r="IH102" s="449"/>
      <c r="II102" s="449"/>
      <c r="IJ102" s="449"/>
      <c r="IK102" s="449"/>
      <c r="IL102" s="449"/>
      <c r="IM102" s="449"/>
      <c r="IN102" s="449"/>
      <c r="IO102" s="449"/>
      <c r="IP102" s="449"/>
      <c r="IQ102" s="449"/>
      <c r="IR102" s="449"/>
      <c r="IS102" s="449"/>
      <c r="IT102" s="449"/>
      <c r="IU102" s="449"/>
      <c r="IV102" s="449"/>
      <c r="IW102" s="449"/>
    </row>
    <row r="103" customFormat="false" ht="12.75" hidden="false" customHeight="false" outlineLevel="0" collapsed="false">
      <c r="A103" s="461" t="n">
        <f aca="false">A102+1</f>
        <v>57</v>
      </c>
      <c r="C103" s="493" t="s">
        <v>905</v>
      </c>
      <c r="D103" s="449"/>
      <c r="E103" s="468"/>
      <c r="F103" s="468"/>
      <c r="G103" s="468"/>
      <c r="H103" s="468"/>
      <c r="I103" s="468"/>
      <c r="J103" s="468"/>
      <c r="K103" s="468"/>
      <c r="L103" s="474"/>
      <c r="M103" s="474"/>
      <c r="N103" s="474"/>
      <c r="O103" s="474"/>
      <c r="P103" s="474"/>
      <c r="Q103" s="474"/>
      <c r="R103" s="474"/>
      <c r="S103" s="474"/>
      <c r="T103" s="449"/>
      <c r="U103" s="449"/>
      <c r="V103" s="449"/>
      <c r="W103" s="449"/>
      <c r="X103" s="449"/>
      <c r="Y103" s="449"/>
      <c r="Z103" s="449"/>
      <c r="AA103" s="449"/>
      <c r="AB103" s="449"/>
      <c r="AC103" s="449"/>
      <c r="AD103" s="449"/>
      <c r="AE103" s="449"/>
      <c r="AF103" s="449"/>
      <c r="AG103" s="449"/>
      <c r="AH103" s="449"/>
      <c r="AI103" s="449"/>
      <c r="AJ103" s="449"/>
      <c r="AK103" s="449"/>
      <c r="AL103" s="449"/>
      <c r="AM103" s="449"/>
      <c r="AN103" s="449"/>
      <c r="AO103" s="449"/>
      <c r="AP103" s="449"/>
      <c r="AQ103" s="449"/>
      <c r="AR103" s="449"/>
      <c r="AS103" s="449"/>
      <c r="AT103" s="449"/>
      <c r="AU103" s="449"/>
      <c r="AV103" s="449"/>
      <c r="AW103" s="449"/>
      <c r="AX103" s="449"/>
      <c r="AY103" s="449"/>
      <c r="AZ103" s="449"/>
      <c r="BA103" s="449"/>
      <c r="BB103" s="449"/>
      <c r="BC103" s="449"/>
      <c r="BD103" s="449"/>
      <c r="BE103" s="449"/>
      <c r="BF103" s="449"/>
      <c r="BG103" s="449"/>
      <c r="BH103" s="449"/>
      <c r="BI103" s="449"/>
      <c r="BJ103" s="449"/>
      <c r="BK103" s="449"/>
      <c r="BL103" s="449"/>
      <c r="BM103" s="449"/>
      <c r="BN103" s="449"/>
      <c r="BO103" s="449"/>
      <c r="BP103" s="449"/>
      <c r="BQ103" s="449"/>
      <c r="BR103" s="449"/>
      <c r="BS103" s="449"/>
      <c r="BT103" s="449"/>
      <c r="BU103" s="449"/>
      <c r="BV103" s="449"/>
      <c r="BW103" s="449"/>
      <c r="BX103" s="449"/>
      <c r="BY103" s="449"/>
      <c r="BZ103" s="449"/>
      <c r="CA103" s="449"/>
      <c r="CB103" s="449"/>
      <c r="CC103" s="449"/>
      <c r="CD103" s="449"/>
      <c r="CE103" s="449"/>
      <c r="CF103" s="449"/>
      <c r="CG103" s="449"/>
      <c r="CH103" s="449"/>
      <c r="CI103" s="449"/>
      <c r="CJ103" s="449"/>
      <c r="CK103" s="449"/>
      <c r="CL103" s="449"/>
      <c r="CM103" s="449"/>
      <c r="CN103" s="449"/>
      <c r="CO103" s="449"/>
      <c r="CP103" s="449"/>
      <c r="CQ103" s="449"/>
      <c r="CR103" s="449"/>
      <c r="CS103" s="449"/>
      <c r="CT103" s="449"/>
      <c r="CU103" s="449"/>
      <c r="CV103" s="449"/>
      <c r="CW103" s="449"/>
      <c r="CX103" s="449"/>
      <c r="CY103" s="449"/>
      <c r="CZ103" s="449"/>
      <c r="DA103" s="449"/>
      <c r="DB103" s="449"/>
      <c r="DC103" s="449"/>
      <c r="DD103" s="449"/>
      <c r="DE103" s="449"/>
      <c r="DF103" s="449"/>
      <c r="DG103" s="449"/>
      <c r="DH103" s="449"/>
      <c r="DI103" s="449"/>
      <c r="DJ103" s="449"/>
      <c r="DK103" s="449"/>
      <c r="DL103" s="449"/>
      <c r="DM103" s="449"/>
      <c r="DN103" s="449"/>
      <c r="DO103" s="449"/>
      <c r="DP103" s="449"/>
      <c r="DQ103" s="449"/>
      <c r="DR103" s="449"/>
      <c r="DS103" s="449"/>
      <c r="DT103" s="449"/>
      <c r="DU103" s="449"/>
      <c r="DV103" s="449"/>
      <c r="DW103" s="449"/>
      <c r="DX103" s="449"/>
      <c r="DY103" s="449"/>
      <c r="DZ103" s="449"/>
      <c r="EA103" s="449"/>
      <c r="EB103" s="449"/>
      <c r="EC103" s="449"/>
      <c r="ED103" s="449"/>
      <c r="EE103" s="449"/>
      <c r="EF103" s="449"/>
      <c r="EG103" s="449"/>
      <c r="EH103" s="449"/>
      <c r="EI103" s="449"/>
      <c r="EJ103" s="449"/>
      <c r="EK103" s="449"/>
      <c r="EL103" s="449"/>
      <c r="EM103" s="449"/>
      <c r="EN103" s="449"/>
      <c r="EO103" s="449"/>
      <c r="EP103" s="449"/>
      <c r="EQ103" s="449"/>
      <c r="ER103" s="449"/>
      <c r="ES103" s="449"/>
      <c r="ET103" s="449"/>
      <c r="EU103" s="449"/>
      <c r="EV103" s="449"/>
      <c r="EW103" s="449"/>
      <c r="EX103" s="449"/>
      <c r="EY103" s="449"/>
      <c r="EZ103" s="449"/>
      <c r="FA103" s="449"/>
      <c r="FB103" s="449"/>
      <c r="FC103" s="449"/>
      <c r="FD103" s="449"/>
      <c r="FE103" s="449"/>
      <c r="FF103" s="449"/>
      <c r="FG103" s="449"/>
      <c r="FH103" s="449"/>
      <c r="FI103" s="449"/>
      <c r="FJ103" s="449"/>
      <c r="FK103" s="449"/>
      <c r="FL103" s="449"/>
      <c r="FM103" s="449"/>
      <c r="FN103" s="449"/>
      <c r="FO103" s="449"/>
      <c r="FP103" s="449"/>
      <c r="FQ103" s="449"/>
      <c r="FR103" s="449"/>
      <c r="FS103" s="449"/>
      <c r="FT103" s="449"/>
      <c r="FU103" s="449"/>
      <c r="FV103" s="449"/>
      <c r="FW103" s="449"/>
      <c r="FX103" s="449"/>
      <c r="FY103" s="449"/>
      <c r="FZ103" s="449"/>
      <c r="GA103" s="449"/>
      <c r="GB103" s="449"/>
      <c r="GC103" s="449"/>
      <c r="GD103" s="449"/>
      <c r="GE103" s="449"/>
      <c r="GF103" s="449"/>
      <c r="GG103" s="449"/>
      <c r="GH103" s="449"/>
      <c r="GI103" s="449"/>
      <c r="GJ103" s="449"/>
      <c r="GK103" s="449"/>
      <c r="GL103" s="449"/>
      <c r="GM103" s="449"/>
      <c r="GN103" s="449"/>
      <c r="GO103" s="449"/>
      <c r="GP103" s="449"/>
      <c r="GQ103" s="449"/>
      <c r="GR103" s="449"/>
      <c r="GS103" s="449"/>
      <c r="GT103" s="449"/>
      <c r="GU103" s="449"/>
      <c r="GV103" s="449"/>
      <c r="GW103" s="449"/>
      <c r="GX103" s="449"/>
      <c r="GY103" s="449"/>
      <c r="GZ103" s="449"/>
      <c r="HA103" s="449"/>
      <c r="HB103" s="449"/>
      <c r="HC103" s="449"/>
      <c r="HD103" s="449"/>
      <c r="HE103" s="449"/>
      <c r="HF103" s="449"/>
      <c r="HG103" s="449"/>
      <c r="HH103" s="449"/>
      <c r="HI103" s="449"/>
      <c r="HJ103" s="449"/>
      <c r="HK103" s="449"/>
      <c r="HL103" s="449"/>
      <c r="HM103" s="449"/>
      <c r="HN103" s="449"/>
      <c r="HO103" s="449"/>
      <c r="HP103" s="449"/>
      <c r="HQ103" s="449"/>
      <c r="HR103" s="449"/>
      <c r="HS103" s="449"/>
      <c r="HT103" s="449"/>
      <c r="HU103" s="449"/>
      <c r="HV103" s="449"/>
      <c r="HW103" s="449"/>
      <c r="HX103" s="449"/>
      <c r="HY103" s="449"/>
      <c r="HZ103" s="449"/>
      <c r="IA103" s="449"/>
      <c r="IB103" s="449"/>
      <c r="IC103" s="449"/>
      <c r="ID103" s="449"/>
      <c r="IE103" s="449"/>
      <c r="IF103" s="449"/>
      <c r="IG103" s="449"/>
      <c r="IH103" s="449"/>
      <c r="II103" s="449"/>
      <c r="IJ103" s="449"/>
      <c r="IK103" s="449"/>
      <c r="IL103" s="449"/>
      <c r="IM103" s="449"/>
      <c r="IN103" s="449"/>
      <c r="IO103" s="449"/>
      <c r="IP103" s="449"/>
      <c r="IQ103" s="449"/>
      <c r="IR103" s="449"/>
      <c r="IS103" s="449"/>
      <c r="IT103" s="449"/>
      <c r="IU103" s="449"/>
      <c r="IV103" s="449"/>
      <c r="IW103" s="449"/>
    </row>
    <row r="104" customFormat="false" ht="12.75" hidden="false" customHeight="false" outlineLevel="0" collapsed="false">
      <c r="A104" s="461" t="n">
        <f aca="false">A103+1</f>
        <v>58</v>
      </c>
      <c r="C104" s="493" t="s">
        <v>905</v>
      </c>
      <c r="D104" s="449"/>
      <c r="E104" s="468"/>
      <c r="F104" s="468"/>
      <c r="G104" s="468"/>
      <c r="H104" s="468"/>
      <c r="I104" s="468"/>
      <c r="J104" s="468"/>
      <c r="K104" s="468"/>
      <c r="L104" s="474"/>
      <c r="M104" s="474"/>
      <c r="N104" s="474"/>
      <c r="O104" s="474"/>
      <c r="P104" s="474"/>
      <c r="Q104" s="474"/>
      <c r="R104" s="474"/>
      <c r="S104" s="474"/>
      <c r="T104" s="449"/>
      <c r="U104" s="449"/>
      <c r="V104" s="449"/>
      <c r="W104" s="449"/>
      <c r="X104" s="449"/>
      <c r="Y104" s="449"/>
      <c r="Z104" s="449"/>
      <c r="AA104" s="449"/>
      <c r="AB104" s="449"/>
      <c r="AC104" s="449"/>
      <c r="AD104" s="449"/>
      <c r="AE104" s="449"/>
      <c r="AF104" s="449"/>
      <c r="AG104" s="449"/>
      <c r="AH104" s="449"/>
      <c r="AI104" s="449"/>
      <c r="AJ104" s="449"/>
      <c r="AK104" s="449"/>
      <c r="AL104" s="449"/>
      <c r="AM104" s="449"/>
      <c r="AN104" s="449"/>
      <c r="AO104" s="449"/>
      <c r="AP104" s="449"/>
      <c r="AQ104" s="449"/>
      <c r="AR104" s="449"/>
      <c r="AS104" s="449"/>
      <c r="AT104" s="449"/>
      <c r="AU104" s="449"/>
      <c r="AV104" s="449"/>
      <c r="AW104" s="449"/>
      <c r="AX104" s="449"/>
      <c r="AY104" s="449"/>
      <c r="AZ104" s="449"/>
      <c r="BA104" s="449"/>
      <c r="BB104" s="449"/>
      <c r="BC104" s="449"/>
      <c r="BD104" s="449"/>
      <c r="BE104" s="449"/>
      <c r="BF104" s="449"/>
      <c r="BG104" s="449"/>
      <c r="BH104" s="449"/>
      <c r="BI104" s="449"/>
      <c r="BJ104" s="449"/>
      <c r="BK104" s="449"/>
      <c r="BL104" s="449"/>
      <c r="BM104" s="449"/>
      <c r="BN104" s="449"/>
      <c r="BO104" s="449"/>
      <c r="BP104" s="449"/>
      <c r="BQ104" s="449"/>
      <c r="BR104" s="449"/>
      <c r="BS104" s="449"/>
      <c r="BT104" s="449"/>
      <c r="BU104" s="449"/>
      <c r="BV104" s="449"/>
      <c r="BW104" s="449"/>
      <c r="BX104" s="449"/>
      <c r="BY104" s="449"/>
      <c r="BZ104" s="449"/>
      <c r="CA104" s="449"/>
      <c r="CB104" s="449"/>
      <c r="CC104" s="449"/>
      <c r="CD104" s="449"/>
      <c r="CE104" s="449"/>
      <c r="CF104" s="449"/>
      <c r="CG104" s="449"/>
      <c r="CH104" s="449"/>
      <c r="CI104" s="449"/>
      <c r="CJ104" s="449"/>
      <c r="CK104" s="449"/>
      <c r="CL104" s="449"/>
      <c r="CM104" s="449"/>
      <c r="CN104" s="449"/>
      <c r="CO104" s="449"/>
      <c r="CP104" s="449"/>
      <c r="CQ104" s="449"/>
      <c r="CR104" s="449"/>
      <c r="CS104" s="449"/>
      <c r="CT104" s="449"/>
      <c r="CU104" s="449"/>
      <c r="CV104" s="449"/>
      <c r="CW104" s="449"/>
      <c r="CX104" s="449"/>
      <c r="CY104" s="449"/>
      <c r="CZ104" s="449"/>
      <c r="DA104" s="449"/>
      <c r="DB104" s="449"/>
      <c r="DC104" s="449"/>
      <c r="DD104" s="449"/>
      <c r="DE104" s="449"/>
      <c r="DF104" s="449"/>
      <c r="DG104" s="449"/>
      <c r="DH104" s="449"/>
      <c r="DI104" s="449"/>
      <c r="DJ104" s="449"/>
      <c r="DK104" s="449"/>
      <c r="DL104" s="449"/>
      <c r="DM104" s="449"/>
      <c r="DN104" s="449"/>
      <c r="DO104" s="449"/>
      <c r="DP104" s="449"/>
      <c r="DQ104" s="449"/>
      <c r="DR104" s="449"/>
      <c r="DS104" s="449"/>
      <c r="DT104" s="449"/>
      <c r="DU104" s="449"/>
      <c r="DV104" s="449"/>
      <c r="DW104" s="449"/>
      <c r="DX104" s="449"/>
      <c r="DY104" s="449"/>
      <c r="DZ104" s="449"/>
      <c r="EA104" s="449"/>
      <c r="EB104" s="449"/>
      <c r="EC104" s="449"/>
      <c r="ED104" s="449"/>
      <c r="EE104" s="449"/>
      <c r="EF104" s="449"/>
      <c r="EG104" s="449"/>
      <c r="EH104" s="449"/>
      <c r="EI104" s="449"/>
      <c r="EJ104" s="449"/>
      <c r="EK104" s="449"/>
      <c r="EL104" s="449"/>
      <c r="EM104" s="449"/>
      <c r="EN104" s="449"/>
      <c r="EO104" s="449"/>
      <c r="EP104" s="449"/>
      <c r="EQ104" s="449"/>
      <c r="ER104" s="449"/>
      <c r="ES104" s="449"/>
      <c r="ET104" s="449"/>
      <c r="EU104" s="449"/>
      <c r="EV104" s="449"/>
      <c r="EW104" s="449"/>
      <c r="EX104" s="449"/>
      <c r="EY104" s="449"/>
      <c r="EZ104" s="449"/>
      <c r="FA104" s="449"/>
      <c r="FB104" s="449"/>
      <c r="FC104" s="449"/>
      <c r="FD104" s="449"/>
      <c r="FE104" s="449"/>
      <c r="FF104" s="449"/>
      <c r="FG104" s="449"/>
      <c r="FH104" s="449"/>
      <c r="FI104" s="449"/>
      <c r="FJ104" s="449"/>
      <c r="FK104" s="449"/>
      <c r="FL104" s="449"/>
      <c r="FM104" s="449"/>
      <c r="FN104" s="449"/>
      <c r="FO104" s="449"/>
      <c r="FP104" s="449"/>
      <c r="FQ104" s="449"/>
      <c r="FR104" s="449"/>
      <c r="FS104" s="449"/>
      <c r="FT104" s="449"/>
      <c r="FU104" s="449"/>
      <c r="FV104" s="449"/>
      <c r="FW104" s="449"/>
      <c r="FX104" s="449"/>
      <c r="FY104" s="449"/>
      <c r="FZ104" s="449"/>
      <c r="GA104" s="449"/>
      <c r="GB104" s="449"/>
      <c r="GC104" s="449"/>
      <c r="GD104" s="449"/>
      <c r="GE104" s="449"/>
      <c r="GF104" s="449"/>
      <c r="GG104" s="449"/>
      <c r="GH104" s="449"/>
      <c r="GI104" s="449"/>
      <c r="GJ104" s="449"/>
      <c r="GK104" s="449"/>
      <c r="GL104" s="449"/>
      <c r="GM104" s="449"/>
      <c r="GN104" s="449"/>
      <c r="GO104" s="449"/>
      <c r="GP104" s="449"/>
      <c r="GQ104" s="449"/>
      <c r="GR104" s="449"/>
      <c r="GS104" s="449"/>
      <c r="GT104" s="449"/>
      <c r="GU104" s="449"/>
      <c r="GV104" s="449"/>
      <c r="GW104" s="449"/>
      <c r="GX104" s="449"/>
      <c r="GY104" s="449"/>
      <c r="GZ104" s="449"/>
      <c r="HA104" s="449"/>
      <c r="HB104" s="449"/>
      <c r="HC104" s="449"/>
      <c r="HD104" s="449"/>
      <c r="HE104" s="449"/>
      <c r="HF104" s="449"/>
      <c r="HG104" s="449"/>
      <c r="HH104" s="449"/>
      <c r="HI104" s="449"/>
      <c r="HJ104" s="449"/>
      <c r="HK104" s="449"/>
      <c r="HL104" s="449"/>
      <c r="HM104" s="449"/>
      <c r="HN104" s="449"/>
      <c r="HO104" s="449"/>
      <c r="HP104" s="449"/>
      <c r="HQ104" s="449"/>
      <c r="HR104" s="449"/>
      <c r="HS104" s="449"/>
      <c r="HT104" s="449"/>
      <c r="HU104" s="449"/>
      <c r="HV104" s="449"/>
      <c r="HW104" s="449"/>
      <c r="HX104" s="449"/>
      <c r="HY104" s="449"/>
      <c r="HZ104" s="449"/>
      <c r="IA104" s="449"/>
      <c r="IB104" s="449"/>
      <c r="IC104" s="449"/>
      <c r="ID104" s="449"/>
      <c r="IE104" s="449"/>
      <c r="IF104" s="449"/>
      <c r="IG104" s="449"/>
      <c r="IH104" s="449"/>
      <c r="II104" s="449"/>
      <c r="IJ104" s="449"/>
      <c r="IK104" s="449"/>
      <c r="IL104" s="449"/>
      <c r="IM104" s="449"/>
      <c r="IN104" s="449"/>
      <c r="IO104" s="449"/>
      <c r="IP104" s="449"/>
      <c r="IQ104" s="449"/>
      <c r="IR104" s="449"/>
      <c r="IS104" s="449"/>
      <c r="IT104" s="449"/>
      <c r="IU104" s="449"/>
      <c r="IV104" s="449"/>
      <c r="IW104" s="449"/>
    </row>
    <row r="105" customFormat="false" ht="12.75" hidden="false" customHeight="false" outlineLevel="0" collapsed="false">
      <c r="A105" s="461" t="n">
        <f aca="false">A104+1</f>
        <v>59</v>
      </c>
      <c r="C105" s="493" t="s">
        <v>905</v>
      </c>
      <c r="D105" s="449"/>
      <c r="E105" s="468"/>
      <c r="F105" s="468"/>
      <c r="G105" s="468"/>
      <c r="H105" s="468"/>
      <c r="I105" s="468"/>
      <c r="J105" s="468"/>
      <c r="K105" s="468"/>
      <c r="L105" s="474"/>
      <c r="M105" s="474"/>
      <c r="N105" s="474"/>
      <c r="O105" s="474"/>
      <c r="P105" s="474"/>
      <c r="Q105" s="474"/>
      <c r="R105" s="474"/>
      <c r="S105" s="474"/>
      <c r="T105" s="449"/>
      <c r="U105" s="449"/>
      <c r="V105" s="449"/>
      <c r="W105" s="449"/>
      <c r="X105" s="449"/>
      <c r="Y105" s="449"/>
      <c r="Z105" s="449"/>
      <c r="AA105" s="449"/>
      <c r="AB105" s="449"/>
      <c r="AC105" s="449"/>
      <c r="AD105" s="449"/>
      <c r="AE105" s="449"/>
      <c r="AF105" s="449"/>
      <c r="AG105" s="449"/>
      <c r="AH105" s="449"/>
      <c r="AI105" s="449"/>
      <c r="AJ105" s="449"/>
      <c r="AK105" s="449"/>
      <c r="AL105" s="449"/>
      <c r="AM105" s="449"/>
      <c r="AN105" s="449"/>
      <c r="AO105" s="449"/>
      <c r="AP105" s="449"/>
      <c r="AQ105" s="449"/>
      <c r="AR105" s="449"/>
      <c r="AS105" s="449"/>
      <c r="AT105" s="449"/>
      <c r="AU105" s="449"/>
      <c r="AV105" s="449"/>
      <c r="AW105" s="449"/>
      <c r="AX105" s="449"/>
      <c r="AY105" s="449"/>
      <c r="AZ105" s="449"/>
      <c r="BA105" s="449"/>
      <c r="BB105" s="449"/>
      <c r="BC105" s="449"/>
      <c r="BD105" s="449"/>
      <c r="BE105" s="449"/>
      <c r="BF105" s="449"/>
      <c r="BG105" s="449"/>
      <c r="BH105" s="449"/>
      <c r="BI105" s="449"/>
      <c r="BJ105" s="449"/>
      <c r="BK105" s="449"/>
      <c r="BL105" s="449"/>
      <c r="BM105" s="449"/>
      <c r="BN105" s="449"/>
      <c r="BO105" s="449"/>
      <c r="BP105" s="449"/>
      <c r="BQ105" s="449"/>
      <c r="BR105" s="449"/>
      <c r="BS105" s="449"/>
      <c r="BT105" s="449"/>
      <c r="BU105" s="449"/>
      <c r="BV105" s="449"/>
      <c r="BW105" s="449"/>
      <c r="BX105" s="449"/>
      <c r="BY105" s="449"/>
      <c r="BZ105" s="449"/>
      <c r="CA105" s="449"/>
      <c r="CB105" s="449"/>
      <c r="CC105" s="449"/>
      <c r="CD105" s="449"/>
      <c r="CE105" s="449"/>
      <c r="CF105" s="449"/>
      <c r="CG105" s="449"/>
      <c r="CH105" s="449"/>
      <c r="CI105" s="449"/>
      <c r="CJ105" s="449"/>
      <c r="CK105" s="449"/>
      <c r="CL105" s="449"/>
      <c r="CM105" s="449"/>
      <c r="CN105" s="449"/>
      <c r="CO105" s="449"/>
      <c r="CP105" s="449"/>
      <c r="CQ105" s="449"/>
      <c r="CR105" s="449"/>
      <c r="CS105" s="449"/>
      <c r="CT105" s="449"/>
      <c r="CU105" s="449"/>
      <c r="CV105" s="449"/>
      <c r="CW105" s="449"/>
      <c r="CX105" s="449"/>
      <c r="CY105" s="449"/>
      <c r="CZ105" s="449"/>
      <c r="DA105" s="449"/>
      <c r="DB105" s="449"/>
      <c r="DC105" s="449"/>
      <c r="DD105" s="449"/>
      <c r="DE105" s="449"/>
      <c r="DF105" s="449"/>
      <c r="DG105" s="449"/>
      <c r="DH105" s="449"/>
      <c r="DI105" s="449"/>
      <c r="DJ105" s="449"/>
      <c r="DK105" s="449"/>
      <c r="DL105" s="449"/>
      <c r="DM105" s="449"/>
      <c r="DN105" s="449"/>
      <c r="DO105" s="449"/>
      <c r="DP105" s="449"/>
      <c r="DQ105" s="449"/>
      <c r="DR105" s="449"/>
      <c r="DS105" s="449"/>
      <c r="DT105" s="449"/>
      <c r="DU105" s="449"/>
      <c r="DV105" s="449"/>
      <c r="DW105" s="449"/>
      <c r="DX105" s="449"/>
      <c r="DY105" s="449"/>
      <c r="DZ105" s="449"/>
      <c r="EA105" s="449"/>
      <c r="EB105" s="449"/>
      <c r="EC105" s="449"/>
      <c r="ED105" s="449"/>
      <c r="EE105" s="449"/>
      <c r="EF105" s="449"/>
      <c r="EG105" s="449"/>
      <c r="EH105" s="449"/>
      <c r="EI105" s="449"/>
      <c r="EJ105" s="449"/>
      <c r="EK105" s="449"/>
      <c r="EL105" s="449"/>
      <c r="EM105" s="449"/>
      <c r="EN105" s="449"/>
      <c r="EO105" s="449"/>
      <c r="EP105" s="449"/>
      <c r="EQ105" s="449"/>
      <c r="ER105" s="449"/>
      <c r="ES105" s="449"/>
      <c r="ET105" s="449"/>
      <c r="EU105" s="449"/>
      <c r="EV105" s="449"/>
      <c r="EW105" s="449"/>
      <c r="EX105" s="449"/>
      <c r="EY105" s="449"/>
      <c r="EZ105" s="449"/>
      <c r="FA105" s="449"/>
      <c r="FB105" s="449"/>
      <c r="FC105" s="449"/>
      <c r="FD105" s="449"/>
      <c r="FE105" s="449"/>
      <c r="FF105" s="449"/>
      <c r="FG105" s="449"/>
      <c r="FH105" s="449"/>
      <c r="FI105" s="449"/>
      <c r="FJ105" s="449"/>
      <c r="FK105" s="449"/>
      <c r="FL105" s="449"/>
      <c r="FM105" s="449"/>
      <c r="FN105" s="449"/>
      <c r="FO105" s="449"/>
      <c r="FP105" s="449"/>
      <c r="FQ105" s="449"/>
      <c r="FR105" s="449"/>
      <c r="FS105" s="449"/>
      <c r="FT105" s="449"/>
      <c r="FU105" s="449"/>
      <c r="FV105" s="449"/>
      <c r="FW105" s="449"/>
      <c r="FX105" s="449"/>
      <c r="FY105" s="449"/>
      <c r="FZ105" s="449"/>
      <c r="GA105" s="449"/>
      <c r="GB105" s="449"/>
      <c r="GC105" s="449"/>
      <c r="GD105" s="449"/>
      <c r="GE105" s="449"/>
      <c r="GF105" s="449"/>
      <c r="GG105" s="449"/>
      <c r="GH105" s="449"/>
      <c r="GI105" s="449"/>
      <c r="GJ105" s="449"/>
      <c r="GK105" s="449"/>
      <c r="GL105" s="449"/>
      <c r="GM105" s="449"/>
      <c r="GN105" s="449"/>
      <c r="GO105" s="449"/>
      <c r="GP105" s="449"/>
      <c r="GQ105" s="449"/>
      <c r="GR105" s="449"/>
      <c r="GS105" s="449"/>
      <c r="GT105" s="449"/>
      <c r="GU105" s="449"/>
      <c r="GV105" s="449"/>
      <c r="GW105" s="449"/>
      <c r="GX105" s="449"/>
      <c r="GY105" s="449"/>
      <c r="GZ105" s="449"/>
      <c r="HA105" s="449"/>
      <c r="HB105" s="449"/>
      <c r="HC105" s="449"/>
      <c r="HD105" s="449"/>
      <c r="HE105" s="449"/>
      <c r="HF105" s="449"/>
      <c r="HG105" s="449"/>
      <c r="HH105" s="449"/>
      <c r="HI105" s="449"/>
      <c r="HJ105" s="449"/>
      <c r="HK105" s="449"/>
      <c r="HL105" s="449"/>
      <c r="HM105" s="449"/>
      <c r="HN105" s="449"/>
      <c r="HO105" s="449"/>
      <c r="HP105" s="449"/>
      <c r="HQ105" s="449"/>
      <c r="HR105" s="449"/>
      <c r="HS105" s="449"/>
      <c r="HT105" s="449"/>
      <c r="HU105" s="449"/>
      <c r="HV105" s="449"/>
      <c r="HW105" s="449"/>
      <c r="HX105" s="449"/>
      <c r="HY105" s="449"/>
      <c r="HZ105" s="449"/>
      <c r="IA105" s="449"/>
      <c r="IB105" s="449"/>
      <c r="IC105" s="449"/>
      <c r="ID105" s="449"/>
      <c r="IE105" s="449"/>
      <c r="IF105" s="449"/>
      <c r="IG105" s="449"/>
      <c r="IH105" s="449"/>
      <c r="II105" s="449"/>
      <c r="IJ105" s="449"/>
      <c r="IK105" s="449"/>
      <c r="IL105" s="449"/>
      <c r="IM105" s="449"/>
      <c r="IN105" s="449"/>
      <c r="IO105" s="449"/>
      <c r="IP105" s="449"/>
      <c r="IQ105" s="449"/>
      <c r="IR105" s="449"/>
      <c r="IS105" s="449"/>
      <c r="IT105" s="449"/>
      <c r="IU105" s="449"/>
      <c r="IV105" s="449"/>
      <c r="IW105" s="449"/>
    </row>
    <row r="106" customFormat="false" ht="12.75" hidden="false" customHeight="false" outlineLevel="0" collapsed="false">
      <c r="A106" s="461" t="n">
        <f aca="false">A105+1</f>
        <v>60</v>
      </c>
      <c r="C106" s="493" t="s">
        <v>905</v>
      </c>
      <c r="D106" s="449"/>
      <c r="E106" s="468"/>
      <c r="F106" s="468"/>
      <c r="G106" s="468"/>
      <c r="H106" s="468"/>
      <c r="I106" s="468"/>
      <c r="J106" s="468"/>
      <c r="K106" s="468"/>
      <c r="L106" s="474"/>
      <c r="M106" s="474"/>
      <c r="N106" s="474"/>
      <c r="O106" s="474"/>
      <c r="P106" s="474"/>
      <c r="Q106" s="474"/>
      <c r="R106" s="474"/>
      <c r="S106" s="474"/>
      <c r="T106" s="449"/>
      <c r="U106" s="449"/>
      <c r="V106" s="449"/>
      <c r="W106" s="449"/>
      <c r="X106" s="449"/>
      <c r="Y106" s="449"/>
      <c r="Z106" s="449"/>
      <c r="AA106" s="449"/>
      <c r="AB106" s="449"/>
      <c r="AC106" s="449"/>
      <c r="AD106" s="449"/>
      <c r="AE106" s="449"/>
      <c r="AF106" s="449"/>
      <c r="AG106" s="449"/>
      <c r="AH106" s="449"/>
      <c r="AI106" s="449"/>
      <c r="AJ106" s="449"/>
      <c r="AK106" s="449"/>
      <c r="AL106" s="449"/>
      <c r="AM106" s="449"/>
      <c r="AN106" s="449"/>
      <c r="AO106" s="449"/>
      <c r="AP106" s="449"/>
      <c r="AQ106" s="449"/>
      <c r="AR106" s="449"/>
      <c r="AS106" s="449"/>
      <c r="AT106" s="449"/>
      <c r="AU106" s="449"/>
      <c r="AV106" s="449"/>
      <c r="AW106" s="449"/>
      <c r="AX106" s="449"/>
      <c r="AY106" s="449"/>
      <c r="AZ106" s="449"/>
      <c r="BA106" s="449"/>
      <c r="BB106" s="449"/>
      <c r="BC106" s="449"/>
      <c r="BD106" s="449"/>
      <c r="BE106" s="449"/>
      <c r="BF106" s="449"/>
      <c r="BG106" s="449"/>
      <c r="BH106" s="449"/>
      <c r="BI106" s="449"/>
      <c r="BJ106" s="449"/>
      <c r="BK106" s="449"/>
      <c r="BL106" s="449"/>
      <c r="BM106" s="449"/>
      <c r="BN106" s="449"/>
      <c r="BO106" s="449"/>
      <c r="BP106" s="449"/>
      <c r="BQ106" s="449"/>
      <c r="BR106" s="449"/>
      <c r="BS106" s="449"/>
      <c r="BT106" s="449"/>
      <c r="BU106" s="449"/>
      <c r="BV106" s="449"/>
      <c r="BW106" s="449"/>
      <c r="BX106" s="449"/>
      <c r="BY106" s="449"/>
      <c r="BZ106" s="449"/>
      <c r="CA106" s="449"/>
      <c r="CB106" s="449"/>
      <c r="CC106" s="449"/>
      <c r="CD106" s="449"/>
      <c r="CE106" s="449"/>
      <c r="CF106" s="449"/>
      <c r="CG106" s="449"/>
      <c r="CH106" s="449"/>
      <c r="CI106" s="449"/>
      <c r="CJ106" s="449"/>
      <c r="CK106" s="449"/>
      <c r="CL106" s="449"/>
      <c r="CM106" s="449"/>
      <c r="CN106" s="449"/>
      <c r="CO106" s="449"/>
      <c r="CP106" s="449"/>
      <c r="CQ106" s="449"/>
      <c r="CR106" s="449"/>
      <c r="CS106" s="449"/>
      <c r="CT106" s="449"/>
      <c r="CU106" s="449"/>
      <c r="CV106" s="449"/>
      <c r="CW106" s="449"/>
      <c r="CX106" s="449"/>
      <c r="CY106" s="449"/>
      <c r="CZ106" s="449"/>
      <c r="DA106" s="449"/>
      <c r="DB106" s="449"/>
      <c r="DC106" s="449"/>
      <c r="DD106" s="449"/>
      <c r="DE106" s="449"/>
      <c r="DF106" s="449"/>
      <c r="DG106" s="449"/>
      <c r="DH106" s="449"/>
      <c r="DI106" s="449"/>
      <c r="DJ106" s="449"/>
      <c r="DK106" s="449"/>
      <c r="DL106" s="449"/>
      <c r="DM106" s="449"/>
      <c r="DN106" s="449"/>
      <c r="DO106" s="449"/>
      <c r="DP106" s="449"/>
      <c r="DQ106" s="449"/>
      <c r="DR106" s="449"/>
      <c r="DS106" s="449"/>
      <c r="DT106" s="449"/>
      <c r="DU106" s="449"/>
      <c r="DV106" s="449"/>
      <c r="DW106" s="449"/>
      <c r="DX106" s="449"/>
      <c r="DY106" s="449"/>
      <c r="DZ106" s="449"/>
      <c r="EA106" s="449"/>
      <c r="EB106" s="449"/>
      <c r="EC106" s="449"/>
      <c r="ED106" s="449"/>
      <c r="EE106" s="449"/>
      <c r="EF106" s="449"/>
      <c r="EG106" s="449"/>
      <c r="EH106" s="449"/>
      <c r="EI106" s="449"/>
      <c r="EJ106" s="449"/>
      <c r="EK106" s="449"/>
      <c r="EL106" s="449"/>
      <c r="EM106" s="449"/>
      <c r="EN106" s="449"/>
      <c r="EO106" s="449"/>
      <c r="EP106" s="449"/>
      <c r="EQ106" s="449"/>
      <c r="ER106" s="449"/>
      <c r="ES106" s="449"/>
      <c r="ET106" s="449"/>
      <c r="EU106" s="449"/>
      <c r="EV106" s="449"/>
      <c r="EW106" s="449"/>
      <c r="EX106" s="449"/>
      <c r="EY106" s="449"/>
      <c r="EZ106" s="449"/>
      <c r="FA106" s="449"/>
      <c r="FB106" s="449"/>
      <c r="FC106" s="449"/>
      <c r="FD106" s="449"/>
      <c r="FE106" s="449"/>
      <c r="FF106" s="449"/>
      <c r="FG106" s="449"/>
      <c r="FH106" s="449"/>
      <c r="FI106" s="449"/>
      <c r="FJ106" s="449"/>
      <c r="FK106" s="449"/>
      <c r="FL106" s="449"/>
      <c r="FM106" s="449"/>
      <c r="FN106" s="449"/>
      <c r="FO106" s="449"/>
      <c r="FP106" s="449"/>
      <c r="FQ106" s="449"/>
      <c r="FR106" s="449"/>
      <c r="FS106" s="449"/>
      <c r="FT106" s="449"/>
      <c r="FU106" s="449"/>
      <c r="FV106" s="449"/>
      <c r="FW106" s="449"/>
      <c r="FX106" s="449"/>
      <c r="FY106" s="449"/>
      <c r="FZ106" s="449"/>
      <c r="GA106" s="449"/>
      <c r="GB106" s="449"/>
      <c r="GC106" s="449"/>
      <c r="GD106" s="449"/>
      <c r="GE106" s="449"/>
      <c r="GF106" s="449"/>
      <c r="GG106" s="449"/>
      <c r="GH106" s="449"/>
      <c r="GI106" s="449"/>
      <c r="GJ106" s="449"/>
      <c r="GK106" s="449"/>
      <c r="GL106" s="449"/>
      <c r="GM106" s="449"/>
      <c r="GN106" s="449"/>
      <c r="GO106" s="449"/>
      <c r="GP106" s="449"/>
      <c r="GQ106" s="449"/>
      <c r="GR106" s="449"/>
      <c r="GS106" s="449"/>
      <c r="GT106" s="449"/>
      <c r="GU106" s="449"/>
      <c r="GV106" s="449"/>
      <c r="GW106" s="449"/>
      <c r="GX106" s="449"/>
      <c r="GY106" s="449"/>
      <c r="GZ106" s="449"/>
      <c r="HA106" s="449"/>
      <c r="HB106" s="449"/>
      <c r="HC106" s="449"/>
      <c r="HD106" s="449"/>
      <c r="HE106" s="449"/>
      <c r="HF106" s="449"/>
      <c r="HG106" s="449"/>
      <c r="HH106" s="449"/>
      <c r="HI106" s="449"/>
      <c r="HJ106" s="449"/>
      <c r="HK106" s="449"/>
      <c r="HL106" s="449"/>
      <c r="HM106" s="449"/>
      <c r="HN106" s="449"/>
      <c r="HO106" s="449"/>
      <c r="HP106" s="449"/>
      <c r="HQ106" s="449"/>
      <c r="HR106" s="449"/>
      <c r="HS106" s="449"/>
      <c r="HT106" s="449"/>
      <c r="HU106" s="449"/>
      <c r="HV106" s="449"/>
      <c r="HW106" s="449"/>
      <c r="HX106" s="449"/>
      <c r="HY106" s="449"/>
      <c r="HZ106" s="449"/>
      <c r="IA106" s="449"/>
      <c r="IB106" s="449"/>
      <c r="IC106" s="449"/>
      <c r="ID106" s="449"/>
      <c r="IE106" s="449"/>
      <c r="IF106" s="449"/>
      <c r="IG106" s="449"/>
      <c r="IH106" s="449"/>
      <c r="II106" s="449"/>
      <c r="IJ106" s="449"/>
      <c r="IK106" s="449"/>
      <c r="IL106" s="449"/>
      <c r="IM106" s="449"/>
      <c r="IN106" s="449"/>
      <c r="IO106" s="449"/>
      <c r="IP106" s="449"/>
      <c r="IQ106" s="449"/>
      <c r="IR106" s="449"/>
      <c r="IS106" s="449"/>
      <c r="IT106" s="449"/>
      <c r="IU106" s="449"/>
      <c r="IV106" s="449"/>
      <c r="IW106" s="449"/>
    </row>
    <row r="107" customFormat="false" ht="12.75" hidden="false" customHeight="false" outlineLevel="0" collapsed="false">
      <c r="A107" s="461" t="n">
        <f aca="false">A106+1</f>
        <v>61</v>
      </c>
      <c r="C107" s="493" t="s">
        <v>905</v>
      </c>
      <c r="D107" s="449"/>
      <c r="E107" s="468"/>
      <c r="F107" s="468"/>
      <c r="G107" s="468"/>
      <c r="H107" s="468"/>
      <c r="I107" s="468"/>
      <c r="J107" s="468"/>
      <c r="K107" s="468"/>
      <c r="L107" s="474"/>
      <c r="M107" s="474"/>
      <c r="N107" s="474"/>
      <c r="O107" s="474"/>
      <c r="P107" s="474"/>
      <c r="Q107" s="474"/>
      <c r="R107" s="474"/>
      <c r="S107" s="474"/>
      <c r="T107" s="449"/>
      <c r="U107" s="449"/>
      <c r="V107" s="449"/>
      <c r="W107" s="449"/>
      <c r="X107" s="449"/>
      <c r="Y107" s="449"/>
      <c r="Z107" s="449"/>
      <c r="AA107" s="449"/>
      <c r="AB107" s="449"/>
      <c r="AC107" s="449"/>
      <c r="AD107" s="449"/>
      <c r="AE107" s="449"/>
      <c r="AF107" s="449"/>
      <c r="AG107" s="449"/>
      <c r="AH107" s="449"/>
      <c r="AI107" s="449"/>
      <c r="AJ107" s="449"/>
      <c r="AK107" s="449"/>
      <c r="AL107" s="449"/>
      <c r="AM107" s="449"/>
      <c r="AN107" s="449"/>
      <c r="AO107" s="449"/>
      <c r="AP107" s="449"/>
      <c r="AQ107" s="449"/>
      <c r="AR107" s="449"/>
      <c r="AS107" s="449"/>
      <c r="AT107" s="449"/>
      <c r="AU107" s="449"/>
      <c r="AV107" s="449"/>
      <c r="AW107" s="449"/>
      <c r="AX107" s="449"/>
      <c r="AY107" s="449"/>
      <c r="AZ107" s="449"/>
      <c r="BA107" s="449"/>
      <c r="BB107" s="449"/>
      <c r="BC107" s="449"/>
      <c r="BD107" s="449"/>
      <c r="BE107" s="449"/>
      <c r="BF107" s="449"/>
      <c r="BG107" s="449"/>
      <c r="BH107" s="449"/>
      <c r="BI107" s="449"/>
      <c r="BJ107" s="449"/>
      <c r="BK107" s="449"/>
      <c r="BL107" s="449"/>
      <c r="BM107" s="449"/>
      <c r="BN107" s="449"/>
      <c r="BO107" s="449"/>
      <c r="BP107" s="449"/>
      <c r="BQ107" s="449"/>
      <c r="BR107" s="449"/>
      <c r="BS107" s="449"/>
      <c r="BT107" s="449"/>
      <c r="BU107" s="449"/>
      <c r="BV107" s="449"/>
      <c r="BW107" s="449"/>
      <c r="BX107" s="449"/>
      <c r="BY107" s="449"/>
      <c r="BZ107" s="449"/>
      <c r="CA107" s="449"/>
      <c r="CB107" s="449"/>
      <c r="CC107" s="449"/>
      <c r="CD107" s="449"/>
      <c r="CE107" s="449"/>
      <c r="CF107" s="449"/>
      <c r="CG107" s="449"/>
      <c r="CH107" s="449"/>
      <c r="CI107" s="449"/>
      <c r="CJ107" s="449"/>
      <c r="CK107" s="449"/>
      <c r="CL107" s="449"/>
      <c r="CM107" s="449"/>
      <c r="CN107" s="449"/>
      <c r="CO107" s="449"/>
      <c r="CP107" s="449"/>
      <c r="CQ107" s="449"/>
      <c r="CR107" s="449"/>
      <c r="CS107" s="449"/>
      <c r="CT107" s="449"/>
      <c r="CU107" s="449"/>
      <c r="CV107" s="449"/>
      <c r="CW107" s="449"/>
      <c r="CX107" s="449"/>
      <c r="CY107" s="449"/>
      <c r="CZ107" s="449"/>
      <c r="DA107" s="449"/>
      <c r="DB107" s="449"/>
      <c r="DC107" s="449"/>
      <c r="DD107" s="449"/>
      <c r="DE107" s="449"/>
      <c r="DF107" s="449"/>
      <c r="DG107" s="449"/>
      <c r="DH107" s="449"/>
      <c r="DI107" s="449"/>
      <c r="DJ107" s="449"/>
      <c r="DK107" s="449"/>
      <c r="DL107" s="449"/>
      <c r="DM107" s="449"/>
      <c r="DN107" s="449"/>
      <c r="DO107" s="449"/>
      <c r="DP107" s="449"/>
      <c r="DQ107" s="449"/>
      <c r="DR107" s="449"/>
      <c r="DS107" s="449"/>
      <c r="DT107" s="449"/>
      <c r="DU107" s="449"/>
      <c r="DV107" s="449"/>
      <c r="DW107" s="449"/>
      <c r="DX107" s="449"/>
      <c r="DY107" s="449"/>
      <c r="DZ107" s="449"/>
      <c r="EA107" s="449"/>
      <c r="EB107" s="449"/>
      <c r="EC107" s="449"/>
      <c r="ED107" s="449"/>
      <c r="EE107" s="449"/>
      <c r="EF107" s="449"/>
      <c r="EG107" s="449"/>
      <c r="EH107" s="449"/>
      <c r="EI107" s="449"/>
      <c r="EJ107" s="449"/>
      <c r="EK107" s="449"/>
      <c r="EL107" s="449"/>
      <c r="EM107" s="449"/>
      <c r="EN107" s="449"/>
      <c r="EO107" s="449"/>
      <c r="EP107" s="449"/>
      <c r="EQ107" s="449"/>
      <c r="ER107" s="449"/>
      <c r="ES107" s="449"/>
      <c r="ET107" s="449"/>
      <c r="EU107" s="449"/>
      <c r="EV107" s="449"/>
      <c r="EW107" s="449"/>
      <c r="EX107" s="449"/>
      <c r="EY107" s="449"/>
      <c r="EZ107" s="449"/>
      <c r="FA107" s="449"/>
      <c r="FB107" s="449"/>
      <c r="FC107" s="449"/>
      <c r="FD107" s="449"/>
      <c r="FE107" s="449"/>
      <c r="FF107" s="449"/>
      <c r="FG107" s="449"/>
      <c r="FH107" s="449"/>
      <c r="FI107" s="449"/>
      <c r="FJ107" s="449"/>
      <c r="FK107" s="449"/>
      <c r="FL107" s="449"/>
      <c r="FM107" s="449"/>
      <c r="FN107" s="449"/>
      <c r="FO107" s="449"/>
      <c r="FP107" s="449"/>
      <c r="FQ107" s="449"/>
      <c r="FR107" s="449"/>
      <c r="FS107" s="449"/>
      <c r="FT107" s="449"/>
      <c r="FU107" s="449"/>
      <c r="FV107" s="449"/>
      <c r="FW107" s="449"/>
      <c r="FX107" s="449"/>
      <c r="FY107" s="449"/>
      <c r="FZ107" s="449"/>
      <c r="GA107" s="449"/>
      <c r="GB107" s="449"/>
      <c r="GC107" s="449"/>
      <c r="GD107" s="449"/>
      <c r="GE107" s="449"/>
      <c r="GF107" s="449"/>
      <c r="GG107" s="449"/>
      <c r="GH107" s="449"/>
      <c r="GI107" s="449"/>
      <c r="GJ107" s="449"/>
      <c r="GK107" s="449"/>
      <c r="GL107" s="449"/>
      <c r="GM107" s="449"/>
      <c r="GN107" s="449"/>
      <c r="GO107" s="449"/>
      <c r="GP107" s="449"/>
      <c r="GQ107" s="449"/>
      <c r="GR107" s="449"/>
      <c r="GS107" s="449"/>
      <c r="GT107" s="449"/>
      <c r="GU107" s="449"/>
      <c r="GV107" s="449"/>
      <c r="GW107" s="449"/>
      <c r="GX107" s="449"/>
      <c r="GY107" s="449"/>
      <c r="GZ107" s="449"/>
      <c r="HA107" s="449"/>
      <c r="HB107" s="449"/>
      <c r="HC107" s="449"/>
      <c r="HD107" s="449"/>
      <c r="HE107" s="449"/>
      <c r="HF107" s="449"/>
      <c r="HG107" s="449"/>
      <c r="HH107" s="449"/>
      <c r="HI107" s="449"/>
      <c r="HJ107" s="449"/>
      <c r="HK107" s="449"/>
      <c r="HL107" s="449"/>
      <c r="HM107" s="449"/>
      <c r="HN107" s="449"/>
      <c r="HO107" s="449"/>
      <c r="HP107" s="449"/>
      <c r="HQ107" s="449"/>
      <c r="HR107" s="449"/>
      <c r="HS107" s="449"/>
      <c r="HT107" s="449"/>
      <c r="HU107" s="449"/>
      <c r="HV107" s="449"/>
      <c r="HW107" s="449"/>
      <c r="HX107" s="449"/>
      <c r="HY107" s="449"/>
      <c r="HZ107" s="449"/>
      <c r="IA107" s="449"/>
      <c r="IB107" s="449"/>
      <c r="IC107" s="449"/>
      <c r="ID107" s="449"/>
      <c r="IE107" s="449"/>
      <c r="IF107" s="449"/>
      <c r="IG107" s="449"/>
      <c r="IH107" s="449"/>
      <c r="II107" s="449"/>
      <c r="IJ107" s="449"/>
      <c r="IK107" s="449"/>
      <c r="IL107" s="449"/>
      <c r="IM107" s="449"/>
      <c r="IN107" s="449"/>
      <c r="IO107" s="449"/>
      <c r="IP107" s="449"/>
      <c r="IQ107" s="449"/>
      <c r="IR107" s="449"/>
      <c r="IS107" s="449"/>
      <c r="IT107" s="449"/>
      <c r="IU107" s="449"/>
      <c r="IV107" s="449"/>
      <c r="IW107" s="449"/>
    </row>
    <row r="108" customFormat="false" ht="12.75" hidden="false" customHeight="false" outlineLevel="0" collapsed="false">
      <c r="A108" s="461" t="n">
        <f aca="false">A107+1</f>
        <v>62</v>
      </c>
      <c r="C108" s="493" t="s">
        <v>905</v>
      </c>
      <c r="D108" s="449"/>
      <c r="E108" s="468"/>
      <c r="F108" s="468"/>
      <c r="G108" s="468"/>
      <c r="H108" s="468"/>
      <c r="I108" s="468"/>
      <c r="J108" s="468"/>
      <c r="K108" s="468"/>
      <c r="L108" s="474"/>
      <c r="M108" s="474"/>
      <c r="N108" s="474"/>
      <c r="O108" s="474"/>
      <c r="P108" s="474"/>
      <c r="Q108" s="474"/>
      <c r="R108" s="474"/>
      <c r="S108" s="474"/>
      <c r="T108" s="449"/>
      <c r="U108" s="449"/>
      <c r="V108" s="449"/>
      <c r="W108" s="449"/>
      <c r="X108" s="449"/>
      <c r="Y108" s="449"/>
      <c r="Z108" s="449"/>
      <c r="AA108" s="449"/>
      <c r="AB108" s="449"/>
      <c r="AC108" s="449"/>
      <c r="AD108" s="449"/>
      <c r="AE108" s="449"/>
      <c r="AF108" s="449"/>
      <c r="AG108" s="449"/>
      <c r="AH108" s="449"/>
      <c r="AI108" s="449"/>
      <c r="AJ108" s="449"/>
      <c r="AK108" s="449"/>
      <c r="AL108" s="449"/>
      <c r="AM108" s="449"/>
      <c r="AN108" s="449"/>
      <c r="AO108" s="449"/>
      <c r="AP108" s="449"/>
      <c r="AQ108" s="449"/>
      <c r="AR108" s="449"/>
      <c r="AS108" s="449"/>
      <c r="AT108" s="449"/>
      <c r="AU108" s="449"/>
      <c r="AV108" s="449"/>
      <c r="AW108" s="449"/>
      <c r="AX108" s="449"/>
      <c r="AY108" s="449"/>
      <c r="AZ108" s="449"/>
      <c r="BA108" s="449"/>
      <c r="BB108" s="449"/>
      <c r="BC108" s="449"/>
      <c r="BD108" s="449"/>
      <c r="BE108" s="449"/>
      <c r="BF108" s="449"/>
      <c r="BG108" s="449"/>
      <c r="BH108" s="449"/>
      <c r="BI108" s="449"/>
      <c r="BJ108" s="449"/>
      <c r="BK108" s="449"/>
      <c r="BL108" s="449"/>
      <c r="BM108" s="449"/>
      <c r="BN108" s="449"/>
      <c r="BO108" s="449"/>
      <c r="BP108" s="449"/>
      <c r="BQ108" s="449"/>
      <c r="BR108" s="449"/>
      <c r="BS108" s="449"/>
      <c r="BT108" s="449"/>
      <c r="BU108" s="449"/>
      <c r="BV108" s="449"/>
      <c r="BW108" s="449"/>
      <c r="BX108" s="449"/>
      <c r="BY108" s="449"/>
      <c r="BZ108" s="449"/>
      <c r="CA108" s="449"/>
      <c r="CB108" s="449"/>
      <c r="CC108" s="449"/>
      <c r="CD108" s="449"/>
      <c r="CE108" s="449"/>
      <c r="CF108" s="449"/>
      <c r="CG108" s="449"/>
      <c r="CH108" s="449"/>
      <c r="CI108" s="449"/>
      <c r="CJ108" s="449"/>
      <c r="CK108" s="449"/>
      <c r="CL108" s="449"/>
      <c r="CM108" s="449"/>
      <c r="CN108" s="449"/>
      <c r="CO108" s="449"/>
      <c r="CP108" s="449"/>
      <c r="CQ108" s="449"/>
      <c r="CR108" s="449"/>
      <c r="CS108" s="449"/>
      <c r="CT108" s="449"/>
      <c r="CU108" s="449"/>
      <c r="CV108" s="449"/>
      <c r="CW108" s="449"/>
      <c r="CX108" s="449"/>
      <c r="CY108" s="449"/>
      <c r="CZ108" s="449"/>
      <c r="DA108" s="449"/>
      <c r="DB108" s="449"/>
      <c r="DC108" s="449"/>
      <c r="DD108" s="449"/>
      <c r="DE108" s="449"/>
      <c r="DF108" s="449"/>
      <c r="DG108" s="449"/>
      <c r="DH108" s="449"/>
      <c r="DI108" s="449"/>
      <c r="DJ108" s="449"/>
      <c r="DK108" s="449"/>
      <c r="DL108" s="449"/>
      <c r="DM108" s="449"/>
      <c r="DN108" s="449"/>
      <c r="DO108" s="449"/>
      <c r="DP108" s="449"/>
      <c r="DQ108" s="449"/>
      <c r="DR108" s="449"/>
      <c r="DS108" s="449"/>
      <c r="DT108" s="449"/>
      <c r="DU108" s="449"/>
      <c r="DV108" s="449"/>
      <c r="DW108" s="449"/>
      <c r="DX108" s="449"/>
      <c r="DY108" s="449"/>
      <c r="DZ108" s="449"/>
      <c r="EA108" s="449"/>
      <c r="EB108" s="449"/>
      <c r="EC108" s="449"/>
      <c r="ED108" s="449"/>
      <c r="EE108" s="449"/>
      <c r="EF108" s="449"/>
      <c r="EG108" s="449"/>
      <c r="EH108" s="449"/>
      <c r="EI108" s="449"/>
      <c r="EJ108" s="449"/>
      <c r="EK108" s="449"/>
      <c r="EL108" s="449"/>
      <c r="EM108" s="449"/>
      <c r="EN108" s="449"/>
      <c r="EO108" s="449"/>
      <c r="EP108" s="449"/>
      <c r="EQ108" s="449"/>
      <c r="ER108" s="449"/>
      <c r="ES108" s="449"/>
      <c r="ET108" s="449"/>
      <c r="EU108" s="449"/>
      <c r="EV108" s="449"/>
      <c r="EW108" s="449"/>
      <c r="EX108" s="449"/>
      <c r="EY108" s="449"/>
      <c r="EZ108" s="449"/>
      <c r="FA108" s="449"/>
      <c r="FB108" s="449"/>
      <c r="FC108" s="449"/>
      <c r="FD108" s="449"/>
      <c r="FE108" s="449"/>
      <c r="FF108" s="449"/>
      <c r="FG108" s="449"/>
      <c r="FH108" s="449"/>
      <c r="FI108" s="449"/>
      <c r="FJ108" s="449"/>
      <c r="FK108" s="449"/>
      <c r="FL108" s="449"/>
      <c r="FM108" s="449"/>
      <c r="FN108" s="449"/>
      <c r="FO108" s="449"/>
      <c r="FP108" s="449"/>
      <c r="FQ108" s="449"/>
      <c r="FR108" s="449"/>
      <c r="FS108" s="449"/>
      <c r="FT108" s="449"/>
      <c r="FU108" s="449"/>
      <c r="FV108" s="449"/>
      <c r="FW108" s="449"/>
      <c r="FX108" s="449"/>
      <c r="FY108" s="449"/>
      <c r="FZ108" s="449"/>
      <c r="GA108" s="449"/>
      <c r="GB108" s="449"/>
      <c r="GC108" s="449"/>
      <c r="GD108" s="449"/>
      <c r="GE108" s="449"/>
      <c r="GF108" s="449"/>
      <c r="GG108" s="449"/>
      <c r="GH108" s="449"/>
      <c r="GI108" s="449"/>
      <c r="GJ108" s="449"/>
      <c r="GK108" s="449"/>
      <c r="GL108" s="449"/>
      <c r="GM108" s="449"/>
      <c r="GN108" s="449"/>
      <c r="GO108" s="449"/>
      <c r="GP108" s="449"/>
      <c r="GQ108" s="449"/>
      <c r="GR108" s="449"/>
      <c r="GS108" s="449"/>
      <c r="GT108" s="449"/>
      <c r="GU108" s="449"/>
      <c r="GV108" s="449"/>
      <c r="GW108" s="449"/>
      <c r="GX108" s="449"/>
      <c r="GY108" s="449"/>
      <c r="GZ108" s="449"/>
      <c r="HA108" s="449"/>
      <c r="HB108" s="449"/>
      <c r="HC108" s="449"/>
      <c r="HD108" s="449"/>
      <c r="HE108" s="449"/>
      <c r="HF108" s="449"/>
      <c r="HG108" s="449"/>
      <c r="HH108" s="449"/>
      <c r="HI108" s="449"/>
      <c r="HJ108" s="449"/>
      <c r="HK108" s="449"/>
      <c r="HL108" s="449"/>
      <c r="HM108" s="449"/>
      <c r="HN108" s="449"/>
      <c r="HO108" s="449"/>
      <c r="HP108" s="449"/>
      <c r="HQ108" s="449"/>
      <c r="HR108" s="449"/>
      <c r="HS108" s="449"/>
      <c r="HT108" s="449"/>
      <c r="HU108" s="449"/>
      <c r="HV108" s="449"/>
      <c r="HW108" s="449"/>
      <c r="HX108" s="449"/>
      <c r="HY108" s="449"/>
      <c r="HZ108" s="449"/>
      <c r="IA108" s="449"/>
      <c r="IB108" s="449"/>
      <c r="IC108" s="449"/>
      <c r="ID108" s="449"/>
      <c r="IE108" s="449"/>
      <c r="IF108" s="449"/>
      <c r="IG108" s="449"/>
      <c r="IH108" s="449"/>
      <c r="II108" s="449"/>
      <c r="IJ108" s="449"/>
      <c r="IK108" s="449"/>
      <c r="IL108" s="449"/>
      <c r="IM108" s="449"/>
      <c r="IN108" s="449"/>
      <c r="IO108" s="449"/>
      <c r="IP108" s="449"/>
      <c r="IQ108" s="449"/>
      <c r="IR108" s="449"/>
      <c r="IS108" s="449"/>
      <c r="IT108" s="449"/>
      <c r="IU108" s="449"/>
      <c r="IV108" s="449"/>
      <c r="IW108" s="449"/>
    </row>
    <row r="109" customFormat="false" ht="12.75" hidden="false" customHeight="false" outlineLevel="0" collapsed="false">
      <c r="A109" s="461" t="n">
        <f aca="false">A108+1</f>
        <v>63</v>
      </c>
      <c r="C109" s="493" t="s">
        <v>905</v>
      </c>
      <c r="D109" s="449"/>
      <c r="E109" s="468"/>
      <c r="F109" s="468"/>
      <c r="G109" s="468"/>
      <c r="H109" s="468"/>
      <c r="I109" s="468"/>
      <c r="J109" s="468"/>
      <c r="K109" s="468"/>
      <c r="L109" s="474"/>
      <c r="M109" s="474"/>
      <c r="N109" s="474"/>
      <c r="O109" s="474"/>
      <c r="P109" s="474"/>
      <c r="Q109" s="474"/>
      <c r="R109" s="474"/>
      <c r="S109" s="474"/>
      <c r="T109" s="449"/>
      <c r="U109" s="449"/>
      <c r="V109" s="449"/>
      <c r="W109" s="449"/>
      <c r="X109" s="449"/>
      <c r="Y109" s="449"/>
      <c r="Z109" s="449"/>
      <c r="AA109" s="449"/>
      <c r="AB109" s="449"/>
      <c r="AC109" s="449"/>
      <c r="AD109" s="449"/>
      <c r="AE109" s="449"/>
      <c r="AF109" s="449"/>
      <c r="AG109" s="449"/>
      <c r="AH109" s="449"/>
      <c r="AI109" s="449"/>
      <c r="AJ109" s="449"/>
      <c r="AK109" s="449"/>
      <c r="AL109" s="449"/>
      <c r="AM109" s="449"/>
      <c r="AN109" s="449"/>
      <c r="AO109" s="449"/>
      <c r="AP109" s="449"/>
      <c r="AQ109" s="449"/>
      <c r="AR109" s="449"/>
      <c r="AS109" s="449"/>
      <c r="AT109" s="449"/>
      <c r="AU109" s="449"/>
      <c r="AV109" s="449"/>
      <c r="AW109" s="449"/>
      <c r="AX109" s="449"/>
      <c r="AY109" s="449"/>
      <c r="AZ109" s="449"/>
      <c r="BA109" s="449"/>
      <c r="BB109" s="449"/>
      <c r="BC109" s="449"/>
      <c r="BD109" s="449"/>
      <c r="BE109" s="449"/>
      <c r="BF109" s="449"/>
      <c r="BG109" s="449"/>
      <c r="BH109" s="449"/>
      <c r="BI109" s="449"/>
      <c r="BJ109" s="449"/>
      <c r="BK109" s="449"/>
      <c r="BL109" s="449"/>
      <c r="BM109" s="449"/>
      <c r="BN109" s="449"/>
      <c r="BO109" s="449"/>
      <c r="BP109" s="449"/>
      <c r="BQ109" s="449"/>
      <c r="BR109" s="449"/>
      <c r="BS109" s="449"/>
      <c r="BT109" s="449"/>
      <c r="BU109" s="449"/>
      <c r="BV109" s="449"/>
      <c r="BW109" s="449"/>
      <c r="BX109" s="449"/>
      <c r="BY109" s="449"/>
      <c r="BZ109" s="449"/>
      <c r="CA109" s="449"/>
      <c r="CB109" s="449"/>
      <c r="CC109" s="449"/>
      <c r="CD109" s="449"/>
      <c r="CE109" s="449"/>
      <c r="CF109" s="449"/>
      <c r="CG109" s="449"/>
      <c r="CH109" s="449"/>
      <c r="CI109" s="449"/>
      <c r="CJ109" s="449"/>
      <c r="CK109" s="449"/>
      <c r="CL109" s="449"/>
      <c r="CM109" s="449"/>
      <c r="CN109" s="449"/>
      <c r="CO109" s="449"/>
      <c r="CP109" s="449"/>
      <c r="CQ109" s="449"/>
      <c r="CR109" s="449"/>
      <c r="CS109" s="449"/>
      <c r="CT109" s="449"/>
      <c r="CU109" s="449"/>
      <c r="CV109" s="449"/>
      <c r="CW109" s="449"/>
      <c r="CX109" s="449"/>
      <c r="CY109" s="449"/>
      <c r="CZ109" s="449"/>
      <c r="DA109" s="449"/>
      <c r="DB109" s="449"/>
      <c r="DC109" s="449"/>
      <c r="DD109" s="449"/>
      <c r="DE109" s="449"/>
      <c r="DF109" s="449"/>
      <c r="DG109" s="449"/>
      <c r="DH109" s="449"/>
      <c r="DI109" s="449"/>
      <c r="DJ109" s="449"/>
      <c r="DK109" s="449"/>
      <c r="DL109" s="449"/>
      <c r="DM109" s="449"/>
      <c r="DN109" s="449"/>
      <c r="DO109" s="449"/>
      <c r="DP109" s="449"/>
      <c r="DQ109" s="449"/>
      <c r="DR109" s="449"/>
      <c r="DS109" s="449"/>
      <c r="DT109" s="449"/>
      <c r="DU109" s="449"/>
      <c r="DV109" s="449"/>
      <c r="DW109" s="449"/>
      <c r="DX109" s="449"/>
      <c r="DY109" s="449"/>
      <c r="DZ109" s="449"/>
      <c r="EA109" s="449"/>
      <c r="EB109" s="449"/>
      <c r="EC109" s="449"/>
      <c r="ED109" s="449"/>
      <c r="EE109" s="449"/>
      <c r="EF109" s="449"/>
      <c r="EG109" s="449"/>
      <c r="EH109" s="449"/>
      <c r="EI109" s="449"/>
      <c r="EJ109" s="449"/>
      <c r="EK109" s="449"/>
      <c r="EL109" s="449"/>
      <c r="EM109" s="449"/>
      <c r="EN109" s="449"/>
      <c r="EO109" s="449"/>
      <c r="EP109" s="449"/>
      <c r="EQ109" s="449"/>
      <c r="ER109" s="449"/>
      <c r="ES109" s="449"/>
      <c r="ET109" s="449"/>
      <c r="EU109" s="449"/>
      <c r="EV109" s="449"/>
      <c r="EW109" s="449"/>
      <c r="EX109" s="449"/>
      <c r="EY109" s="449"/>
      <c r="EZ109" s="449"/>
      <c r="FA109" s="449"/>
      <c r="FB109" s="449"/>
      <c r="FC109" s="449"/>
      <c r="FD109" s="449"/>
      <c r="FE109" s="449"/>
      <c r="FF109" s="449"/>
      <c r="FG109" s="449"/>
      <c r="FH109" s="449"/>
      <c r="FI109" s="449"/>
      <c r="FJ109" s="449"/>
      <c r="FK109" s="449"/>
      <c r="FL109" s="449"/>
      <c r="FM109" s="449"/>
      <c r="FN109" s="449"/>
      <c r="FO109" s="449"/>
      <c r="FP109" s="449"/>
      <c r="FQ109" s="449"/>
      <c r="FR109" s="449"/>
      <c r="FS109" s="449"/>
      <c r="FT109" s="449"/>
      <c r="FU109" s="449"/>
      <c r="FV109" s="449"/>
      <c r="FW109" s="449"/>
      <c r="FX109" s="449"/>
      <c r="FY109" s="449"/>
      <c r="FZ109" s="449"/>
      <c r="GA109" s="449"/>
      <c r="GB109" s="449"/>
      <c r="GC109" s="449"/>
      <c r="GD109" s="449"/>
      <c r="GE109" s="449"/>
      <c r="GF109" s="449"/>
      <c r="GG109" s="449"/>
      <c r="GH109" s="449"/>
      <c r="GI109" s="449"/>
      <c r="GJ109" s="449"/>
      <c r="GK109" s="449"/>
      <c r="GL109" s="449"/>
      <c r="GM109" s="449"/>
      <c r="GN109" s="449"/>
      <c r="GO109" s="449"/>
      <c r="GP109" s="449"/>
      <c r="GQ109" s="449"/>
      <c r="GR109" s="449"/>
      <c r="GS109" s="449"/>
      <c r="GT109" s="449"/>
      <c r="GU109" s="449"/>
      <c r="GV109" s="449"/>
      <c r="GW109" s="449"/>
      <c r="GX109" s="449"/>
      <c r="GY109" s="449"/>
      <c r="GZ109" s="449"/>
      <c r="HA109" s="449"/>
      <c r="HB109" s="449"/>
      <c r="HC109" s="449"/>
      <c r="HD109" s="449"/>
      <c r="HE109" s="449"/>
      <c r="HF109" s="449"/>
      <c r="HG109" s="449"/>
      <c r="HH109" s="449"/>
      <c r="HI109" s="449"/>
      <c r="HJ109" s="449"/>
      <c r="HK109" s="449"/>
      <c r="HL109" s="449"/>
      <c r="HM109" s="449"/>
      <c r="HN109" s="449"/>
      <c r="HO109" s="449"/>
      <c r="HP109" s="449"/>
      <c r="HQ109" s="449"/>
      <c r="HR109" s="449"/>
      <c r="HS109" s="449"/>
      <c r="HT109" s="449"/>
      <c r="HU109" s="449"/>
      <c r="HV109" s="449"/>
      <c r="HW109" s="449"/>
      <c r="HX109" s="449"/>
      <c r="HY109" s="449"/>
      <c r="HZ109" s="449"/>
      <c r="IA109" s="449"/>
      <c r="IB109" s="449"/>
      <c r="IC109" s="449"/>
      <c r="ID109" s="449"/>
      <c r="IE109" s="449"/>
      <c r="IF109" s="449"/>
      <c r="IG109" s="449"/>
      <c r="IH109" s="449"/>
      <c r="II109" s="449"/>
      <c r="IJ109" s="449"/>
      <c r="IK109" s="449"/>
      <c r="IL109" s="449"/>
      <c r="IM109" s="449"/>
      <c r="IN109" s="449"/>
      <c r="IO109" s="449"/>
      <c r="IP109" s="449"/>
      <c r="IQ109" s="449"/>
      <c r="IR109" s="449"/>
      <c r="IS109" s="449"/>
      <c r="IT109" s="449"/>
      <c r="IU109" s="449"/>
      <c r="IV109" s="449"/>
      <c r="IW109" s="449"/>
    </row>
    <row r="110" customFormat="false" ht="12.75" hidden="false" customHeight="false" outlineLevel="0" collapsed="false">
      <c r="A110" s="481"/>
      <c r="B110" s="456"/>
      <c r="C110" s="493" t="s">
        <v>905</v>
      </c>
      <c r="D110" s="471"/>
      <c r="E110" s="482"/>
      <c r="F110" s="482"/>
      <c r="G110" s="482"/>
      <c r="H110" s="482"/>
      <c r="I110" s="482"/>
      <c r="J110" s="482"/>
      <c r="K110" s="486"/>
      <c r="L110" s="473"/>
      <c r="M110" s="473"/>
      <c r="N110" s="473"/>
      <c r="O110" s="473"/>
      <c r="P110" s="473"/>
      <c r="Q110" s="473"/>
      <c r="R110" s="473"/>
      <c r="S110" s="473"/>
      <c r="T110" s="471"/>
      <c r="U110" s="471"/>
      <c r="V110" s="471"/>
      <c r="W110" s="471"/>
      <c r="X110" s="471"/>
      <c r="Y110" s="471"/>
      <c r="Z110" s="471"/>
      <c r="AA110" s="471"/>
      <c r="AB110" s="471"/>
      <c r="AC110" s="471"/>
      <c r="AD110" s="471"/>
      <c r="AE110" s="471"/>
      <c r="AF110" s="471"/>
      <c r="AG110" s="471"/>
      <c r="AH110" s="471"/>
      <c r="AI110" s="471"/>
      <c r="AJ110" s="471"/>
      <c r="AK110" s="471"/>
      <c r="AL110" s="471"/>
      <c r="AM110" s="471"/>
      <c r="AN110" s="471"/>
      <c r="AO110" s="471"/>
      <c r="AP110" s="471"/>
      <c r="AQ110" s="471"/>
      <c r="AR110" s="471"/>
      <c r="AS110" s="471"/>
      <c r="AT110" s="471"/>
      <c r="AU110" s="471"/>
      <c r="AV110" s="471"/>
      <c r="AW110" s="471"/>
      <c r="AX110" s="471"/>
      <c r="AY110" s="471"/>
      <c r="AZ110" s="471"/>
      <c r="BA110" s="471"/>
      <c r="BB110" s="471"/>
      <c r="BC110" s="471"/>
      <c r="BD110" s="471"/>
      <c r="BE110" s="471"/>
      <c r="BF110" s="471"/>
      <c r="BG110" s="471"/>
      <c r="BH110" s="471"/>
      <c r="BI110" s="471"/>
      <c r="BJ110" s="471"/>
      <c r="BK110" s="471"/>
      <c r="BL110" s="471"/>
      <c r="BM110" s="471"/>
      <c r="BN110" s="471"/>
      <c r="BO110" s="471"/>
      <c r="BP110" s="471"/>
      <c r="BQ110" s="471"/>
      <c r="BR110" s="471"/>
      <c r="BS110" s="471"/>
      <c r="BT110" s="471"/>
      <c r="BU110" s="471"/>
      <c r="BV110" s="471"/>
      <c r="BW110" s="471"/>
      <c r="BX110" s="471"/>
      <c r="BY110" s="471"/>
      <c r="BZ110" s="471"/>
      <c r="CA110" s="471"/>
      <c r="CB110" s="471"/>
      <c r="CC110" s="471"/>
      <c r="CD110" s="471"/>
      <c r="CE110" s="471"/>
      <c r="CF110" s="471"/>
      <c r="CG110" s="471"/>
      <c r="CH110" s="471"/>
      <c r="CI110" s="471"/>
      <c r="CJ110" s="471"/>
      <c r="CK110" s="471"/>
      <c r="CL110" s="471"/>
      <c r="CM110" s="471"/>
      <c r="CN110" s="471"/>
      <c r="CO110" s="471"/>
      <c r="CP110" s="471"/>
      <c r="CQ110" s="471"/>
      <c r="CR110" s="471"/>
      <c r="CS110" s="471"/>
      <c r="CT110" s="471"/>
      <c r="CU110" s="471"/>
      <c r="CV110" s="471"/>
      <c r="CW110" s="471"/>
      <c r="CX110" s="471"/>
      <c r="CY110" s="471"/>
      <c r="CZ110" s="471"/>
      <c r="DA110" s="471"/>
      <c r="DB110" s="471"/>
      <c r="DC110" s="471"/>
      <c r="DD110" s="471"/>
      <c r="DE110" s="471"/>
      <c r="DF110" s="471"/>
      <c r="DG110" s="471"/>
      <c r="DH110" s="471"/>
      <c r="DI110" s="471"/>
      <c r="DJ110" s="471"/>
      <c r="DK110" s="471"/>
      <c r="DL110" s="471"/>
      <c r="DM110" s="471"/>
      <c r="DN110" s="471"/>
      <c r="DO110" s="471"/>
      <c r="DP110" s="471"/>
      <c r="DQ110" s="471"/>
      <c r="DR110" s="471"/>
      <c r="DS110" s="471"/>
      <c r="DT110" s="471"/>
      <c r="DU110" s="471"/>
      <c r="DV110" s="471"/>
      <c r="DW110" s="471"/>
      <c r="DX110" s="471"/>
      <c r="DY110" s="471"/>
      <c r="DZ110" s="471"/>
      <c r="EA110" s="471"/>
      <c r="EB110" s="471"/>
      <c r="EC110" s="471"/>
      <c r="ED110" s="471"/>
      <c r="EE110" s="471"/>
      <c r="EF110" s="471"/>
      <c r="EG110" s="471"/>
      <c r="EH110" s="471"/>
      <c r="EI110" s="471"/>
      <c r="EJ110" s="471"/>
      <c r="EK110" s="471"/>
      <c r="EL110" s="471"/>
      <c r="EM110" s="471"/>
      <c r="EN110" s="471"/>
      <c r="EO110" s="471"/>
      <c r="EP110" s="471"/>
      <c r="EQ110" s="471"/>
      <c r="ER110" s="471"/>
      <c r="ES110" s="471"/>
      <c r="ET110" s="471"/>
      <c r="EU110" s="471"/>
      <c r="EV110" s="471"/>
      <c r="EW110" s="471"/>
      <c r="EX110" s="471"/>
      <c r="EY110" s="471"/>
      <c r="EZ110" s="471"/>
      <c r="FA110" s="471"/>
      <c r="FB110" s="471"/>
      <c r="FC110" s="471"/>
      <c r="FD110" s="471"/>
      <c r="FE110" s="471"/>
      <c r="FF110" s="471"/>
      <c r="FG110" s="471"/>
      <c r="FH110" s="471"/>
      <c r="FI110" s="471"/>
      <c r="FJ110" s="471"/>
      <c r="FK110" s="471"/>
      <c r="FL110" s="471"/>
      <c r="FM110" s="471"/>
      <c r="FN110" s="471"/>
      <c r="FO110" s="471"/>
      <c r="FP110" s="471"/>
      <c r="FQ110" s="471"/>
      <c r="FR110" s="471"/>
      <c r="FS110" s="471"/>
      <c r="FT110" s="471"/>
      <c r="FU110" s="471"/>
      <c r="FV110" s="471"/>
      <c r="FW110" s="471"/>
      <c r="FX110" s="471"/>
      <c r="FY110" s="471"/>
      <c r="FZ110" s="471"/>
      <c r="GA110" s="471"/>
      <c r="GB110" s="471"/>
      <c r="GC110" s="471"/>
      <c r="GD110" s="471"/>
      <c r="GE110" s="471"/>
      <c r="GF110" s="471"/>
      <c r="GG110" s="471"/>
      <c r="GH110" s="471"/>
      <c r="GI110" s="471"/>
      <c r="GJ110" s="471"/>
      <c r="GK110" s="471"/>
      <c r="GL110" s="471"/>
      <c r="GM110" s="471"/>
      <c r="GN110" s="471"/>
      <c r="GO110" s="471"/>
      <c r="GP110" s="471"/>
      <c r="GQ110" s="471"/>
      <c r="GR110" s="471"/>
      <c r="GS110" s="471"/>
      <c r="GT110" s="471"/>
      <c r="GU110" s="471"/>
      <c r="GV110" s="471"/>
      <c r="GW110" s="471"/>
      <c r="GX110" s="471"/>
      <c r="GY110" s="471"/>
      <c r="GZ110" s="471"/>
      <c r="HA110" s="471"/>
      <c r="HB110" s="471"/>
      <c r="HC110" s="471"/>
      <c r="HD110" s="471"/>
      <c r="HE110" s="471"/>
      <c r="HF110" s="471"/>
      <c r="HG110" s="471"/>
      <c r="HH110" s="471"/>
      <c r="HI110" s="471"/>
      <c r="HJ110" s="471"/>
      <c r="HK110" s="471"/>
      <c r="HL110" s="471"/>
      <c r="HM110" s="471"/>
      <c r="HN110" s="471"/>
      <c r="HO110" s="471"/>
      <c r="HP110" s="471"/>
      <c r="HQ110" s="471"/>
      <c r="HR110" s="471"/>
      <c r="HS110" s="471"/>
      <c r="HT110" s="471"/>
      <c r="HU110" s="471"/>
      <c r="HV110" s="471"/>
      <c r="HW110" s="471"/>
      <c r="HX110" s="471"/>
      <c r="HY110" s="471"/>
      <c r="HZ110" s="471"/>
      <c r="IA110" s="471"/>
      <c r="IB110" s="471"/>
      <c r="IC110" s="471"/>
      <c r="ID110" s="471"/>
      <c r="IE110" s="471"/>
      <c r="IF110" s="471"/>
      <c r="IG110" s="471"/>
      <c r="IH110" s="471"/>
      <c r="II110" s="471"/>
      <c r="IJ110" s="471"/>
      <c r="IK110" s="471"/>
      <c r="IL110" s="471"/>
      <c r="IM110" s="471"/>
      <c r="IN110" s="471"/>
      <c r="IO110" s="471"/>
      <c r="IP110" s="471"/>
      <c r="IQ110" s="471"/>
      <c r="IR110" s="471"/>
      <c r="IS110" s="471"/>
      <c r="IT110" s="471"/>
      <c r="IU110" s="471"/>
      <c r="IV110" s="471"/>
      <c r="IW110" s="471"/>
    </row>
    <row r="111" customFormat="false" ht="12.75" hidden="false" customHeight="false" outlineLevel="0" collapsed="false">
      <c r="A111" s="461" t="n">
        <f aca="false">A90+1</f>
        <v>90</v>
      </c>
      <c r="C111" s="449"/>
      <c r="D111" s="449"/>
      <c r="E111" s="469"/>
      <c r="F111" s="469"/>
      <c r="G111" s="469"/>
      <c r="H111" s="469"/>
      <c r="I111" s="469"/>
      <c r="J111" s="469"/>
      <c r="K111" s="469"/>
      <c r="L111" s="449"/>
      <c r="M111" s="449"/>
      <c r="N111" s="449"/>
      <c r="O111" s="449"/>
      <c r="P111" s="449"/>
      <c r="Q111" s="449"/>
      <c r="R111" s="449"/>
      <c r="S111" s="449"/>
      <c r="T111" s="449"/>
      <c r="U111" s="449"/>
      <c r="V111" s="449"/>
      <c r="W111" s="449"/>
      <c r="X111" s="449"/>
      <c r="Y111" s="449"/>
      <c r="Z111" s="449"/>
      <c r="AA111" s="449"/>
      <c r="AB111" s="449"/>
      <c r="AC111" s="449"/>
      <c r="AD111" s="449"/>
      <c r="AE111" s="449"/>
      <c r="AF111" s="449"/>
      <c r="AG111" s="449"/>
      <c r="AH111" s="449"/>
      <c r="AI111" s="449"/>
      <c r="AJ111" s="449"/>
      <c r="AK111" s="449"/>
      <c r="AL111" s="449"/>
      <c r="AM111" s="449"/>
      <c r="AN111" s="449"/>
      <c r="AO111" s="449"/>
      <c r="AP111" s="449"/>
      <c r="AQ111" s="449"/>
      <c r="AR111" s="449"/>
      <c r="AS111" s="449"/>
      <c r="AT111" s="449"/>
      <c r="AU111" s="449"/>
      <c r="AV111" s="449"/>
      <c r="AW111" s="449"/>
      <c r="AX111" s="449"/>
      <c r="AY111" s="449"/>
      <c r="AZ111" s="449"/>
      <c r="BA111" s="449"/>
      <c r="BB111" s="449"/>
      <c r="BC111" s="449"/>
      <c r="BD111" s="449"/>
      <c r="BE111" s="449"/>
      <c r="BF111" s="449"/>
      <c r="BG111" s="449"/>
      <c r="BH111" s="449"/>
      <c r="BI111" s="449"/>
      <c r="BJ111" s="449"/>
      <c r="BK111" s="449"/>
      <c r="BL111" s="449"/>
      <c r="BM111" s="449"/>
      <c r="BN111" s="449"/>
      <c r="BO111" s="449"/>
      <c r="BP111" s="449"/>
      <c r="BQ111" s="449"/>
      <c r="BR111" s="449"/>
      <c r="BS111" s="449"/>
      <c r="BT111" s="449"/>
      <c r="BU111" s="449"/>
      <c r="BV111" s="449"/>
      <c r="BW111" s="449"/>
      <c r="BX111" s="449"/>
      <c r="BY111" s="449"/>
      <c r="BZ111" s="449"/>
      <c r="CA111" s="449"/>
      <c r="CB111" s="449"/>
      <c r="CC111" s="449"/>
      <c r="CD111" s="449"/>
      <c r="CE111" s="449"/>
      <c r="CF111" s="449"/>
      <c r="CG111" s="449"/>
      <c r="CH111" s="449"/>
      <c r="CI111" s="449"/>
      <c r="CJ111" s="449"/>
      <c r="CK111" s="449"/>
      <c r="CL111" s="449"/>
      <c r="CM111" s="449"/>
      <c r="CN111" s="449"/>
      <c r="CO111" s="449"/>
      <c r="CP111" s="449"/>
      <c r="CQ111" s="449"/>
      <c r="CR111" s="449"/>
      <c r="CS111" s="449"/>
      <c r="CT111" s="449"/>
      <c r="CU111" s="449"/>
      <c r="CV111" s="449"/>
      <c r="CW111" s="449"/>
      <c r="CX111" s="449"/>
      <c r="CY111" s="449"/>
      <c r="CZ111" s="449"/>
      <c r="DA111" s="449"/>
      <c r="DB111" s="449"/>
      <c r="DC111" s="449"/>
      <c r="DD111" s="449"/>
      <c r="DE111" s="449"/>
      <c r="DF111" s="449"/>
      <c r="DG111" s="449"/>
      <c r="DH111" s="449"/>
      <c r="DI111" s="449"/>
      <c r="DJ111" s="449"/>
      <c r="DK111" s="449"/>
      <c r="DL111" s="449"/>
      <c r="DM111" s="449"/>
      <c r="DN111" s="449"/>
      <c r="DO111" s="449"/>
      <c r="DP111" s="449"/>
      <c r="DQ111" s="449"/>
      <c r="DR111" s="449"/>
      <c r="DS111" s="449"/>
      <c r="DT111" s="449"/>
      <c r="DU111" s="449"/>
      <c r="DV111" s="449"/>
      <c r="DW111" s="449"/>
      <c r="DX111" s="449"/>
      <c r="DY111" s="449"/>
      <c r="DZ111" s="449"/>
      <c r="EA111" s="449"/>
      <c r="EB111" s="449"/>
      <c r="EC111" s="449"/>
      <c r="ED111" s="449"/>
      <c r="EE111" s="449"/>
      <c r="EF111" s="449"/>
      <c r="EG111" s="449"/>
      <c r="EH111" s="449"/>
      <c r="EI111" s="449"/>
      <c r="EJ111" s="449"/>
      <c r="EK111" s="449"/>
      <c r="EL111" s="449"/>
      <c r="EM111" s="449"/>
      <c r="EN111" s="449"/>
      <c r="EO111" s="449"/>
      <c r="EP111" s="449"/>
      <c r="EQ111" s="449"/>
      <c r="ER111" s="449"/>
      <c r="ES111" s="449"/>
      <c r="ET111" s="449"/>
      <c r="EU111" s="449"/>
      <c r="EV111" s="449"/>
      <c r="EW111" s="449"/>
      <c r="EX111" s="449"/>
      <c r="EY111" s="449"/>
      <c r="EZ111" s="449"/>
      <c r="FA111" s="449"/>
      <c r="FB111" s="449"/>
      <c r="FC111" s="449"/>
      <c r="FD111" s="449"/>
      <c r="FE111" s="449"/>
      <c r="FF111" s="449"/>
      <c r="FG111" s="449"/>
      <c r="FH111" s="449"/>
      <c r="FI111" s="449"/>
      <c r="FJ111" s="449"/>
      <c r="FK111" s="449"/>
      <c r="FL111" s="449"/>
      <c r="FM111" s="449"/>
      <c r="FN111" s="449"/>
      <c r="FO111" s="449"/>
      <c r="FP111" s="449"/>
      <c r="FQ111" s="449"/>
      <c r="FR111" s="449"/>
      <c r="FS111" s="449"/>
      <c r="FT111" s="449"/>
      <c r="FU111" s="449"/>
      <c r="FV111" s="449"/>
      <c r="FW111" s="449"/>
      <c r="FX111" s="449"/>
      <c r="FY111" s="449"/>
      <c r="FZ111" s="449"/>
      <c r="GA111" s="449"/>
      <c r="GB111" s="449"/>
      <c r="GC111" s="449"/>
      <c r="GD111" s="449"/>
      <c r="GE111" s="449"/>
      <c r="GF111" s="449"/>
      <c r="GG111" s="449"/>
      <c r="GH111" s="449"/>
      <c r="GI111" s="449"/>
      <c r="GJ111" s="449"/>
      <c r="GK111" s="449"/>
      <c r="GL111" s="449"/>
      <c r="GM111" s="449"/>
      <c r="GN111" s="449"/>
      <c r="GO111" s="449"/>
      <c r="GP111" s="449"/>
      <c r="GQ111" s="449"/>
      <c r="GR111" s="449"/>
      <c r="GS111" s="449"/>
      <c r="GT111" s="449"/>
      <c r="GU111" s="449"/>
      <c r="GV111" s="449"/>
      <c r="GW111" s="449"/>
      <c r="GX111" s="449"/>
      <c r="GY111" s="449"/>
      <c r="GZ111" s="449"/>
      <c r="HA111" s="449"/>
      <c r="HB111" s="449"/>
      <c r="HC111" s="449"/>
      <c r="HD111" s="449"/>
      <c r="HE111" s="449"/>
      <c r="HF111" s="449"/>
      <c r="HG111" s="449"/>
      <c r="HH111" s="449"/>
      <c r="HI111" s="449"/>
      <c r="HJ111" s="449"/>
      <c r="HK111" s="449"/>
      <c r="HL111" s="449"/>
      <c r="HM111" s="449"/>
      <c r="HN111" s="449"/>
      <c r="HO111" s="449"/>
      <c r="HP111" s="449"/>
      <c r="HQ111" s="449"/>
      <c r="HR111" s="449"/>
      <c r="HS111" s="449"/>
      <c r="HT111" s="449"/>
      <c r="HU111" s="449"/>
      <c r="HV111" s="449"/>
      <c r="HW111" s="449"/>
      <c r="HX111" s="449"/>
      <c r="HY111" s="449"/>
      <c r="HZ111" s="449"/>
      <c r="IA111" s="449"/>
      <c r="IB111" s="449"/>
      <c r="IC111" s="449"/>
      <c r="ID111" s="449"/>
      <c r="IE111" s="449"/>
      <c r="IF111" s="449"/>
      <c r="IG111" s="449"/>
      <c r="IH111" s="449"/>
      <c r="II111" s="449"/>
      <c r="IJ111" s="449"/>
      <c r="IK111" s="449"/>
      <c r="IL111" s="449"/>
      <c r="IM111" s="449"/>
      <c r="IN111" s="449"/>
      <c r="IO111" s="449"/>
      <c r="IP111" s="449"/>
      <c r="IQ111" s="449"/>
      <c r="IR111" s="449"/>
      <c r="IS111" s="449"/>
      <c r="IT111" s="449"/>
      <c r="IU111" s="449"/>
      <c r="IV111" s="449"/>
      <c r="IW111" s="449"/>
    </row>
    <row r="112" customFormat="false" ht="12.75" hidden="false" customHeight="false" outlineLevel="0" collapsed="false">
      <c r="A112" s="461" t="n">
        <f aca="false">A111+1</f>
        <v>91</v>
      </c>
      <c r="C112" s="449"/>
      <c r="D112" s="449"/>
      <c r="E112" s="469"/>
      <c r="F112" s="469"/>
      <c r="G112" s="469"/>
      <c r="H112" s="469"/>
      <c r="I112" s="469"/>
      <c r="J112" s="469"/>
      <c r="K112" s="469"/>
      <c r="L112" s="449"/>
      <c r="M112" s="449"/>
      <c r="N112" s="449"/>
      <c r="O112" s="449"/>
      <c r="P112" s="449"/>
      <c r="Q112" s="449"/>
      <c r="R112" s="449"/>
      <c r="S112" s="449"/>
      <c r="T112" s="449"/>
      <c r="U112" s="449"/>
      <c r="V112" s="449"/>
      <c r="W112" s="449"/>
      <c r="X112" s="449"/>
      <c r="Y112" s="449"/>
      <c r="Z112" s="449"/>
      <c r="AA112" s="449"/>
      <c r="AB112" s="449"/>
      <c r="AC112" s="449"/>
      <c r="AD112" s="449"/>
      <c r="AE112" s="449"/>
      <c r="AF112" s="449"/>
      <c r="AG112" s="449"/>
      <c r="AH112" s="449"/>
      <c r="AI112" s="449"/>
      <c r="AJ112" s="449"/>
      <c r="AK112" s="449"/>
      <c r="AL112" s="449"/>
      <c r="AM112" s="449"/>
      <c r="AN112" s="449"/>
      <c r="AO112" s="449"/>
      <c r="AP112" s="449"/>
      <c r="AQ112" s="449"/>
      <c r="AR112" s="449"/>
      <c r="AS112" s="449"/>
      <c r="AT112" s="449"/>
      <c r="AU112" s="449"/>
      <c r="AV112" s="449"/>
      <c r="AW112" s="449"/>
      <c r="AX112" s="449"/>
      <c r="AY112" s="449"/>
      <c r="AZ112" s="449"/>
      <c r="BA112" s="449"/>
      <c r="BB112" s="449"/>
      <c r="BC112" s="449"/>
      <c r="BD112" s="449"/>
      <c r="BE112" s="449"/>
      <c r="BF112" s="449"/>
      <c r="BG112" s="449"/>
      <c r="BH112" s="449"/>
      <c r="BI112" s="449"/>
      <c r="BJ112" s="449"/>
      <c r="BK112" s="449"/>
      <c r="BL112" s="449"/>
      <c r="BM112" s="449"/>
      <c r="BN112" s="449"/>
      <c r="BO112" s="449"/>
      <c r="BP112" s="449"/>
      <c r="BQ112" s="449"/>
      <c r="BR112" s="449"/>
      <c r="BS112" s="449"/>
      <c r="BT112" s="449"/>
      <c r="BU112" s="449"/>
      <c r="BV112" s="449"/>
      <c r="BW112" s="449"/>
      <c r="BX112" s="449"/>
      <c r="BY112" s="449"/>
      <c r="BZ112" s="449"/>
      <c r="CA112" s="449"/>
      <c r="CB112" s="449"/>
      <c r="CC112" s="449"/>
      <c r="CD112" s="449"/>
      <c r="CE112" s="449"/>
      <c r="CF112" s="449"/>
      <c r="CG112" s="449"/>
      <c r="CH112" s="449"/>
      <c r="CI112" s="449"/>
      <c r="CJ112" s="449"/>
      <c r="CK112" s="449"/>
      <c r="CL112" s="449"/>
      <c r="CM112" s="449"/>
      <c r="CN112" s="449"/>
      <c r="CO112" s="449"/>
      <c r="CP112" s="449"/>
      <c r="CQ112" s="449"/>
      <c r="CR112" s="449"/>
      <c r="CS112" s="449"/>
      <c r="CT112" s="449"/>
      <c r="CU112" s="449"/>
      <c r="CV112" s="449"/>
      <c r="CW112" s="449"/>
      <c r="CX112" s="449"/>
      <c r="CY112" s="449"/>
      <c r="CZ112" s="449"/>
      <c r="DA112" s="449"/>
      <c r="DB112" s="449"/>
      <c r="DC112" s="449"/>
      <c r="DD112" s="449"/>
      <c r="DE112" s="449"/>
      <c r="DF112" s="449"/>
      <c r="DG112" s="449"/>
      <c r="DH112" s="449"/>
      <c r="DI112" s="449"/>
      <c r="DJ112" s="449"/>
      <c r="DK112" s="449"/>
      <c r="DL112" s="449"/>
      <c r="DM112" s="449"/>
      <c r="DN112" s="449"/>
      <c r="DO112" s="449"/>
      <c r="DP112" s="449"/>
      <c r="DQ112" s="449"/>
      <c r="DR112" s="449"/>
      <c r="DS112" s="449"/>
      <c r="DT112" s="449"/>
      <c r="DU112" s="449"/>
      <c r="DV112" s="449"/>
      <c r="DW112" s="449"/>
      <c r="DX112" s="449"/>
      <c r="DY112" s="449"/>
      <c r="DZ112" s="449"/>
      <c r="EA112" s="449"/>
      <c r="EB112" s="449"/>
      <c r="EC112" s="449"/>
      <c r="ED112" s="449"/>
      <c r="EE112" s="449"/>
      <c r="EF112" s="449"/>
      <c r="EG112" s="449"/>
      <c r="EH112" s="449"/>
      <c r="EI112" s="449"/>
      <c r="EJ112" s="449"/>
      <c r="EK112" s="449"/>
      <c r="EL112" s="449"/>
      <c r="EM112" s="449"/>
      <c r="EN112" s="449"/>
      <c r="EO112" s="449"/>
      <c r="EP112" s="449"/>
      <c r="EQ112" s="449"/>
      <c r="ER112" s="449"/>
      <c r="ES112" s="449"/>
      <c r="ET112" s="449"/>
      <c r="EU112" s="449"/>
      <c r="EV112" s="449"/>
      <c r="EW112" s="449"/>
      <c r="EX112" s="449"/>
      <c r="EY112" s="449"/>
      <c r="EZ112" s="449"/>
      <c r="FA112" s="449"/>
      <c r="FB112" s="449"/>
      <c r="FC112" s="449"/>
      <c r="FD112" s="449"/>
      <c r="FE112" s="449"/>
      <c r="FF112" s="449"/>
      <c r="FG112" s="449"/>
      <c r="FH112" s="449"/>
      <c r="FI112" s="449"/>
      <c r="FJ112" s="449"/>
      <c r="FK112" s="449"/>
      <c r="FL112" s="449"/>
      <c r="FM112" s="449"/>
      <c r="FN112" s="449"/>
      <c r="FO112" s="449"/>
      <c r="FP112" s="449"/>
      <c r="FQ112" s="449"/>
      <c r="FR112" s="449"/>
      <c r="FS112" s="449"/>
      <c r="FT112" s="449"/>
      <c r="FU112" s="449"/>
      <c r="FV112" s="449"/>
      <c r="FW112" s="449"/>
      <c r="FX112" s="449"/>
      <c r="FY112" s="449"/>
      <c r="FZ112" s="449"/>
      <c r="GA112" s="449"/>
      <c r="GB112" s="449"/>
      <c r="GC112" s="449"/>
      <c r="GD112" s="449"/>
      <c r="GE112" s="449"/>
      <c r="GF112" s="449"/>
      <c r="GG112" s="449"/>
      <c r="GH112" s="449"/>
      <c r="GI112" s="449"/>
      <c r="GJ112" s="449"/>
      <c r="GK112" s="449"/>
      <c r="GL112" s="449"/>
      <c r="GM112" s="449"/>
      <c r="GN112" s="449"/>
      <c r="GO112" s="449"/>
      <c r="GP112" s="449"/>
      <c r="GQ112" s="449"/>
      <c r="GR112" s="449"/>
      <c r="GS112" s="449"/>
      <c r="GT112" s="449"/>
      <c r="GU112" s="449"/>
      <c r="GV112" s="449"/>
      <c r="GW112" s="449"/>
      <c r="GX112" s="449"/>
      <c r="GY112" s="449"/>
      <c r="GZ112" s="449"/>
      <c r="HA112" s="449"/>
      <c r="HB112" s="449"/>
      <c r="HC112" s="449"/>
      <c r="HD112" s="449"/>
      <c r="HE112" s="449"/>
      <c r="HF112" s="449"/>
      <c r="HG112" s="449"/>
      <c r="HH112" s="449"/>
      <c r="HI112" s="449"/>
      <c r="HJ112" s="449"/>
      <c r="HK112" s="449"/>
      <c r="HL112" s="449"/>
      <c r="HM112" s="449"/>
      <c r="HN112" s="449"/>
      <c r="HO112" s="449"/>
      <c r="HP112" s="449"/>
      <c r="HQ112" s="449"/>
      <c r="HR112" s="449"/>
      <c r="HS112" s="449"/>
      <c r="HT112" s="449"/>
      <c r="HU112" s="449"/>
      <c r="HV112" s="449"/>
      <c r="HW112" s="449"/>
      <c r="HX112" s="449"/>
      <c r="HY112" s="449"/>
      <c r="HZ112" s="449"/>
      <c r="IA112" s="449"/>
      <c r="IB112" s="449"/>
      <c r="IC112" s="449"/>
      <c r="ID112" s="449"/>
      <c r="IE112" s="449"/>
      <c r="IF112" s="449"/>
      <c r="IG112" s="449"/>
      <c r="IH112" s="449"/>
      <c r="II112" s="449"/>
      <c r="IJ112" s="449"/>
      <c r="IK112" s="449"/>
      <c r="IL112" s="449"/>
      <c r="IM112" s="449"/>
      <c r="IN112" s="449"/>
      <c r="IO112" s="449"/>
      <c r="IP112" s="449"/>
      <c r="IQ112" s="449"/>
      <c r="IR112" s="449"/>
      <c r="IS112" s="449"/>
      <c r="IT112" s="449"/>
      <c r="IU112" s="449"/>
      <c r="IV112" s="449"/>
      <c r="IW112" s="449"/>
    </row>
    <row r="113" customFormat="false" ht="15.75" hidden="false" customHeight="false" outlineLevel="0" collapsed="false">
      <c r="A113" s="461" t="n">
        <f aca="false">A112+1</f>
        <v>92</v>
      </c>
      <c r="B113" s="494" t="s">
        <v>916</v>
      </c>
      <c r="C113" s="495"/>
      <c r="D113" s="495"/>
      <c r="E113" s="496"/>
      <c r="F113" s="496"/>
      <c r="G113" s="496"/>
      <c r="H113" s="496"/>
      <c r="I113" s="496"/>
      <c r="J113" s="496"/>
      <c r="K113" s="497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  <c r="Z113" s="449"/>
      <c r="AA113" s="449"/>
      <c r="AB113" s="449"/>
      <c r="AC113" s="449"/>
      <c r="AD113" s="449"/>
      <c r="AE113" s="449"/>
      <c r="AF113" s="449"/>
      <c r="AG113" s="449"/>
      <c r="AH113" s="449"/>
      <c r="AI113" s="449"/>
      <c r="AJ113" s="449"/>
      <c r="AK113" s="449"/>
      <c r="AL113" s="449"/>
      <c r="AM113" s="449"/>
      <c r="AN113" s="449"/>
      <c r="AO113" s="449"/>
      <c r="AP113" s="449"/>
      <c r="AQ113" s="449"/>
      <c r="AR113" s="449"/>
      <c r="AS113" s="449"/>
      <c r="AT113" s="449"/>
      <c r="AU113" s="449"/>
      <c r="AV113" s="449"/>
      <c r="AW113" s="449"/>
      <c r="AX113" s="449"/>
      <c r="AY113" s="449"/>
      <c r="AZ113" s="449"/>
      <c r="BA113" s="449"/>
      <c r="BB113" s="449"/>
      <c r="BC113" s="449"/>
      <c r="BD113" s="449"/>
      <c r="BE113" s="449"/>
      <c r="BF113" s="449"/>
      <c r="BG113" s="449"/>
      <c r="BH113" s="449"/>
      <c r="BI113" s="449"/>
      <c r="BJ113" s="449"/>
      <c r="BK113" s="449"/>
      <c r="BL113" s="449"/>
      <c r="BM113" s="449"/>
      <c r="BN113" s="449"/>
      <c r="BO113" s="449"/>
      <c r="BP113" s="449"/>
      <c r="BQ113" s="449"/>
      <c r="BR113" s="449"/>
      <c r="BS113" s="449"/>
      <c r="BT113" s="449"/>
      <c r="BU113" s="449"/>
      <c r="BV113" s="449"/>
      <c r="BW113" s="449"/>
      <c r="BX113" s="449"/>
      <c r="BY113" s="449"/>
      <c r="BZ113" s="449"/>
      <c r="CA113" s="449"/>
      <c r="CB113" s="449"/>
      <c r="CC113" s="449"/>
      <c r="CD113" s="449"/>
      <c r="CE113" s="449"/>
      <c r="CF113" s="449"/>
      <c r="CG113" s="449"/>
      <c r="CH113" s="449"/>
      <c r="CI113" s="449"/>
      <c r="CJ113" s="449"/>
      <c r="CK113" s="449"/>
      <c r="CL113" s="449"/>
      <c r="CM113" s="449"/>
      <c r="CN113" s="449"/>
      <c r="CO113" s="449"/>
      <c r="CP113" s="449"/>
      <c r="CQ113" s="449"/>
      <c r="CR113" s="449"/>
      <c r="CS113" s="449"/>
      <c r="CT113" s="449"/>
      <c r="CU113" s="449"/>
      <c r="CV113" s="449"/>
      <c r="CW113" s="449"/>
      <c r="CX113" s="449"/>
      <c r="CY113" s="449"/>
      <c r="CZ113" s="449"/>
      <c r="DA113" s="449"/>
      <c r="DB113" s="449"/>
      <c r="DC113" s="449"/>
      <c r="DD113" s="449"/>
      <c r="DE113" s="449"/>
      <c r="DF113" s="449"/>
      <c r="DG113" s="449"/>
      <c r="DH113" s="449"/>
      <c r="DI113" s="449"/>
      <c r="DJ113" s="449"/>
      <c r="DK113" s="449"/>
      <c r="DL113" s="449"/>
      <c r="DM113" s="449"/>
      <c r="DN113" s="449"/>
      <c r="DO113" s="449"/>
      <c r="DP113" s="449"/>
      <c r="DQ113" s="449"/>
      <c r="DR113" s="449"/>
      <c r="DS113" s="449"/>
      <c r="DT113" s="449"/>
      <c r="DU113" s="449"/>
      <c r="DV113" s="449"/>
      <c r="DW113" s="449"/>
      <c r="DX113" s="449"/>
      <c r="DY113" s="449"/>
      <c r="DZ113" s="449"/>
      <c r="EA113" s="449"/>
      <c r="EB113" s="449"/>
      <c r="EC113" s="449"/>
      <c r="ED113" s="449"/>
      <c r="EE113" s="449"/>
      <c r="EF113" s="449"/>
      <c r="EG113" s="449"/>
      <c r="EH113" s="449"/>
      <c r="EI113" s="449"/>
      <c r="EJ113" s="449"/>
      <c r="EK113" s="449"/>
      <c r="EL113" s="449"/>
      <c r="EM113" s="449"/>
      <c r="EN113" s="449"/>
      <c r="EO113" s="449"/>
      <c r="EP113" s="449"/>
      <c r="EQ113" s="449"/>
      <c r="ER113" s="449"/>
      <c r="ES113" s="449"/>
      <c r="ET113" s="449"/>
      <c r="EU113" s="449"/>
      <c r="EV113" s="449"/>
      <c r="EW113" s="449"/>
      <c r="EX113" s="449"/>
      <c r="EY113" s="449"/>
      <c r="EZ113" s="449"/>
      <c r="FA113" s="449"/>
      <c r="FB113" s="449"/>
      <c r="FC113" s="449"/>
      <c r="FD113" s="449"/>
      <c r="FE113" s="449"/>
      <c r="FF113" s="449"/>
      <c r="FG113" s="449"/>
      <c r="FH113" s="449"/>
      <c r="FI113" s="449"/>
      <c r="FJ113" s="449"/>
      <c r="FK113" s="449"/>
      <c r="FL113" s="449"/>
      <c r="FM113" s="449"/>
      <c r="FN113" s="449"/>
      <c r="FO113" s="449"/>
      <c r="FP113" s="449"/>
      <c r="FQ113" s="449"/>
      <c r="FR113" s="449"/>
      <c r="FS113" s="449"/>
      <c r="FT113" s="449"/>
      <c r="FU113" s="449"/>
      <c r="FV113" s="449"/>
      <c r="FW113" s="449"/>
      <c r="FX113" s="449"/>
      <c r="FY113" s="449"/>
      <c r="FZ113" s="449"/>
      <c r="GA113" s="449"/>
      <c r="GB113" s="449"/>
      <c r="GC113" s="449"/>
      <c r="GD113" s="449"/>
      <c r="GE113" s="449"/>
      <c r="GF113" s="449"/>
      <c r="GG113" s="449"/>
      <c r="GH113" s="449"/>
      <c r="GI113" s="449"/>
      <c r="GJ113" s="449"/>
      <c r="GK113" s="449"/>
      <c r="GL113" s="449"/>
      <c r="GM113" s="449"/>
      <c r="GN113" s="449"/>
      <c r="GO113" s="449"/>
      <c r="GP113" s="449"/>
      <c r="GQ113" s="449"/>
      <c r="GR113" s="449"/>
      <c r="GS113" s="449"/>
      <c r="GT113" s="449"/>
      <c r="GU113" s="449"/>
      <c r="GV113" s="449"/>
      <c r="GW113" s="449"/>
      <c r="GX113" s="449"/>
      <c r="GY113" s="449"/>
      <c r="GZ113" s="449"/>
      <c r="HA113" s="449"/>
      <c r="HB113" s="449"/>
      <c r="HC113" s="449"/>
      <c r="HD113" s="449"/>
      <c r="HE113" s="449"/>
      <c r="HF113" s="449"/>
      <c r="HG113" s="449"/>
      <c r="HH113" s="449"/>
      <c r="HI113" s="449"/>
      <c r="HJ113" s="449"/>
      <c r="HK113" s="449"/>
      <c r="HL113" s="449"/>
      <c r="HM113" s="449"/>
      <c r="HN113" s="449"/>
      <c r="HO113" s="449"/>
      <c r="HP113" s="449"/>
      <c r="HQ113" s="449"/>
      <c r="HR113" s="449"/>
      <c r="HS113" s="449"/>
      <c r="HT113" s="449"/>
      <c r="HU113" s="449"/>
      <c r="HV113" s="449"/>
      <c r="HW113" s="449"/>
      <c r="HX113" s="449"/>
      <c r="HY113" s="449"/>
      <c r="HZ113" s="449"/>
      <c r="IA113" s="449"/>
      <c r="IB113" s="449"/>
      <c r="IC113" s="449"/>
      <c r="ID113" s="449"/>
      <c r="IE113" s="449"/>
      <c r="IF113" s="449"/>
      <c r="IG113" s="449"/>
      <c r="IH113" s="449"/>
      <c r="II113" s="449"/>
      <c r="IJ113" s="449"/>
      <c r="IK113" s="449"/>
      <c r="IL113" s="449"/>
      <c r="IM113" s="449"/>
      <c r="IN113" s="449"/>
      <c r="IO113" s="449"/>
      <c r="IP113" s="449"/>
      <c r="IQ113" s="449"/>
      <c r="IR113" s="449"/>
      <c r="IS113" s="449"/>
      <c r="IT113" s="449"/>
      <c r="IU113" s="449"/>
      <c r="IV113" s="449"/>
      <c r="IW113" s="449"/>
    </row>
    <row r="114" customFormat="false" ht="12.75" hidden="false" customHeight="false" outlineLevel="0" collapsed="false">
      <c r="A114" s="461" t="n">
        <f aca="false">A113+1</f>
        <v>93</v>
      </c>
      <c r="B114" s="437"/>
      <c r="C114" s="452"/>
      <c r="D114" s="452"/>
      <c r="E114" s="498"/>
      <c r="F114" s="498"/>
      <c r="G114" s="498"/>
      <c r="H114" s="498"/>
      <c r="I114" s="498"/>
      <c r="J114" s="498"/>
      <c r="K114" s="499"/>
      <c r="L114" s="449"/>
      <c r="M114" s="449"/>
      <c r="N114" s="449"/>
      <c r="O114" s="449"/>
      <c r="P114" s="449"/>
      <c r="Q114" s="449"/>
      <c r="R114" s="449"/>
      <c r="S114" s="449"/>
      <c r="T114" s="449"/>
      <c r="U114" s="449"/>
      <c r="V114" s="449"/>
      <c r="W114" s="449"/>
      <c r="X114" s="449"/>
      <c r="Y114" s="449"/>
      <c r="Z114" s="449"/>
      <c r="AA114" s="449"/>
      <c r="AB114" s="449"/>
      <c r="AC114" s="449"/>
      <c r="AD114" s="449"/>
      <c r="AE114" s="449"/>
      <c r="AF114" s="449"/>
      <c r="AG114" s="449"/>
      <c r="AH114" s="449"/>
      <c r="AI114" s="449"/>
      <c r="AJ114" s="449"/>
      <c r="AK114" s="449"/>
      <c r="AL114" s="449"/>
      <c r="AM114" s="449"/>
      <c r="AN114" s="449"/>
      <c r="AO114" s="449"/>
      <c r="AP114" s="449"/>
      <c r="AQ114" s="449"/>
      <c r="AR114" s="449"/>
      <c r="AS114" s="449"/>
      <c r="AT114" s="449"/>
      <c r="AU114" s="449"/>
      <c r="AV114" s="449"/>
      <c r="AW114" s="449"/>
      <c r="AX114" s="449"/>
      <c r="AY114" s="449"/>
      <c r="AZ114" s="449"/>
      <c r="BA114" s="449"/>
      <c r="BB114" s="449"/>
      <c r="BC114" s="449"/>
      <c r="BD114" s="449"/>
      <c r="BE114" s="449"/>
      <c r="BF114" s="449"/>
      <c r="BG114" s="449"/>
      <c r="BH114" s="449"/>
      <c r="BI114" s="449"/>
      <c r="BJ114" s="449"/>
      <c r="BK114" s="449"/>
      <c r="BL114" s="449"/>
      <c r="BM114" s="449"/>
      <c r="BN114" s="449"/>
      <c r="BO114" s="449"/>
      <c r="BP114" s="449"/>
      <c r="BQ114" s="449"/>
      <c r="BR114" s="449"/>
      <c r="BS114" s="449"/>
      <c r="BT114" s="449"/>
      <c r="BU114" s="449"/>
      <c r="BV114" s="449"/>
      <c r="BW114" s="449"/>
      <c r="BX114" s="449"/>
      <c r="BY114" s="449"/>
      <c r="BZ114" s="449"/>
      <c r="CA114" s="449"/>
      <c r="CB114" s="449"/>
      <c r="CC114" s="449"/>
      <c r="CD114" s="449"/>
      <c r="CE114" s="449"/>
      <c r="CF114" s="449"/>
      <c r="CG114" s="449"/>
      <c r="CH114" s="449"/>
      <c r="CI114" s="449"/>
      <c r="CJ114" s="449"/>
      <c r="CK114" s="449"/>
      <c r="CL114" s="449"/>
      <c r="CM114" s="449"/>
      <c r="CN114" s="449"/>
      <c r="CO114" s="449"/>
      <c r="CP114" s="449"/>
      <c r="CQ114" s="449"/>
      <c r="CR114" s="449"/>
      <c r="CS114" s="449"/>
      <c r="CT114" s="449"/>
      <c r="CU114" s="449"/>
      <c r="CV114" s="449"/>
      <c r="CW114" s="449"/>
      <c r="CX114" s="449"/>
      <c r="CY114" s="449"/>
      <c r="CZ114" s="449"/>
      <c r="DA114" s="449"/>
      <c r="DB114" s="449"/>
      <c r="DC114" s="449"/>
      <c r="DD114" s="449"/>
      <c r="DE114" s="449"/>
      <c r="DF114" s="449"/>
      <c r="DG114" s="449"/>
      <c r="DH114" s="449"/>
      <c r="DI114" s="449"/>
      <c r="DJ114" s="449"/>
      <c r="DK114" s="449"/>
      <c r="DL114" s="449"/>
      <c r="DM114" s="449"/>
      <c r="DN114" s="449"/>
      <c r="DO114" s="449"/>
      <c r="DP114" s="449"/>
      <c r="DQ114" s="449"/>
      <c r="DR114" s="449"/>
      <c r="DS114" s="449"/>
      <c r="DT114" s="449"/>
      <c r="DU114" s="449"/>
      <c r="DV114" s="449"/>
      <c r="DW114" s="449"/>
      <c r="DX114" s="449"/>
      <c r="DY114" s="449"/>
      <c r="DZ114" s="449"/>
      <c r="EA114" s="449"/>
      <c r="EB114" s="449"/>
      <c r="EC114" s="449"/>
      <c r="ED114" s="449"/>
      <c r="EE114" s="449"/>
      <c r="EF114" s="449"/>
      <c r="EG114" s="449"/>
      <c r="EH114" s="449"/>
      <c r="EI114" s="449"/>
      <c r="EJ114" s="449"/>
      <c r="EK114" s="449"/>
      <c r="EL114" s="449"/>
      <c r="EM114" s="449"/>
      <c r="EN114" s="449"/>
      <c r="EO114" s="449"/>
      <c r="EP114" s="449"/>
      <c r="EQ114" s="449"/>
      <c r="ER114" s="449"/>
      <c r="ES114" s="449"/>
      <c r="ET114" s="449"/>
      <c r="EU114" s="449"/>
      <c r="EV114" s="449"/>
      <c r="EW114" s="449"/>
      <c r="EX114" s="449"/>
      <c r="EY114" s="449"/>
      <c r="EZ114" s="449"/>
      <c r="FA114" s="449"/>
      <c r="FB114" s="449"/>
      <c r="FC114" s="449"/>
      <c r="FD114" s="449"/>
      <c r="FE114" s="449"/>
      <c r="FF114" s="449"/>
      <c r="FG114" s="449"/>
      <c r="FH114" s="449"/>
      <c r="FI114" s="449"/>
      <c r="FJ114" s="449"/>
      <c r="FK114" s="449"/>
      <c r="FL114" s="449"/>
      <c r="FM114" s="449"/>
      <c r="FN114" s="449"/>
      <c r="FO114" s="449"/>
      <c r="FP114" s="449"/>
      <c r="FQ114" s="449"/>
      <c r="FR114" s="449"/>
      <c r="FS114" s="449"/>
      <c r="FT114" s="449"/>
      <c r="FU114" s="449"/>
      <c r="FV114" s="449"/>
      <c r="FW114" s="449"/>
      <c r="FX114" s="449"/>
      <c r="FY114" s="449"/>
      <c r="FZ114" s="449"/>
      <c r="GA114" s="449"/>
      <c r="GB114" s="449"/>
      <c r="GC114" s="449"/>
      <c r="GD114" s="449"/>
      <c r="GE114" s="449"/>
      <c r="GF114" s="449"/>
      <c r="GG114" s="449"/>
      <c r="GH114" s="449"/>
      <c r="GI114" s="449"/>
      <c r="GJ114" s="449"/>
      <c r="GK114" s="449"/>
      <c r="GL114" s="449"/>
      <c r="GM114" s="449"/>
      <c r="GN114" s="449"/>
      <c r="GO114" s="449"/>
      <c r="GP114" s="449"/>
      <c r="GQ114" s="449"/>
      <c r="GR114" s="449"/>
      <c r="GS114" s="449"/>
      <c r="GT114" s="449"/>
      <c r="GU114" s="449"/>
      <c r="GV114" s="449"/>
      <c r="GW114" s="449"/>
      <c r="GX114" s="449"/>
      <c r="GY114" s="449"/>
      <c r="GZ114" s="449"/>
      <c r="HA114" s="449"/>
      <c r="HB114" s="449"/>
      <c r="HC114" s="449"/>
      <c r="HD114" s="449"/>
      <c r="HE114" s="449"/>
      <c r="HF114" s="449"/>
      <c r="HG114" s="449"/>
      <c r="HH114" s="449"/>
      <c r="HI114" s="449"/>
      <c r="HJ114" s="449"/>
      <c r="HK114" s="449"/>
      <c r="HL114" s="449"/>
      <c r="HM114" s="449"/>
      <c r="HN114" s="449"/>
      <c r="HO114" s="449"/>
      <c r="HP114" s="449"/>
      <c r="HQ114" s="449"/>
      <c r="HR114" s="449"/>
      <c r="HS114" s="449"/>
      <c r="HT114" s="449"/>
      <c r="HU114" s="449"/>
      <c r="HV114" s="449"/>
      <c r="HW114" s="449"/>
      <c r="HX114" s="449"/>
      <c r="HY114" s="449"/>
      <c r="HZ114" s="449"/>
      <c r="IA114" s="449"/>
      <c r="IB114" s="449"/>
      <c r="IC114" s="449"/>
      <c r="ID114" s="449"/>
      <c r="IE114" s="449"/>
      <c r="IF114" s="449"/>
      <c r="IG114" s="449"/>
      <c r="IH114" s="449"/>
      <c r="II114" s="449"/>
      <c r="IJ114" s="449"/>
      <c r="IK114" s="449"/>
      <c r="IL114" s="449"/>
      <c r="IM114" s="449"/>
      <c r="IN114" s="449"/>
      <c r="IO114" s="449"/>
      <c r="IP114" s="449"/>
      <c r="IQ114" s="449"/>
      <c r="IR114" s="449"/>
      <c r="IS114" s="449"/>
      <c r="IT114" s="449"/>
      <c r="IU114" s="449"/>
      <c r="IV114" s="449"/>
      <c r="IW114" s="449"/>
    </row>
    <row r="115" customFormat="false" ht="12.75" hidden="false" customHeight="false" outlineLevel="0" collapsed="false">
      <c r="A115" s="461" t="n">
        <f aca="false">A114+1</f>
        <v>94</v>
      </c>
      <c r="B115" s="437"/>
      <c r="C115" s="157"/>
      <c r="D115" s="500"/>
      <c r="E115" s="501" t="s">
        <v>927</v>
      </c>
      <c r="F115" s="502"/>
      <c r="G115" s="501" t="s">
        <v>927</v>
      </c>
      <c r="H115" s="157"/>
      <c r="I115" s="501" t="s">
        <v>927</v>
      </c>
      <c r="J115" s="157"/>
      <c r="K115" s="503"/>
      <c r="L115" s="449"/>
      <c r="M115" s="449"/>
      <c r="N115" s="449"/>
      <c r="O115" s="449"/>
      <c r="P115" s="449"/>
      <c r="Q115" s="449"/>
      <c r="R115" s="449"/>
      <c r="S115" s="449"/>
      <c r="T115" s="449"/>
      <c r="U115" s="449"/>
      <c r="V115" s="449"/>
      <c r="W115" s="449"/>
      <c r="X115" s="449"/>
      <c r="Y115" s="449"/>
      <c r="Z115" s="449"/>
      <c r="AA115" s="449"/>
      <c r="AB115" s="449"/>
      <c r="AC115" s="449"/>
      <c r="AD115" s="449"/>
      <c r="AE115" s="449"/>
      <c r="AF115" s="449"/>
      <c r="AG115" s="449"/>
      <c r="AH115" s="449"/>
      <c r="AI115" s="449"/>
      <c r="AJ115" s="449"/>
      <c r="AK115" s="449"/>
      <c r="AL115" s="449"/>
      <c r="AM115" s="449"/>
      <c r="AN115" s="449"/>
      <c r="AO115" s="449"/>
      <c r="AP115" s="449"/>
      <c r="AQ115" s="449"/>
      <c r="AR115" s="449"/>
      <c r="AS115" s="449"/>
      <c r="AT115" s="449"/>
      <c r="AU115" s="449"/>
      <c r="AV115" s="449"/>
      <c r="AW115" s="449"/>
      <c r="AX115" s="449"/>
      <c r="AY115" s="449"/>
      <c r="AZ115" s="449"/>
      <c r="BA115" s="449"/>
      <c r="BB115" s="449"/>
      <c r="BC115" s="449"/>
      <c r="BD115" s="449"/>
      <c r="BE115" s="449"/>
      <c r="BF115" s="449"/>
      <c r="BG115" s="449"/>
      <c r="BH115" s="449"/>
      <c r="BI115" s="449"/>
      <c r="BJ115" s="449"/>
      <c r="BK115" s="449"/>
      <c r="BL115" s="449"/>
      <c r="BM115" s="449"/>
      <c r="BN115" s="449"/>
      <c r="BO115" s="449"/>
      <c r="BP115" s="449"/>
      <c r="BQ115" s="449"/>
      <c r="BR115" s="449"/>
      <c r="BS115" s="449"/>
      <c r="BT115" s="449"/>
      <c r="BU115" s="449"/>
      <c r="BV115" s="449"/>
      <c r="BW115" s="449"/>
      <c r="BX115" s="449"/>
      <c r="BY115" s="449"/>
      <c r="BZ115" s="449"/>
      <c r="CA115" s="449"/>
      <c r="CB115" s="449"/>
      <c r="CC115" s="449"/>
      <c r="CD115" s="449"/>
      <c r="CE115" s="449"/>
      <c r="CF115" s="449"/>
      <c r="CG115" s="449"/>
      <c r="CH115" s="449"/>
      <c r="CI115" s="449"/>
      <c r="CJ115" s="449"/>
      <c r="CK115" s="449"/>
      <c r="CL115" s="449"/>
      <c r="CM115" s="449"/>
      <c r="CN115" s="449"/>
      <c r="CO115" s="449"/>
      <c r="CP115" s="449"/>
      <c r="CQ115" s="449"/>
      <c r="CR115" s="449"/>
      <c r="CS115" s="449"/>
      <c r="CT115" s="449"/>
      <c r="CU115" s="449"/>
      <c r="CV115" s="449"/>
      <c r="CW115" s="449"/>
      <c r="CX115" s="449"/>
      <c r="CY115" s="449"/>
      <c r="CZ115" s="449"/>
      <c r="DA115" s="449"/>
      <c r="DB115" s="449"/>
      <c r="DC115" s="449"/>
      <c r="DD115" s="449"/>
      <c r="DE115" s="449"/>
      <c r="DF115" s="449"/>
      <c r="DG115" s="449"/>
      <c r="DH115" s="449"/>
      <c r="DI115" s="449"/>
      <c r="DJ115" s="449"/>
      <c r="DK115" s="449"/>
      <c r="DL115" s="449"/>
      <c r="DM115" s="449"/>
      <c r="DN115" s="449"/>
      <c r="DO115" s="449"/>
      <c r="DP115" s="449"/>
      <c r="DQ115" s="449"/>
      <c r="DR115" s="449"/>
      <c r="DS115" s="449"/>
      <c r="DT115" s="449"/>
      <c r="DU115" s="449"/>
      <c r="DV115" s="449"/>
      <c r="DW115" s="449"/>
      <c r="DX115" s="449"/>
      <c r="DY115" s="449"/>
      <c r="DZ115" s="449"/>
      <c r="EA115" s="449"/>
      <c r="EB115" s="449"/>
      <c r="EC115" s="449"/>
      <c r="ED115" s="449"/>
      <c r="EE115" s="449"/>
      <c r="EF115" s="449"/>
      <c r="EG115" s="449"/>
      <c r="EH115" s="449"/>
      <c r="EI115" s="449"/>
      <c r="EJ115" s="449"/>
      <c r="EK115" s="449"/>
      <c r="EL115" s="449"/>
      <c r="EM115" s="449"/>
      <c r="EN115" s="449"/>
      <c r="EO115" s="449"/>
      <c r="EP115" s="449"/>
      <c r="EQ115" s="449"/>
      <c r="ER115" s="449"/>
      <c r="ES115" s="449"/>
      <c r="ET115" s="449"/>
      <c r="EU115" s="449"/>
      <c r="EV115" s="449"/>
      <c r="EW115" s="449"/>
      <c r="EX115" s="449"/>
      <c r="EY115" s="449"/>
      <c r="EZ115" s="449"/>
      <c r="FA115" s="449"/>
      <c r="FB115" s="449"/>
      <c r="FC115" s="449"/>
      <c r="FD115" s="449"/>
      <c r="FE115" s="449"/>
      <c r="FF115" s="449"/>
      <c r="FG115" s="449"/>
      <c r="FH115" s="449"/>
      <c r="FI115" s="449"/>
      <c r="FJ115" s="449"/>
      <c r="FK115" s="449"/>
      <c r="FL115" s="449"/>
      <c r="FM115" s="449"/>
      <c r="FN115" s="449"/>
      <c r="FO115" s="449"/>
      <c r="FP115" s="449"/>
      <c r="FQ115" s="449"/>
      <c r="FR115" s="449"/>
      <c r="FS115" s="449"/>
      <c r="FT115" s="449"/>
      <c r="FU115" s="449"/>
      <c r="FV115" s="449"/>
      <c r="FW115" s="449"/>
      <c r="FX115" s="449"/>
      <c r="FY115" s="449"/>
      <c r="FZ115" s="449"/>
      <c r="GA115" s="449"/>
      <c r="GB115" s="449"/>
      <c r="GC115" s="449"/>
      <c r="GD115" s="449"/>
      <c r="GE115" s="449"/>
      <c r="GF115" s="449"/>
      <c r="GG115" s="449"/>
      <c r="GH115" s="449"/>
      <c r="GI115" s="449"/>
      <c r="GJ115" s="449"/>
      <c r="GK115" s="449"/>
      <c r="GL115" s="449"/>
      <c r="GM115" s="449"/>
      <c r="GN115" s="449"/>
      <c r="GO115" s="449"/>
      <c r="GP115" s="449"/>
      <c r="GQ115" s="449"/>
      <c r="GR115" s="449"/>
      <c r="GS115" s="449"/>
      <c r="GT115" s="449"/>
      <c r="GU115" s="449"/>
      <c r="GV115" s="449"/>
      <c r="GW115" s="449"/>
      <c r="GX115" s="449"/>
      <c r="GY115" s="449"/>
      <c r="GZ115" s="449"/>
      <c r="HA115" s="449"/>
      <c r="HB115" s="449"/>
      <c r="HC115" s="449"/>
      <c r="HD115" s="449"/>
      <c r="HE115" s="449"/>
      <c r="HF115" s="449"/>
      <c r="HG115" s="449"/>
      <c r="HH115" s="449"/>
      <c r="HI115" s="449"/>
      <c r="HJ115" s="449"/>
      <c r="HK115" s="449"/>
      <c r="HL115" s="449"/>
      <c r="HM115" s="449"/>
      <c r="HN115" s="449"/>
      <c r="HO115" s="449"/>
      <c r="HP115" s="449"/>
      <c r="HQ115" s="449"/>
      <c r="HR115" s="449"/>
      <c r="HS115" s="449"/>
      <c r="HT115" s="449"/>
      <c r="HU115" s="449"/>
      <c r="HV115" s="449"/>
      <c r="HW115" s="449"/>
      <c r="HX115" s="449"/>
      <c r="HY115" s="449"/>
      <c r="HZ115" s="449"/>
      <c r="IA115" s="449"/>
      <c r="IB115" s="449"/>
      <c r="IC115" s="449"/>
      <c r="ID115" s="449"/>
      <c r="IE115" s="449"/>
      <c r="IF115" s="449"/>
      <c r="IG115" s="449"/>
      <c r="IH115" s="449"/>
      <c r="II115" s="449"/>
      <c r="IJ115" s="449"/>
      <c r="IK115" s="449"/>
      <c r="IL115" s="449"/>
      <c r="IM115" s="449"/>
      <c r="IN115" s="449"/>
      <c r="IO115" s="449"/>
      <c r="IP115" s="449"/>
      <c r="IQ115" s="449"/>
      <c r="IR115" s="449"/>
      <c r="IS115" s="449"/>
      <c r="IT115" s="449"/>
      <c r="IU115" s="449"/>
      <c r="IV115" s="449"/>
      <c r="IW115" s="449"/>
    </row>
    <row r="116" customFormat="false" ht="12.75" hidden="false" customHeight="false" outlineLevel="0" collapsed="false">
      <c r="A116" s="461" t="n">
        <f aca="false">A115+1</f>
        <v>95</v>
      </c>
      <c r="B116" s="437"/>
      <c r="C116" s="157"/>
      <c r="D116" s="500"/>
      <c r="E116" s="504" t="s">
        <v>928</v>
      </c>
      <c r="F116" s="502"/>
      <c r="G116" s="504" t="s">
        <v>929</v>
      </c>
      <c r="H116" s="157"/>
      <c r="I116" s="504" t="s">
        <v>929</v>
      </c>
      <c r="J116" s="157"/>
      <c r="K116" s="503"/>
      <c r="L116" s="449"/>
      <c r="M116" s="449"/>
      <c r="N116" s="449"/>
      <c r="O116" s="449"/>
      <c r="P116" s="449"/>
      <c r="Q116" s="449"/>
      <c r="R116" s="449"/>
      <c r="S116" s="449"/>
      <c r="T116" s="449"/>
      <c r="U116" s="449"/>
      <c r="V116" s="449"/>
      <c r="W116" s="449"/>
      <c r="X116" s="449"/>
      <c r="Y116" s="449"/>
      <c r="Z116" s="449"/>
      <c r="AA116" s="449"/>
      <c r="AB116" s="449"/>
      <c r="AC116" s="449"/>
      <c r="AD116" s="449"/>
      <c r="AE116" s="449"/>
      <c r="AF116" s="449"/>
      <c r="AG116" s="449"/>
      <c r="AH116" s="449"/>
      <c r="AI116" s="449"/>
      <c r="AJ116" s="449"/>
      <c r="AK116" s="449"/>
      <c r="AL116" s="449"/>
      <c r="AM116" s="449"/>
      <c r="AN116" s="449"/>
      <c r="AO116" s="449"/>
      <c r="AP116" s="449"/>
      <c r="AQ116" s="449"/>
      <c r="AR116" s="449"/>
      <c r="AS116" s="449"/>
      <c r="AT116" s="449"/>
      <c r="AU116" s="449"/>
      <c r="AV116" s="449"/>
      <c r="AW116" s="449"/>
      <c r="AX116" s="449"/>
      <c r="AY116" s="449"/>
      <c r="AZ116" s="449"/>
      <c r="BA116" s="449"/>
      <c r="BB116" s="449"/>
      <c r="BC116" s="449"/>
      <c r="BD116" s="449"/>
      <c r="BE116" s="449"/>
      <c r="BF116" s="449"/>
      <c r="BG116" s="449"/>
      <c r="BH116" s="449"/>
      <c r="BI116" s="449"/>
      <c r="BJ116" s="449"/>
      <c r="BK116" s="449"/>
      <c r="BL116" s="449"/>
      <c r="BM116" s="449"/>
      <c r="BN116" s="449"/>
      <c r="BO116" s="449"/>
      <c r="BP116" s="449"/>
      <c r="BQ116" s="449"/>
      <c r="BR116" s="449"/>
      <c r="BS116" s="449"/>
      <c r="BT116" s="449"/>
      <c r="BU116" s="449"/>
      <c r="BV116" s="449"/>
      <c r="BW116" s="449"/>
      <c r="BX116" s="449"/>
      <c r="BY116" s="449"/>
      <c r="BZ116" s="449"/>
      <c r="CA116" s="449"/>
      <c r="CB116" s="449"/>
      <c r="CC116" s="449"/>
      <c r="CD116" s="449"/>
      <c r="CE116" s="449"/>
      <c r="CF116" s="449"/>
      <c r="CG116" s="449"/>
      <c r="CH116" s="449"/>
      <c r="CI116" s="449"/>
      <c r="CJ116" s="449"/>
      <c r="CK116" s="449"/>
      <c r="CL116" s="449"/>
      <c r="CM116" s="449"/>
      <c r="CN116" s="449"/>
      <c r="CO116" s="449"/>
      <c r="CP116" s="449"/>
      <c r="CQ116" s="449"/>
      <c r="CR116" s="449"/>
      <c r="CS116" s="449"/>
      <c r="CT116" s="449"/>
      <c r="CU116" s="449"/>
      <c r="CV116" s="449"/>
      <c r="CW116" s="449"/>
      <c r="CX116" s="449"/>
      <c r="CY116" s="449"/>
      <c r="CZ116" s="449"/>
      <c r="DA116" s="449"/>
      <c r="DB116" s="449"/>
      <c r="DC116" s="449"/>
      <c r="DD116" s="449"/>
      <c r="DE116" s="449"/>
      <c r="DF116" s="449"/>
      <c r="DG116" s="449"/>
      <c r="DH116" s="449"/>
      <c r="DI116" s="449"/>
      <c r="DJ116" s="449"/>
      <c r="DK116" s="449"/>
      <c r="DL116" s="449"/>
      <c r="DM116" s="449"/>
      <c r="DN116" s="449"/>
      <c r="DO116" s="449"/>
      <c r="DP116" s="449"/>
      <c r="DQ116" s="449"/>
      <c r="DR116" s="449"/>
      <c r="DS116" s="449"/>
      <c r="DT116" s="449"/>
      <c r="DU116" s="449"/>
      <c r="DV116" s="449"/>
      <c r="DW116" s="449"/>
      <c r="DX116" s="449"/>
      <c r="DY116" s="449"/>
      <c r="DZ116" s="449"/>
      <c r="EA116" s="449"/>
      <c r="EB116" s="449"/>
      <c r="EC116" s="449"/>
      <c r="ED116" s="449"/>
      <c r="EE116" s="449"/>
      <c r="EF116" s="449"/>
      <c r="EG116" s="449"/>
      <c r="EH116" s="449"/>
      <c r="EI116" s="449"/>
      <c r="EJ116" s="449"/>
      <c r="EK116" s="449"/>
      <c r="EL116" s="449"/>
      <c r="EM116" s="449"/>
      <c r="EN116" s="449"/>
      <c r="EO116" s="449"/>
      <c r="EP116" s="449"/>
      <c r="EQ116" s="449"/>
      <c r="ER116" s="449"/>
      <c r="ES116" s="449"/>
      <c r="ET116" s="449"/>
      <c r="EU116" s="449"/>
      <c r="EV116" s="449"/>
      <c r="EW116" s="449"/>
      <c r="EX116" s="449"/>
      <c r="EY116" s="449"/>
      <c r="EZ116" s="449"/>
      <c r="FA116" s="449"/>
      <c r="FB116" s="449"/>
      <c r="FC116" s="449"/>
      <c r="FD116" s="449"/>
      <c r="FE116" s="449"/>
      <c r="FF116" s="449"/>
      <c r="FG116" s="449"/>
      <c r="FH116" s="449"/>
      <c r="FI116" s="449"/>
      <c r="FJ116" s="449"/>
      <c r="FK116" s="449"/>
      <c r="FL116" s="449"/>
      <c r="FM116" s="449"/>
      <c r="FN116" s="449"/>
      <c r="FO116" s="449"/>
      <c r="FP116" s="449"/>
      <c r="FQ116" s="449"/>
      <c r="FR116" s="449"/>
      <c r="FS116" s="449"/>
      <c r="FT116" s="449"/>
      <c r="FU116" s="449"/>
      <c r="FV116" s="449"/>
      <c r="FW116" s="449"/>
      <c r="FX116" s="449"/>
      <c r="FY116" s="449"/>
      <c r="FZ116" s="449"/>
      <c r="GA116" s="449"/>
      <c r="GB116" s="449"/>
      <c r="GC116" s="449"/>
      <c r="GD116" s="449"/>
      <c r="GE116" s="449"/>
      <c r="GF116" s="449"/>
      <c r="GG116" s="449"/>
      <c r="GH116" s="449"/>
      <c r="GI116" s="449"/>
      <c r="GJ116" s="449"/>
      <c r="GK116" s="449"/>
      <c r="GL116" s="449"/>
      <c r="GM116" s="449"/>
      <c r="GN116" s="449"/>
      <c r="GO116" s="449"/>
      <c r="GP116" s="449"/>
      <c r="GQ116" s="449"/>
      <c r="GR116" s="449"/>
      <c r="GS116" s="449"/>
      <c r="GT116" s="449"/>
      <c r="GU116" s="449"/>
      <c r="GV116" s="449"/>
      <c r="GW116" s="449"/>
      <c r="GX116" s="449"/>
      <c r="GY116" s="449"/>
      <c r="GZ116" s="449"/>
      <c r="HA116" s="449"/>
      <c r="HB116" s="449"/>
      <c r="HC116" s="449"/>
      <c r="HD116" s="449"/>
      <c r="HE116" s="449"/>
      <c r="HF116" s="449"/>
      <c r="HG116" s="449"/>
      <c r="HH116" s="449"/>
      <c r="HI116" s="449"/>
      <c r="HJ116" s="449"/>
      <c r="HK116" s="449"/>
      <c r="HL116" s="449"/>
      <c r="HM116" s="449"/>
      <c r="HN116" s="449"/>
      <c r="HO116" s="449"/>
      <c r="HP116" s="449"/>
      <c r="HQ116" s="449"/>
      <c r="HR116" s="449"/>
      <c r="HS116" s="449"/>
      <c r="HT116" s="449"/>
      <c r="HU116" s="449"/>
      <c r="HV116" s="449"/>
      <c r="HW116" s="449"/>
      <c r="HX116" s="449"/>
      <c r="HY116" s="449"/>
      <c r="HZ116" s="449"/>
      <c r="IA116" s="449"/>
      <c r="IB116" s="449"/>
      <c r="IC116" s="449"/>
      <c r="ID116" s="449"/>
      <c r="IE116" s="449"/>
      <c r="IF116" s="449"/>
      <c r="IG116" s="449"/>
      <c r="IH116" s="449"/>
      <c r="II116" s="449"/>
      <c r="IJ116" s="449"/>
      <c r="IK116" s="449"/>
      <c r="IL116" s="449"/>
      <c r="IM116" s="449"/>
      <c r="IN116" s="449"/>
      <c r="IO116" s="449"/>
      <c r="IP116" s="449"/>
      <c r="IQ116" s="449"/>
      <c r="IR116" s="449"/>
      <c r="IS116" s="449"/>
      <c r="IT116" s="449"/>
      <c r="IU116" s="449"/>
      <c r="IV116" s="449"/>
      <c r="IW116" s="449"/>
    </row>
    <row r="117" customFormat="false" ht="12.75" hidden="false" customHeight="false" outlineLevel="0" collapsed="false">
      <c r="A117" s="461" t="n">
        <f aca="false">A116+1</f>
        <v>96</v>
      </c>
      <c r="B117" s="437"/>
      <c r="C117" s="157"/>
      <c r="D117" s="500"/>
      <c r="E117" s="505" t="s">
        <v>930</v>
      </c>
      <c r="F117" s="502"/>
      <c r="G117" s="505" t="s">
        <v>931</v>
      </c>
      <c r="H117" s="157"/>
      <c r="I117" s="505" t="s">
        <v>932</v>
      </c>
      <c r="J117" s="157"/>
      <c r="K117" s="503"/>
      <c r="L117" s="449"/>
      <c r="M117" s="449"/>
      <c r="N117" s="449"/>
      <c r="O117" s="449"/>
      <c r="P117" s="449"/>
      <c r="Q117" s="449"/>
      <c r="R117" s="449"/>
      <c r="S117" s="449"/>
      <c r="T117" s="449"/>
      <c r="U117" s="449"/>
      <c r="V117" s="449"/>
      <c r="W117" s="449"/>
      <c r="X117" s="449"/>
      <c r="Y117" s="449"/>
      <c r="Z117" s="449"/>
      <c r="AA117" s="449"/>
      <c r="AB117" s="449"/>
      <c r="AC117" s="449"/>
      <c r="AD117" s="449"/>
      <c r="AE117" s="449"/>
      <c r="AF117" s="449"/>
      <c r="AG117" s="449"/>
      <c r="AH117" s="449"/>
      <c r="AI117" s="449"/>
      <c r="AJ117" s="449"/>
      <c r="AK117" s="449"/>
      <c r="AL117" s="449"/>
      <c r="AM117" s="449"/>
      <c r="AN117" s="449"/>
      <c r="AO117" s="449"/>
      <c r="AP117" s="449"/>
      <c r="AQ117" s="449"/>
      <c r="AR117" s="449"/>
      <c r="AS117" s="449"/>
      <c r="AT117" s="449"/>
      <c r="AU117" s="449"/>
      <c r="AV117" s="449"/>
      <c r="AW117" s="449"/>
      <c r="AX117" s="449"/>
      <c r="AY117" s="449"/>
      <c r="AZ117" s="449"/>
      <c r="BA117" s="449"/>
      <c r="BB117" s="449"/>
      <c r="BC117" s="449"/>
      <c r="BD117" s="449"/>
      <c r="BE117" s="449"/>
      <c r="BF117" s="449"/>
      <c r="BG117" s="449"/>
      <c r="BH117" s="449"/>
      <c r="BI117" s="449"/>
      <c r="BJ117" s="449"/>
      <c r="BK117" s="449"/>
      <c r="BL117" s="449"/>
      <c r="BM117" s="449"/>
      <c r="BN117" s="449"/>
      <c r="BO117" s="449"/>
      <c r="BP117" s="449"/>
      <c r="BQ117" s="449"/>
      <c r="BR117" s="449"/>
      <c r="BS117" s="449"/>
      <c r="BT117" s="449"/>
      <c r="BU117" s="449"/>
      <c r="BV117" s="449"/>
      <c r="BW117" s="449"/>
      <c r="BX117" s="449"/>
      <c r="BY117" s="449"/>
      <c r="BZ117" s="449"/>
      <c r="CA117" s="449"/>
      <c r="CB117" s="449"/>
      <c r="CC117" s="449"/>
      <c r="CD117" s="449"/>
      <c r="CE117" s="449"/>
      <c r="CF117" s="449"/>
      <c r="CG117" s="449"/>
      <c r="CH117" s="449"/>
      <c r="CI117" s="449"/>
      <c r="CJ117" s="449"/>
      <c r="CK117" s="449"/>
      <c r="CL117" s="449"/>
      <c r="CM117" s="449"/>
      <c r="CN117" s="449"/>
      <c r="CO117" s="449"/>
      <c r="CP117" s="449"/>
      <c r="CQ117" s="449"/>
      <c r="CR117" s="449"/>
      <c r="CS117" s="449"/>
      <c r="CT117" s="449"/>
      <c r="CU117" s="449"/>
      <c r="CV117" s="449"/>
      <c r="CW117" s="449"/>
      <c r="CX117" s="449"/>
      <c r="CY117" s="449"/>
      <c r="CZ117" s="449"/>
      <c r="DA117" s="449"/>
      <c r="DB117" s="449"/>
      <c r="DC117" s="449"/>
      <c r="DD117" s="449"/>
      <c r="DE117" s="449"/>
      <c r="DF117" s="449"/>
      <c r="DG117" s="449"/>
      <c r="DH117" s="449"/>
      <c r="DI117" s="449"/>
      <c r="DJ117" s="449"/>
      <c r="DK117" s="449"/>
      <c r="DL117" s="449"/>
      <c r="DM117" s="449"/>
      <c r="DN117" s="449"/>
      <c r="DO117" s="449"/>
      <c r="DP117" s="449"/>
      <c r="DQ117" s="449"/>
      <c r="DR117" s="449"/>
      <c r="DS117" s="449"/>
      <c r="DT117" s="449"/>
      <c r="DU117" s="449"/>
      <c r="DV117" s="449"/>
      <c r="DW117" s="449"/>
      <c r="DX117" s="449"/>
      <c r="DY117" s="449"/>
      <c r="DZ117" s="449"/>
      <c r="EA117" s="449"/>
      <c r="EB117" s="449"/>
      <c r="EC117" s="449"/>
      <c r="ED117" s="449"/>
      <c r="EE117" s="449"/>
      <c r="EF117" s="449"/>
      <c r="EG117" s="449"/>
      <c r="EH117" s="449"/>
      <c r="EI117" s="449"/>
      <c r="EJ117" s="449"/>
      <c r="EK117" s="449"/>
      <c r="EL117" s="449"/>
      <c r="EM117" s="449"/>
      <c r="EN117" s="449"/>
      <c r="EO117" s="449"/>
      <c r="EP117" s="449"/>
      <c r="EQ117" s="449"/>
      <c r="ER117" s="449"/>
      <c r="ES117" s="449"/>
      <c r="ET117" s="449"/>
      <c r="EU117" s="449"/>
      <c r="EV117" s="449"/>
      <c r="EW117" s="449"/>
      <c r="EX117" s="449"/>
      <c r="EY117" s="449"/>
      <c r="EZ117" s="449"/>
      <c r="FA117" s="449"/>
      <c r="FB117" s="449"/>
      <c r="FC117" s="449"/>
      <c r="FD117" s="449"/>
      <c r="FE117" s="449"/>
      <c r="FF117" s="449"/>
      <c r="FG117" s="449"/>
      <c r="FH117" s="449"/>
      <c r="FI117" s="449"/>
      <c r="FJ117" s="449"/>
      <c r="FK117" s="449"/>
      <c r="FL117" s="449"/>
      <c r="FM117" s="449"/>
      <c r="FN117" s="449"/>
      <c r="FO117" s="449"/>
      <c r="FP117" s="449"/>
      <c r="FQ117" s="449"/>
      <c r="FR117" s="449"/>
      <c r="FS117" s="449"/>
      <c r="FT117" s="449"/>
      <c r="FU117" s="449"/>
      <c r="FV117" s="449"/>
      <c r="FW117" s="449"/>
      <c r="FX117" s="449"/>
      <c r="FY117" s="449"/>
      <c r="FZ117" s="449"/>
      <c r="GA117" s="449"/>
      <c r="GB117" s="449"/>
      <c r="GC117" s="449"/>
      <c r="GD117" s="449"/>
      <c r="GE117" s="449"/>
      <c r="GF117" s="449"/>
      <c r="GG117" s="449"/>
      <c r="GH117" s="449"/>
      <c r="GI117" s="449"/>
      <c r="GJ117" s="449"/>
      <c r="GK117" s="449"/>
      <c r="GL117" s="449"/>
      <c r="GM117" s="449"/>
      <c r="GN117" s="449"/>
      <c r="GO117" s="449"/>
      <c r="GP117" s="449"/>
      <c r="GQ117" s="449"/>
      <c r="GR117" s="449"/>
      <c r="GS117" s="449"/>
      <c r="GT117" s="449"/>
      <c r="GU117" s="449"/>
      <c r="GV117" s="449"/>
      <c r="GW117" s="449"/>
      <c r="GX117" s="449"/>
      <c r="GY117" s="449"/>
      <c r="GZ117" s="449"/>
      <c r="HA117" s="449"/>
      <c r="HB117" s="449"/>
      <c r="HC117" s="449"/>
      <c r="HD117" s="449"/>
      <c r="HE117" s="449"/>
      <c r="HF117" s="449"/>
      <c r="HG117" s="449"/>
      <c r="HH117" s="449"/>
      <c r="HI117" s="449"/>
      <c r="HJ117" s="449"/>
      <c r="HK117" s="449"/>
      <c r="HL117" s="449"/>
      <c r="HM117" s="449"/>
      <c r="HN117" s="449"/>
      <c r="HO117" s="449"/>
      <c r="HP117" s="449"/>
      <c r="HQ117" s="449"/>
      <c r="HR117" s="449"/>
      <c r="HS117" s="449"/>
      <c r="HT117" s="449"/>
      <c r="HU117" s="449"/>
      <c r="HV117" s="449"/>
      <c r="HW117" s="449"/>
      <c r="HX117" s="449"/>
      <c r="HY117" s="449"/>
      <c r="HZ117" s="449"/>
      <c r="IA117" s="449"/>
      <c r="IB117" s="449"/>
      <c r="IC117" s="449"/>
      <c r="ID117" s="449"/>
      <c r="IE117" s="449"/>
      <c r="IF117" s="449"/>
      <c r="IG117" s="449"/>
      <c r="IH117" s="449"/>
      <c r="II117" s="449"/>
      <c r="IJ117" s="449"/>
      <c r="IK117" s="449"/>
      <c r="IL117" s="449"/>
      <c r="IM117" s="449"/>
      <c r="IN117" s="449"/>
      <c r="IO117" s="449"/>
      <c r="IP117" s="449"/>
      <c r="IQ117" s="449"/>
      <c r="IR117" s="449"/>
      <c r="IS117" s="449"/>
      <c r="IT117" s="449"/>
      <c r="IU117" s="449"/>
      <c r="IV117" s="449"/>
      <c r="IW117" s="449"/>
    </row>
    <row r="118" customFormat="false" ht="12.75" hidden="false" customHeight="false" outlineLevel="0" collapsed="false">
      <c r="A118" s="461" t="n">
        <f aca="false">A117+1</f>
        <v>97</v>
      </c>
      <c r="B118" s="437"/>
      <c r="C118" s="157"/>
      <c r="D118" s="500"/>
      <c r="E118" s="157"/>
      <c r="F118" s="157"/>
      <c r="G118" s="157"/>
      <c r="H118" s="157"/>
      <c r="I118" s="157"/>
      <c r="J118" s="157"/>
      <c r="K118" s="503"/>
      <c r="L118" s="449"/>
      <c r="M118" s="449"/>
      <c r="N118" s="449"/>
      <c r="O118" s="449"/>
      <c r="P118" s="449"/>
      <c r="Q118" s="449"/>
      <c r="R118" s="449"/>
      <c r="S118" s="449"/>
      <c r="T118" s="449"/>
      <c r="U118" s="449"/>
      <c r="V118" s="449"/>
      <c r="W118" s="449"/>
      <c r="X118" s="449"/>
      <c r="Y118" s="449"/>
      <c r="Z118" s="449"/>
      <c r="AA118" s="449"/>
      <c r="AB118" s="449"/>
      <c r="AC118" s="449"/>
      <c r="AD118" s="449"/>
      <c r="AE118" s="449"/>
      <c r="AF118" s="449"/>
      <c r="AG118" s="449"/>
      <c r="AH118" s="449"/>
      <c r="AI118" s="449"/>
      <c r="AJ118" s="449"/>
      <c r="AK118" s="449"/>
      <c r="AL118" s="449"/>
      <c r="AM118" s="449"/>
      <c r="AN118" s="449"/>
      <c r="AO118" s="449"/>
      <c r="AP118" s="449"/>
      <c r="AQ118" s="449"/>
      <c r="AR118" s="449"/>
      <c r="AS118" s="449"/>
      <c r="AT118" s="449"/>
      <c r="AU118" s="449"/>
      <c r="AV118" s="449"/>
      <c r="AW118" s="449"/>
      <c r="AX118" s="449"/>
      <c r="AY118" s="449"/>
      <c r="AZ118" s="449"/>
      <c r="BA118" s="449"/>
      <c r="BB118" s="449"/>
      <c r="BC118" s="449"/>
      <c r="BD118" s="449"/>
      <c r="BE118" s="449"/>
      <c r="BF118" s="449"/>
      <c r="BG118" s="449"/>
      <c r="BH118" s="449"/>
      <c r="BI118" s="449"/>
      <c r="BJ118" s="449"/>
      <c r="BK118" s="449"/>
      <c r="BL118" s="449"/>
      <c r="BM118" s="449"/>
      <c r="BN118" s="449"/>
      <c r="BO118" s="449"/>
      <c r="BP118" s="449"/>
      <c r="BQ118" s="449"/>
      <c r="BR118" s="449"/>
      <c r="BS118" s="449"/>
      <c r="BT118" s="449"/>
      <c r="BU118" s="449"/>
      <c r="BV118" s="449"/>
      <c r="BW118" s="449"/>
      <c r="BX118" s="449"/>
      <c r="BY118" s="449"/>
      <c r="BZ118" s="449"/>
      <c r="CA118" s="449"/>
      <c r="CB118" s="449"/>
      <c r="CC118" s="449"/>
      <c r="CD118" s="449"/>
      <c r="CE118" s="449"/>
      <c r="CF118" s="449"/>
      <c r="CG118" s="449"/>
      <c r="CH118" s="449"/>
      <c r="CI118" s="449"/>
      <c r="CJ118" s="449"/>
      <c r="CK118" s="449"/>
      <c r="CL118" s="449"/>
      <c r="CM118" s="449"/>
      <c r="CN118" s="449"/>
      <c r="CO118" s="449"/>
      <c r="CP118" s="449"/>
      <c r="CQ118" s="449"/>
      <c r="CR118" s="449"/>
      <c r="CS118" s="449"/>
      <c r="CT118" s="449"/>
      <c r="CU118" s="449"/>
      <c r="CV118" s="449"/>
      <c r="CW118" s="449"/>
      <c r="CX118" s="449"/>
      <c r="CY118" s="449"/>
      <c r="CZ118" s="449"/>
      <c r="DA118" s="449"/>
      <c r="DB118" s="449"/>
      <c r="DC118" s="449"/>
      <c r="DD118" s="449"/>
      <c r="DE118" s="449"/>
      <c r="DF118" s="449"/>
      <c r="DG118" s="449"/>
      <c r="DH118" s="449"/>
      <c r="DI118" s="449"/>
      <c r="DJ118" s="449"/>
      <c r="DK118" s="449"/>
      <c r="DL118" s="449"/>
      <c r="DM118" s="449"/>
      <c r="DN118" s="449"/>
      <c r="DO118" s="449"/>
      <c r="DP118" s="449"/>
      <c r="DQ118" s="449"/>
      <c r="DR118" s="449"/>
      <c r="DS118" s="449"/>
      <c r="DT118" s="449"/>
      <c r="DU118" s="449"/>
      <c r="DV118" s="449"/>
      <c r="DW118" s="449"/>
      <c r="DX118" s="449"/>
      <c r="DY118" s="449"/>
      <c r="DZ118" s="449"/>
      <c r="EA118" s="449"/>
      <c r="EB118" s="449"/>
      <c r="EC118" s="449"/>
      <c r="ED118" s="449"/>
      <c r="EE118" s="449"/>
      <c r="EF118" s="449"/>
      <c r="EG118" s="449"/>
      <c r="EH118" s="449"/>
      <c r="EI118" s="449"/>
      <c r="EJ118" s="449"/>
      <c r="EK118" s="449"/>
      <c r="EL118" s="449"/>
      <c r="EM118" s="449"/>
      <c r="EN118" s="449"/>
      <c r="EO118" s="449"/>
      <c r="EP118" s="449"/>
      <c r="EQ118" s="449"/>
      <c r="ER118" s="449"/>
      <c r="ES118" s="449"/>
      <c r="ET118" s="449"/>
      <c r="EU118" s="449"/>
      <c r="EV118" s="449"/>
      <c r="EW118" s="449"/>
      <c r="EX118" s="449"/>
      <c r="EY118" s="449"/>
      <c r="EZ118" s="449"/>
      <c r="FA118" s="449"/>
      <c r="FB118" s="449"/>
      <c r="FC118" s="449"/>
      <c r="FD118" s="449"/>
      <c r="FE118" s="449"/>
      <c r="FF118" s="449"/>
      <c r="FG118" s="449"/>
      <c r="FH118" s="449"/>
      <c r="FI118" s="449"/>
      <c r="FJ118" s="449"/>
      <c r="FK118" s="449"/>
      <c r="FL118" s="449"/>
      <c r="FM118" s="449"/>
      <c r="FN118" s="449"/>
      <c r="FO118" s="449"/>
      <c r="FP118" s="449"/>
      <c r="FQ118" s="449"/>
      <c r="FR118" s="449"/>
      <c r="FS118" s="449"/>
      <c r="FT118" s="449"/>
      <c r="FU118" s="449"/>
      <c r="FV118" s="449"/>
      <c r="FW118" s="449"/>
      <c r="FX118" s="449"/>
      <c r="FY118" s="449"/>
      <c r="FZ118" s="449"/>
      <c r="GA118" s="449"/>
      <c r="GB118" s="449"/>
      <c r="GC118" s="449"/>
      <c r="GD118" s="449"/>
      <c r="GE118" s="449"/>
      <c r="GF118" s="449"/>
      <c r="GG118" s="449"/>
      <c r="GH118" s="449"/>
      <c r="GI118" s="449"/>
      <c r="GJ118" s="449"/>
      <c r="GK118" s="449"/>
      <c r="GL118" s="449"/>
      <c r="GM118" s="449"/>
      <c r="GN118" s="449"/>
      <c r="GO118" s="449"/>
      <c r="GP118" s="449"/>
      <c r="GQ118" s="449"/>
      <c r="GR118" s="449"/>
      <c r="GS118" s="449"/>
      <c r="GT118" s="449"/>
      <c r="GU118" s="449"/>
      <c r="GV118" s="449"/>
      <c r="GW118" s="449"/>
      <c r="GX118" s="449"/>
      <c r="GY118" s="449"/>
      <c r="GZ118" s="449"/>
      <c r="HA118" s="449"/>
      <c r="HB118" s="449"/>
      <c r="HC118" s="449"/>
      <c r="HD118" s="449"/>
      <c r="HE118" s="449"/>
      <c r="HF118" s="449"/>
      <c r="HG118" s="449"/>
      <c r="HH118" s="449"/>
      <c r="HI118" s="449"/>
      <c r="HJ118" s="449"/>
      <c r="HK118" s="449"/>
      <c r="HL118" s="449"/>
      <c r="HM118" s="449"/>
      <c r="HN118" s="449"/>
      <c r="HO118" s="449"/>
      <c r="HP118" s="449"/>
      <c r="HQ118" s="449"/>
      <c r="HR118" s="449"/>
      <c r="HS118" s="449"/>
      <c r="HT118" s="449"/>
      <c r="HU118" s="449"/>
      <c r="HV118" s="449"/>
      <c r="HW118" s="449"/>
      <c r="HX118" s="449"/>
      <c r="HY118" s="449"/>
      <c r="HZ118" s="449"/>
      <c r="IA118" s="449"/>
      <c r="IB118" s="449"/>
      <c r="IC118" s="449"/>
      <c r="ID118" s="449"/>
      <c r="IE118" s="449"/>
      <c r="IF118" s="449"/>
      <c r="IG118" s="449"/>
      <c r="IH118" s="449"/>
      <c r="II118" s="449"/>
      <c r="IJ118" s="449"/>
      <c r="IK118" s="449"/>
      <c r="IL118" s="449"/>
      <c r="IM118" s="449"/>
      <c r="IN118" s="449"/>
      <c r="IO118" s="449"/>
      <c r="IP118" s="449"/>
      <c r="IQ118" s="449"/>
      <c r="IR118" s="449"/>
      <c r="IS118" s="449"/>
      <c r="IT118" s="449"/>
      <c r="IU118" s="449"/>
      <c r="IV118" s="449"/>
      <c r="IW118" s="449"/>
    </row>
    <row r="119" customFormat="false" ht="12.75" hidden="false" customHeight="false" outlineLevel="0" collapsed="false">
      <c r="A119" s="461" t="n">
        <f aca="false">A118+1</f>
        <v>98</v>
      </c>
      <c r="B119" s="437"/>
      <c r="C119" s="506" t="s">
        <v>933</v>
      </c>
      <c r="D119" s="452"/>
      <c r="E119" s="507" t="s">
        <v>934</v>
      </c>
      <c r="F119" s="194"/>
      <c r="G119" s="507" t="s">
        <v>934</v>
      </c>
      <c r="H119" s="157"/>
      <c r="I119" s="508" t="s">
        <v>935</v>
      </c>
      <c r="J119" s="157"/>
      <c r="K119" s="503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49"/>
      <c r="Z119" s="449"/>
      <c r="AA119" s="449"/>
      <c r="AB119" s="449"/>
      <c r="AC119" s="449"/>
      <c r="AD119" s="449"/>
      <c r="AE119" s="449"/>
      <c r="AF119" s="449"/>
      <c r="AG119" s="449"/>
      <c r="AH119" s="449"/>
      <c r="AI119" s="449"/>
      <c r="AJ119" s="449"/>
      <c r="AK119" s="449"/>
      <c r="AL119" s="449"/>
      <c r="AM119" s="449"/>
      <c r="AN119" s="449"/>
      <c r="AO119" s="449"/>
      <c r="AP119" s="449"/>
      <c r="AQ119" s="449"/>
      <c r="AR119" s="449"/>
      <c r="AS119" s="449"/>
      <c r="AT119" s="449"/>
      <c r="AU119" s="449"/>
      <c r="AV119" s="449"/>
      <c r="AW119" s="449"/>
      <c r="AX119" s="449"/>
      <c r="AY119" s="449"/>
      <c r="AZ119" s="449"/>
      <c r="BA119" s="449"/>
      <c r="BB119" s="449"/>
      <c r="BC119" s="449"/>
      <c r="BD119" s="449"/>
      <c r="BE119" s="449"/>
      <c r="BF119" s="449"/>
      <c r="BG119" s="449"/>
      <c r="BH119" s="449"/>
      <c r="BI119" s="449"/>
      <c r="BJ119" s="449"/>
      <c r="BK119" s="449"/>
      <c r="BL119" s="449"/>
      <c r="BM119" s="449"/>
      <c r="BN119" s="449"/>
      <c r="BO119" s="449"/>
      <c r="BP119" s="449"/>
      <c r="BQ119" s="449"/>
      <c r="BR119" s="449"/>
      <c r="BS119" s="449"/>
      <c r="BT119" s="449"/>
      <c r="BU119" s="449"/>
      <c r="BV119" s="449"/>
      <c r="BW119" s="449"/>
      <c r="BX119" s="449"/>
      <c r="BY119" s="449"/>
      <c r="BZ119" s="449"/>
      <c r="CA119" s="449"/>
      <c r="CB119" s="449"/>
      <c r="CC119" s="449"/>
      <c r="CD119" s="449"/>
      <c r="CE119" s="449"/>
      <c r="CF119" s="449"/>
      <c r="CG119" s="449"/>
      <c r="CH119" s="449"/>
      <c r="CI119" s="449"/>
      <c r="CJ119" s="449"/>
      <c r="CK119" s="449"/>
      <c r="CL119" s="449"/>
      <c r="CM119" s="449"/>
      <c r="CN119" s="449"/>
      <c r="CO119" s="449"/>
      <c r="CP119" s="449"/>
      <c r="CQ119" s="449"/>
      <c r="CR119" s="449"/>
      <c r="CS119" s="449"/>
      <c r="CT119" s="449"/>
      <c r="CU119" s="449"/>
      <c r="CV119" s="449"/>
      <c r="CW119" s="449"/>
      <c r="CX119" s="449"/>
      <c r="CY119" s="449"/>
      <c r="CZ119" s="449"/>
      <c r="DA119" s="449"/>
      <c r="DB119" s="449"/>
      <c r="DC119" s="449"/>
      <c r="DD119" s="449"/>
      <c r="DE119" s="449"/>
      <c r="DF119" s="449"/>
      <c r="DG119" s="449"/>
      <c r="DH119" s="449"/>
      <c r="DI119" s="449"/>
      <c r="DJ119" s="449"/>
      <c r="DK119" s="449"/>
      <c r="DL119" s="449"/>
      <c r="DM119" s="449"/>
      <c r="DN119" s="449"/>
      <c r="DO119" s="449"/>
      <c r="DP119" s="449"/>
      <c r="DQ119" s="449"/>
      <c r="DR119" s="449"/>
      <c r="DS119" s="449"/>
      <c r="DT119" s="449"/>
      <c r="DU119" s="449"/>
      <c r="DV119" s="449"/>
      <c r="DW119" s="449"/>
      <c r="DX119" s="449"/>
      <c r="DY119" s="449"/>
      <c r="DZ119" s="449"/>
      <c r="EA119" s="449"/>
      <c r="EB119" s="449"/>
      <c r="EC119" s="449"/>
      <c r="ED119" s="449"/>
      <c r="EE119" s="449"/>
      <c r="EF119" s="449"/>
      <c r="EG119" s="449"/>
      <c r="EH119" s="449"/>
      <c r="EI119" s="449"/>
      <c r="EJ119" s="449"/>
      <c r="EK119" s="449"/>
      <c r="EL119" s="449"/>
      <c r="EM119" s="449"/>
      <c r="EN119" s="449"/>
      <c r="EO119" s="449"/>
      <c r="EP119" s="449"/>
      <c r="EQ119" s="449"/>
      <c r="ER119" s="449"/>
      <c r="ES119" s="449"/>
      <c r="ET119" s="449"/>
      <c r="EU119" s="449"/>
      <c r="EV119" s="449"/>
      <c r="EW119" s="449"/>
      <c r="EX119" s="449"/>
      <c r="EY119" s="449"/>
      <c r="EZ119" s="449"/>
      <c r="FA119" s="449"/>
      <c r="FB119" s="449"/>
      <c r="FC119" s="449"/>
      <c r="FD119" s="449"/>
      <c r="FE119" s="449"/>
      <c r="FF119" s="449"/>
      <c r="FG119" s="449"/>
      <c r="FH119" s="449"/>
      <c r="FI119" s="449"/>
      <c r="FJ119" s="449"/>
      <c r="FK119" s="449"/>
      <c r="FL119" s="449"/>
      <c r="FM119" s="449"/>
      <c r="FN119" s="449"/>
      <c r="FO119" s="449"/>
      <c r="FP119" s="449"/>
      <c r="FQ119" s="449"/>
      <c r="FR119" s="449"/>
      <c r="FS119" s="449"/>
      <c r="FT119" s="449"/>
      <c r="FU119" s="449"/>
      <c r="FV119" s="449"/>
      <c r="FW119" s="449"/>
      <c r="FX119" s="449"/>
      <c r="FY119" s="449"/>
      <c r="FZ119" s="449"/>
      <c r="GA119" s="449"/>
      <c r="GB119" s="449"/>
      <c r="GC119" s="449"/>
      <c r="GD119" s="449"/>
      <c r="GE119" s="449"/>
      <c r="GF119" s="449"/>
      <c r="GG119" s="449"/>
      <c r="GH119" s="449"/>
      <c r="GI119" s="449"/>
      <c r="GJ119" s="449"/>
      <c r="GK119" s="449"/>
      <c r="GL119" s="449"/>
      <c r="GM119" s="449"/>
      <c r="GN119" s="449"/>
      <c r="GO119" s="449"/>
      <c r="GP119" s="449"/>
      <c r="GQ119" s="449"/>
      <c r="GR119" s="449"/>
      <c r="GS119" s="449"/>
      <c r="GT119" s="449"/>
      <c r="GU119" s="449"/>
      <c r="GV119" s="449"/>
      <c r="GW119" s="449"/>
      <c r="GX119" s="449"/>
      <c r="GY119" s="449"/>
      <c r="GZ119" s="449"/>
      <c r="HA119" s="449"/>
      <c r="HB119" s="449"/>
      <c r="HC119" s="449"/>
      <c r="HD119" s="449"/>
      <c r="HE119" s="449"/>
      <c r="HF119" s="449"/>
      <c r="HG119" s="449"/>
      <c r="HH119" s="449"/>
      <c r="HI119" s="449"/>
      <c r="HJ119" s="449"/>
      <c r="HK119" s="449"/>
      <c r="HL119" s="449"/>
      <c r="HM119" s="449"/>
      <c r="HN119" s="449"/>
      <c r="HO119" s="449"/>
      <c r="HP119" s="449"/>
      <c r="HQ119" s="449"/>
      <c r="HR119" s="449"/>
      <c r="HS119" s="449"/>
      <c r="HT119" s="449"/>
      <c r="HU119" s="449"/>
      <c r="HV119" s="449"/>
      <c r="HW119" s="449"/>
      <c r="HX119" s="449"/>
      <c r="HY119" s="449"/>
      <c r="HZ119" s="449"/>
      <c r="IA119" s="449"/>
      <c r="IB119" s="449"/>
      <c r="IC119" s="449"/>
      <c r="ID119" s="449"/>
      <c r="IE119" s="449"/>
      <c r="IF119" s="449"/>
      <c r="IG119" s="449"/>
      <c r="IH119" s="449"/>
      <c r="II119" s="449"/>
      <c r="IJ119" s="449"/>
      <c r="IK119" s="449"/>
      <c r="IL119" s="449"/>
      <c r="IM119" s="449"/>
      <c r="IN119" s="449"/>
      <c r="IO119" s="449"/>
      <c r="IP119" s="449"/>
      <c r="IQ119" s="449"/>
      <c r="IR119" s="449"/>
      <c r="IS119" s="449"/>
      <c r="IT119" s="449"/>
      <c r="IU119" s="449"/>
      <c r="IV119" s="449"/>
      <c r="IW119" s="449"/>
    </row>
    <row r="120" customFormat="false" ht="12.75" hidden="false" customHeight="false" outlineLevel="0" collapsed="false">
      <c r="A120" s="509"/>
      <c r="B120" s="437"/>
      <c r="C120" s="506" t="s">
        <v>936</v>
      </c>
      <c r="D120" s="452"/>
      <c r="E120" s="507" t="s">
        <v>937</v>
      </c>
      <c r="F120" s="194"/>
      <c r="G120" s="507" t="s">
        <v>938</v>
      </c>
      <c r="H120" s="157"/>
      <c r="I120" s="508" t="s">
        <v>939</v>
      </c>
      <c r="J120" s="157"/>
      <c r="K120" s="503"/>
      <c r="L120" s="449"/>
      <c r="M120" s="449"/>
      <c r="N120" s="449"/>
      <c r="O120" s="449"/>
      <c r="P120" s="449"/>
      <c r="Q120" s="449"/>
      <c r="R120" s="449"/>
      <c r="S120" s="449"/>
      <c r="T120" s="449"/>
      <c r="U120" s="449"/>
      <c r="V120" s="449"/>
      <c r="W120" s="449"/>
      <c r="X120" s="449"/>
      <c r="Y120" s="449"/>
      <c r="Z120" s="449"/>
      <c r="AA120" s="449"/>
      <c r="AB120" s="449"/>
      <c r="AC120" s="449"/>
      <c r="AD120" s="449"/>
      <c r="AE120" s="449"/>
      <c r="AF120" s="449"/>
      <c r="AG120" s="449"/>
      <c r="AH120" s="449"/>
      <c r="AI120" s="449"/>
      <c r="AJ120" s="449"/>
      <c r="AK120" s="449"/>
      <c r="AL120" s="449"/>
      <c r="AM120" s="449"/>
      <c r="AN120" s="449"/>
      <c r="AO120" s="449"/>
      <c r="AP120" s="449"/>
      <c r="AQ120" s="449"/>
      <c r="AR120" s="449"/>
      <c r="AS120" s="449"/>
      <c r="AT120" s="449"/>
      <c r="AU120" s="449"/>
      <c r="AV120" s="449"/>
      <c r="AW120" s="449"/>
      <c r="AX120" s="449"/>
      <c r="AY120" s="449"/>
      <c r="AZ120" s="449"/>
      <c r="BA120" s="449"/>
      <c r="BB120" s="449"/>
      <c r="BC120" s="449"/>
      <c r="BD120" s="449"/>
      <c r="BE120" s="449"/>
      <c r="BF120" s="449"/>
      <c r="BG120" s="449"/>
      <c r="BH120" s="449"/>
      <c r="BI120" s="449"/>
      <c r="BJ120" s="449"/>
      <c r="BK120" s="449"/>
      <c r="BL120" s="449"/>
      <c r="BM120" s="449"/>
      <c r="BN120" s="449"/>
      <c r="BO120" s="449"/>
      <c r="BP120" s="449"/>
      <c r="BQ120" s="449"/>
      <c r="BR120" s="449"/>
      <c r="BS120" s="449"/>
      <c r="BT120" s="449"/>
      <c r="BU120" s="449"/>
      <c r="BV120" s="449"/>
      <c r="BW120" s="449"/>
      <c r="BX120" s="449"/>
      <c r="BY120" s="449"/>
      <c r="BZ120" s="449"/>
      <c r="CA120" s="449"/>
      <c r="CB120" s="449"/>
      <c r="CC120" s="449"/>
      <c r="CD120" s="449"/>
      <c r="CE120" s="449"/>
      <c r="CF120" s="449"/>
      <c r="CG120" s="449"/>
      <c r="CH120" s="449"/>
      <c r="CI120" s="449"/>
      <c r="CJ120" s="449"/>
      <c r="CK120" s="449"/>
      <c r="CL120" s="449"/>
      <c r="CM120" s="449"/>
      <c r="CN120" s="449"/>
      <c r="CO120" s="449"/>
      <c r="CP120" s="449"/>
      <c r="CQ120" s="449"/>
      <c r="CR120" s="449"/>
      <c r="CS120" s="449"/>
      <c r="CT120" s="449"/>
      <c r="CU120" s="449"/>
      <c r="CV120" s="449"/>
      <c r="CW120" s="449"/>
      <c r="CX120" s="449"/>
      <c r="CY120" s="449"/>
      <c r="CZ120" s="449"/>
      <c r="DA120" s="449"/>
      <c r="DB120" s="449"/>
      <c r="DC120" s="449"/>
      <c r="DD120" s="449"/>
      <c r="DE120" s="449"/>
      <c r="DF120" s="449"/>
      <c r="DG120" s="449"/>
      <c r="DH120" s="449"/>
      <c r="DI120" s="449"/>
      <c r="DJ120" s="449"/>
      <c r="DK120" s="449"/>
      <c r="DL120" s="449"/>
      <c r="DM120" s="449"/>
      <c r="DN120" s="449"/>
      <c r="DO120" s="449"/>
      <c r="DP120" s="449"/>
      <c r="DQ120" s="449"/>
      <c r="DR120" s="449"/>
      <c r="DS120" s="449"/>
      <c r="DT120" s="449"/>
      <c r="DU120" s="449"/>
      <c r="DV120" s="449"/>
      <c r="DW120" s="449"/>
      <c r="DX120" s="449"/>
      <c r="DY120" s="449"/>
      <c r="DZ120" s="449"/>
      <c r="EA120" s="449"/>
      <c r="EB120" s="449"/>
      <c r="EC120" s="449"/>
      <c r="ED120" s="449"/>
      <c r="EE120" s="449"/>
      <c r="EF120" s="449"/>
      <c r="EG120" s="449"/>
      <c r="EH120" s="449"/>
      <c r="EI120" s="449"/>
      <c r="EJ120" s="449"/>
      <c r="EK120" s="449"/>
      <c r="EL120" s="449"/>
      <c r="EM120" s="449"/>
      <c r="EN120" s="449"/>
      <c r="EO120" s="449"/>
      <c r="EP120" s="449"/>
      <c r="EQ120" s="449"/>
      <c r="ER120" s="449"/>
      <c r="ES120" s="449"/>
      <c r="ET120" s="449"/>
      <c r="EU120" s="449"/>
      <c r="EV120" s="449"/>
      <c r="EW120" s="449"/>
      <c r="EX120" s="449"/>
      <c r="EY120" s="449"/>
      <c r="EZ120" s="449"/>
      <c r="FA120" s="449"/>
      <c r="FB120" s="449"/>
      <c r="FC120" s="449"/>
      <c r="FD120" s="449"/>
      <c r="FE120" s="449"/>
      <c r="FF120" s="449"/>
      <c r="FG120" s="449"/>
      <c r="FH120" s="449"/>
      <c r="FI120" s="449"/>
      <c r="FJ120" s="449"/>
      <c r="FK120" s="449"/>
      <c r="FL120" s="449"/>
      <c r="FM120" s="449"/>
      <c r="FN120" s="449"/>
      <c r="FO120" s="449"/>
      <c r="FP120" s="449"/>
      <c r="FQ120" s="449"/>
      <c r="FR120" s="449"/>
      <c r="FS120" s="449"/>
      <c r="FT120" s="449"/>
      <c r="FU120" s="449"/>
      <c r="FV120" s="449"/>
      <c r="FW120" s="449"/>
      <c r="FX120" s="449"/>
      <c r="FY120" s="449"/>
      <c r="FZ120" s="449"/>
      <c r="GA120" s="449"/>
      <c r="GB120" s="449"/>
      <c r="GC120" s="449"/>
      <c r="GD120" s="449"/>
      <c r="GE120" s="449"/>
      <c r="GF120" s="449"/>
      <c r="GG120" s="449"/>
      <c r="GH120" s="449"/>
      <c r="GI120" s="449"/>
      <c r="GJ120" s="449"/>
      <c r="GK120" s="449"/>
      <c r="GL120" s="449"/>
      <c r="GM120" s="449"/>
      <c r="GN120" s="449"/>
      <c r="GO120" s="449"/>
      <c r="GP120" s="449"/>
      <c r="GQ120" s="449"/>
      <c r="GR120" s="449"/>
      <c r="GS120" s="449"/>
      <c r="GT120" s="449"/>
      <c r="GU120" s="449"/>
      <c r="GV120" s="449"/>
      <c r="GW120" s="449"/>
      <c r="GX120" s="449"/>
      <c r="GY120" s="449"/>
      <c r="GZ120" s="449"/>
      <c r="HA120" s="449"/>
      <c r="HB120" s="449"/>
      <c r="HC120" s="449"/>
      <c r="HD120" s="449"/>
      <c r="HE120" s="449"/>
      <c r="HF120" s="449"/>
      <c r="HG120" s="449"/>
      <c r="HH120" s="449"/>
      <c r="HI120" s="449"/>
      <c r="HJ120" s="449"/>
      <c r="HK120" s="449"/>
      <c r="HL120" s="449"/>
      <c r="HM120" s="449"/>
      <c r="HN120" s="449"/>
      <c r="HO120" s="449"/>
      <c r="HP120" s="449"/>
      <c r="HQ120" s="449"/>
      <c r="HR120" s="449"/>
      <c r="HS120" s="449"/>
      <c r="HT120" s="449"/>
      <c r="HU120" s="449"/>
      <c r="HV120" s="449"/>
      <c r="HW120" s="449"/>
      <c r="HX120" s="449"/>
      <c r="HY120" s="449"/>
      <c r="HZ120" s="449"/>
      <c r="IA120" s="449"/>
      <c r="IB120" s="449"/>
      <c r="IC120" s="449"/>
      <c r="ID120" s="449"/>
      <c r="IE120" s="449"/>
      <c r="IF120" s="449"/>
      <c r="IG120" s="449"/>
      <c r="IH120" s="449"/>
      <c r="II120" s="449"/>
      <c r="IJ120" s="449"/>
      <c r="IK120" s="449"/>
      <c r="IL120" s="449"/>
      <c r="IM120" s="449"/>
      <c r="IN120" s="449"/>
      <c r="IO120" s="449"/>
      <c r="IP120" s="449"/>
      <c r="IQ120" s="449"/>
      <c r="IR120" s="449"/>
      <c r="IS120" s="449"/>
      <c r="IT120" s="449"/>
      <c r="IU120" s="449"/>
      <c r="IV120" s="449"/>
      <c r="IW120" s="449"/>
    </row>
    <row r="121" customFormat="false" ht="12.75" hidden="false" customHeight="false" outlineLevel="0" collapsed="false">
      <c r="A121" s="509"/>
      <c r="B121" s="437"/>
      <c r="C121" s="506" t="s">
        <v>940</v>
      </c>
      <c r="D121" s="452"/>
      <c r="E121" s="510" t="s">
        <v>941</v>
      </c>
      <c r="F121" s="194"/>
      <c r="G121" s="510" t="s">
        <v>942</v>
      </c>
      <c r="H121" s="157"/>
      <c r="I121" s="511" t="s">
        <v>943</v>
      </c>
      <c r="J121" s="157"/>
      <c r="K121" s="503"/>
      <c r="L121" s="449"/>
      <c r="M121" s="449"/>
      <c r="N121" s="449"/>
      <c r="O121" s="449"/>
      <c r="P121" s="449"/>
      <c r="Q121" s="449"/>
      <c r="R121" s="449"/>
      <c r="S121" s="449"/>
      <c r="T121" s="449"/>
      <c r="U121" s="449"/>
      <c r="V121" s="449"/>
      <c r="W121" s="449"/>
      <c r="X121" s="449"/>
      <c r="Y121" s="449"/>
      <c r="Z121" s="449"/>
      <c r="AA121" s="449"/>
      <c r="AB121" s="449"/>
      <c r="AC121" s="449"/>
      <c r="AD121" s="449"/>
      <c r="AE121" s="449"/>
      <c r="AF121" s="449"/>
      <c r="AG121" s="449"/>
      <c r="AH121" s="449"/>
      <c r="AI121" s="449"/>
      <c r="AJ121" s="449"/>
      <c r="AK121" s="449"/>
      <c r="AL121" s="449"/>
      <c r="AM121" s="449"/>
      <c r="AN121" s="449"/>
      <c r="AO121" s="449"/>
      <c r="AP121" s="449"/>
      <c r="AQ121" s="449"/>
      <c r="AR121" s="449"/>
      <c r="AS121" s="449"/>
      <c r="AT121" s="449"/>
      <c r="AU121" s="449"/>
      <c r="AV121" s="449"/>
      <c r="AW121" s="449"/>
      <c r="AX121" s="449"/>
      <c r="AY121" s="449"/>
      <c r="AZ121" s="449"/>
      <c r="BA121" s="449"/>
      <c r="BB121" s="449"/>
      <c r="BC121" s="449"/>
      <c r="BD121" s="449"/>
      <c r="BE121" s="449"/>
      <c r="BF121" s="449"/>
      <c r="BG121" s="449"/>
      <c r="BH121" s="449"/>
      <c r="BI121" s="449"/>
      <c r="BJ121" s="449"/>
      <c r="BK121" s="449"/>
      <c r="BL121" s="449"/>
      <c r="BM121" s="449"/>
      <c r="BN121" s="449"/>
      <c r="BO121" s="449"/>
      <c r="BP121" s="449"/>
      <c r="BQ121" s="449"/>
      <c r="BR121" s="449"/>
      <c r="BS121" s="449"/>
      <c r="BT121" s="449"/>
      <c r="BU121" s="449"/>
      <c r="BV121" s="449"/>
      <c r="BW121" s="449"/>
      <c r="BX121" s="449"/>
      <c r="BY121" s="449"/>
      <c r="BZ121" s="449"/>
      <c r="CA121" s="449"/>
      <c r="CB121" s="449"/>
      <c r="CC121" s="449"/>
      <c r="CD121" s="449"/>
      <c r="CE121" s="449"/>
      <c r="CF121" s="449"/>
      <c r="CG121" s="449"/>
      <c r="CH121" s="449"/>
      <c r="CI121" s="449"/>
      <c r="CJ121" s="449"/>
      <c r="CK121" s="449"/>
      <c r="CL121" s="449"/>
      <c r="CM121" s="449"/>
      <c r="CN121" s="449"/>
      <c r="CO121" s="449"/>
      <c r="CP121" s="449"/>
      <c r="CQ121" s="449"/>
      <c r="CR121" s="449"/>
      <c r="CS121" s="449"/>
      <c r="CT121" s="449"/>
      <c r="CU121" s="449"/>
      <c r="CV121" s="449"/>
      <c r="CW121" s="449"/>
      <c r="CX121" s="449"/>
      <c r="CY121" s="449"/>
      <c r="CZ121" s="449"/>
      <c r="DA121" s="449"/>
      <c r="DB121" s="449"/>
      <c r="DC121" s="449"/>
      <c r="DD121" s="449"/>
      <c r="DE121" s="449"/>
      <c r="DF121" s="449"/>
      <c r="DG121" s="449"/>
      <c r="DH121" s="449"/>
      <c r="DI121" s="449"/>
      <c r="DJ121" s="449"/>
      <c r="DK121" s="449"/>
      <c r="DL121" s="449"/>
      <c r="DM121" s="449"/>
      <c r="DN121" s="449"/>
      <c r="DO121" s="449"/>
      <c r="DP121" s="449"/>
      <c r="DQ121" s="449"/>
      <c r="DR121" s="449"/>
      <c r="DS121" s="449"/>
      <c r="DT121" s="449"/>
      <c r="DU121" s="449"/>
      <c r="DV121" s="449"/>
      <c r="DW121" s="449"/>
      <c r="DX121" s="449"/>
      <c r="DY121" s="449"/>
      <c r="DZ121" s="449"/>
      <c r="EA121" s="449"/>
      <c r="EB121" s="449"/>
      <c r="EC121" s="449"/>
      <c r="ED121" s="449"/>
      <c r="EE121" s="449"/>
      <c r="EF121" s="449"/>
      <c r="EG121" s="449"/>
      <c r="EH121" s="449"/>
      <c r="EI121" s="449"/>
      <c r="EJ121" s="449"/>
      <c r="EK121" s="449"/>
      <c r="EL121" s="449"/>
      <c r="EM121" s="449"/>
      <c r="EN121" s="449"/>
      <c r="EO121" s="449"/>
      <c r="EP121" s="449"/>
      <c r="EQ121" s="449"/>
      <c r="ER121" s="449"/>
      <c r="ES121" s="449"/>
      <c r="ET121" s="449"/>
      <c r="EU121" s="449"/>
      <c r="EV121" s="449"/>
      <c r="EW121" s="449"/>
      <c r="EX121" s="449"/>
      <c r="EY121" s="449"/>
      <c r="EZ121" s="449"/>
      <c r="FA121" s="449"/>
      <c r="FB121" s="449"/>
      <c r="FC121" s="449"/>
      <c r="FD121" s="449"/>
      <c r="FE121" s="449"/>
      <c r="FF121" s="449"/>
      <c r="FG121" s="449"/>
      <c r="FH121" s="449"/>
      <c r="FI121" s="449"/>
      <c r="FJ121" s="449"/>
      <c r="FK121" s="449"/>
      <c r="FL121" s="449"/>
      <c r="FM121" s="449"/>
      <c r="FN121" s="449"/>
      <c r="FO121" s="449"/>
      <c r="FP121" s="449"/>
      <c r="FQ121" s="449"/>
      <c r="FR121" s="449"/>
      <c r="FS121" s="449"/>
      <c r="FT121" s="449"/>
      <c r="FU121" s="449"/>
      <c r="FV121" s="449"/>
      <c r="FW121" s="449"/>
      <c r="FX121" s="449"/>
      <c r="FY121" s="449"/>
      <c r="FZ121" s="449"/>
      <c r="GA121" s="449"/>
      <c r="GB121" s="449"/>
      <c r="GC121" s="449"/>
      <c r="GD121" s="449"/>
      <c r="GE121" s="449"/>
      <c r="GF121" s="449"/>
      <c r="GG121" s="449"/>
      <c r="GH121" s="449"/>
      <c r="GI121" s="449"/>
      <c r="GJ121" s="449"/>
      <c r="GK121" s="449"/>
      <c r="GL121" s="449"/>
      <c r="GM121" s="449"/>
      <c r="GN121" s="449"/>
      <c r="GO121" s="449"/>
      <c r="GP121" s="449"/>
      <c r="GQ121" s="449"/>
      <c r="GR121" s="449"/>
      <c r="GS121" s="449"/>
      <c r="GT121" s="449"/>
      <c r="GU121" s="449"/>
      <c r="GV121" s="449"/>
      <c r="GW121" s="449"/>
      <c r="GX121" s="449"/>
      <c r="GY121" s="449"/>
      <c r="GZ121" s="449"/>
      <c r="HA121" s="449"/>
      <c r="HB121" s="449"/>
      <c r="HC121" s="449"/>
      <c r="HD121" s="449"/>
      <c r="HE121" s="449"/>
      <c r="HF121" s="449"/>
      <c r="HG121" s="449"/>
      <c r="HH121" s="449"/>
      <c r="HI121" s="449"/>
      <c r="HJ121" s="449"/>
      <c r="HK121" s="449"/>
      <c r="HL121" s="449"/>
      <c r="HM121" s="449"/>
      <c r="HN121" s="449"/>
      <c r="HO121" s="449"/>
      <c r="HP121" s="449"/>
      <c r="HQ121" s="449"/>
      <c r="HR121" s="449"/>
      <c r="HS121" s="449"/>
      <c r="HT121" s="449"/>
      <c r="HU121" s="449"/>
      <c r="HV121" s="449"/>
      <c r="HW121" s="449"/>
      <c r="HX121" s="449"/>
      <c r="HY121" s="449"/>
      <c r="HZ121" s="449"/>
      <c r="IA121" s="449"/>
      <c r="IB121" s="449"/>
      <c r="IC121" s="449"/>
      <c r="ID121" s="449"/>
      <c r="IE121" s="449"/>
      <c r="IF121" s="449"/>
      <c r="IG121" s="449"/>
      <c r="IH121" s="449"/>
      <c r="II121" s="449"/>
      <c r="IJ121" s="449"/>
      <c r="IK121" s="449"/>
      <c r="IL121" s="449"/>
      <c r="IM121" s="449"/>
      <c r="IN121" s="449"/>
      <c r="IO121" s="449"/>
      <c r="IP121" s="449"/>
      <c r="IQ121" s="449"/>
      <c r="IR121" s="449"/>
      <c r="IS121" s="449"/>
      <c r="IT121" s="449"/>
      <c r="IU121" s="449"/>
      <c r="IV121" s="449"/>
      <c r="IW121" s="449"/>
    </row>
    <row r="122" customFormat="false" ht="12.75" hidden="false" customHeight="false" outlineLevel="0" collapsed="false">
      <c r="A122" s="509"/>
      <c r="B122" s="437"/>
      <c r="C122" s="506" t="s">
        <v>944</v>
      </c>
      <c r="D122" s="452"/>
      <c r="E122" s="512" t="n">
        <v>20600</v>
      </c>
      <c r="F122" s="194"/>
      <c r="G122" s="512" t="n">
        <v>2200</v>
      </c>
      <c r="H122" s="157"/>
      <c r="I122" s="513" t="n">
        <v>0</v>
      </c>
      <c r="J122" s="157"/>
      <c r="K122" s="503"/>
      <c r="L122" s="449"/>
      <c r="M122" s="449"/>
      <c r="N122" s="449"/>
      <c r="O122" s="449"/>
      <c r="P122" s="449"/>
      <c r="Q122" s="449"/>
      <c r="R122" s="449"/>
      <c r="S122" s="449"/>
      <c r="T122" s="449"/>
      <c r="U122" s="449"/>
      <c r="V122" s="449"/>
      <c r="W122" s="449"/>
      <c r="X122" s="449"/>
      <c r="Y122" s="449"/>
      <c r="Z122" s="449"/>
      <c r="AA122" s="449"/>
      <c r="AB122" s="449"/>
      <c r="AC122" s="449"/>
      <c r="AD122" s="449"/>
      <c r="AE122" s="449"/>
      <c r="AF122" s="449"/>
      <c r="AG122" s="449"/>
      <c r="AH122" s="449"/>
      <c r="AI122" s="449"/>
      <c r="AJ122" s="449"/>
      <c r="AK122" s="449"/>
      <c r="AL122" s="449"/>
      <c r="AM122" s="449"/>
      <c r="AN122" s="449"/>
      <c r="AO122" s="449"/>
      <c r="AP122" s="449"/>
      <c r="AQ122" s="449"/>
      <c r="AR122" s="449"/>
      <c r="AS122" s="449"/>
      <c r="AT122" s="449"/>
      <c r="AU122" s="449"/>
      <c r="AV122" s="449"/>
      <c r="AW122" s="449"/>
      <c r="AX122" s="449"/>
      <c r="AY122" s="449"/>
      <c r="AZ122" s="449"/>
      <c r="BA122" s="449"/>
      <c r="BB122" s="449"/>
      <c r="BC122" s="449"/>
      <c r="BD122" s="449"/>
      <c r="BE122" s="449"/>
      <c r="BF122" s="449"/>
      <c r="BG122" s="449"/>
      <c r="BH122" s="449"/>
      <c r="BI122" s="449"/>
      <c r="BJ122" s="449"/>
      <c r="BK122" s="449"/>
      <c r="BL122" s="449"/>
      <c r="BM122" s="449"/>
      <c r="BN122" s="449"/>
      <c r="BO122" s="449"/>
      <c r="BP122" s="449"/>
      <c r="BQ122" s="449"/>
      <c r="BR122" s="449"/>
      <c r="BS122" s="449"/>
      <c r="BT122" s="449"/>
      <c r="BU122" s="449"/>
      <c r="BV122" s="449"/>
      <c r="BW122" s="449"/>
      <c r="BX122" s="449"/>
      <c r="BY122" s="449"/>
      <c r="BZ122" s="449"/>
      <c r="CA122" s="449"/>
      <c r="CB122" s="449"/>
      <c r="CC122" s="449"/>
      <c r="CD122" s="449"/>
      <c r="CE122" s="449"/>
      <c r="CF122" s="449"/>
      <c r="CG122" s="449"/>
      <c r="CH122" s="449"/>
      <c r="CI122" s="449"/>
      <c r="CJ122" s="449"/>
      <c r="CK122" s="449"/>
      <c r="CL122" s="449"/>
      <c r="CM122" s="449"/>
      <c r="CN122" s="449"/>
      <c r="CO122" s="449"/>
      <c r="CP122" s="449"/>
      <c r="CQ122" s="449"/>
      <c r="CR122" s="449"/>
      <c r="CS122" s="449"/>
      <c r="CT122" s="449"/>
      <c r="CU122" s="449"/>
      <c r="CV122" s="449"/>
      <c r="CW122" s="449"/>
      <c r="CX122" s="449"/>
      <c r="CY122" s="449"/>
      <c r="CZ122" s="449"/>
      <c r="DA122" s="449"/>
      <c r="DB122" s="449"/>
      <c r="DC122" s="449"/>
      <c r="DD122" s="449"/>
      <c r="DE122" s="449"/>
      <c r="DF122" s="449"/>
      <c r="DG122" s="449"/>
      <c r="DH122" s="449"/>
      <c r="DI122" s="449"/>
      <c r="DJ122" s="449"/>
      <c r="DK122" s="449"/>
      <c r="DL122" s="449"/>
      <c r="DM122" s="449"/>
      <c r="DN122" s="449"/>
      <c r="DO122" s="449"/>
      <c r="DP122" s="449"/>
      <c r="DQ122" s="449"/>
      <c r="DR122" s="449"/>
      <c r="DS122" s="449"/>
      <c r="DT122" s="449"/>
      <c r="DU122" s="449"/>
      <c r="DV122" s="449"/>
      <c r="DW122" s="449"/>
      <c r="DX122" s="449"/>
      <c r="DY122" s="449"/>
      <c r="DZ122" s="449"/>
      <c r="EA122" s="449"/>
      <c r="EB122" s="449"/>
      <c r="EC122" s="449"/>
      <c r="ED122" s="449"/>
      <c r="EE122" s="449"/>
      <c r="EF122" s="449"/>
      <c r="EG122" s="449"/>
      <c r="EH122" s="449"/>
      <c r="EI122" s="449"/>
      <c r="EJ122" s="449"/>
      <c r="EK122" s="449"/>
      <c r="EL122" s="449"/>
      <c r="EM122" s="449"/>
      <c r="EN122" s="449"/>
      <c r="EO122" s="449"/>
      <c r="EP122" s="449"/>
      <c r="EQ122" s="449"/>
      <c r="ER122" s="449"/>
      <c r="ES122" s="449"/>
      <c r="ET122" s="449"/>
      <c r="EU122" s="449"/>
      <c r="EV122" s="449"/>
      <c r="EW122" s="449"/>
      <c r="EX122" s="449"/>
      <c r="EY122" s="449"/>
      <c r="EZ122" s="449"/>
      <c r="FA122" s="449"/>
      <c r="FB122" s="449"/>
      <c r="FC122" s="449"/>
      <c r="FD122" s="449"/>
      <c r="FE122" s="449"/>
      <c r="FF122" s="449"/>
      <c r="FG122" s="449"/>
      <c r="FH122" s="449"/>
      <c r="FI122" s="449"/>
      <c r="FJ122" s="449"/>
      <c r="FK122" s="449"/>
      <c r="FL122" s="449"/>
      <c r="FM122" s="449"/>
      <c r="FN122" s="449"/>
      <c r="FO122" s="449"/>
      <c r="FP122" s="449"/>
      <c r="FQ122" s="449"/>
      <c r="FR122" s="449"/>
      <c r="FS122" s="449"/>
      <c r="FT122" s="449"/>
      <c r="FU122" s="449"/>
      <c r="FV122" s="449"/>
      <c r="FW122" s="449"/>
      <c r="FX122" s="449"/>
      <c r="FY122" s="449"/>
      <c r="FZ122" s="449"/>
      <c r="GA122" s="449"/>
      <c r="GB122" s="449"/>
      <c r="GC122" s="449"/>
      <c r="GD122" s="449"/>
      <c r="GE122" s="449"/>
      <c r="GF122" s="449"/>
      <c r="GG122" s="449"/>
      <c r="GH122" s="449"/>
      <c r="GI122" s="449"/>
      <c r="GJ122" s="449"/>
      <c r="GK122" s="449"/>
      <c r="GL122" s="449"/>
      <c r="GM122" s="449"/>
      <c r="GN122" s="449"/>
      <c r="GO122" s="449"/>
      <c r="GP122" s="449"/>
      <c r="GQ122" s="449"/>
      <c r="GR122" s="449"/>
      <c r="GS122" s="449"/>
      <c r="GT122" s="449"/>
      <c r="GU122" s="449"/>
      <c r="GV122" s="449"/>
      <c r="GW122" s="449"/>
      <c r="GX122" s="449"/>
      <c r="GY122" s="449"/>
      <c r="GZ122" s="449"/>
      <c r="HA122" s="449"/>
      <c r="HB122" s="449"/>
      <c r="HC122" s="449"/>
      <c r="HD122" s="449"/>
      <c r="HE122" s="449"/>
      <c r="HF122" s="449"/>
      <c r="HG122" s="449"/>
      <c r="HH122" s="449"/>
      <c r="HI122" s="449"/>
      <c r="HJ122" s="449"/>
      <c r="HK122" s="449"/>
      <c r="HL122" s="449"/>
      <c r="HM122" s="449"/>
      <c r="HN122" s="449"/>
      <c r="HO122" s="449"/>
      <c r="HP122" s="449"/>
      <c r="HQ122" s="449"/>
      <c r="HR122" s="449"/>
      <c r="HS122" s="449"/>
      <c r="HT122" s="449"/>
      <c r="HU122" s="449"/>
      <c r="HV122" s="449"/>
      <c r="HW122" s="449"/>
      <c r="HX122" s="449"/>
      <c r="HY122" s="449"/>
      <c r="HZ122" s="449"/>
      <c r="IA122" s="449"/>
      <c r="IB122" s="449"/>
      <c r="IC122" s="449"/>
      <c r="ID122" s="449"/>
      <c r="IE122" s="449"/>
      <c r="IF122" s="449"/>
      <c r="IG122" s="449"/>
      <c r="IH122" s="449"/>
      <c r="II122" s="449"/>
      <c r="IJ122" s="449"/>
      <c r="IK122" s="449"/>
      <c r="IL122" s="449"/>
      <c r="IM122" s="449"/>
      <c r="IN122" s="449"/>
      <c r="IO122" s="449"/>
      <c r="IP122" s="449"/>
      <c r="IQ122" s="449"/>
      <c r="IR122" s="449"/>
      <c r="IS122" s="449"/>
      <c r="IT122" s="449"/>
      <c r="IU122" s="449"/>
      <c r="IV122" s="449"/>
      <c r="IW122" s="449"/>
    </row>
    <row r="123" customFormat="false" ht="14.25" hidden="false" customHeight="false" outlineLevel="0" collapsed="false">
      <c r="A123" s="509"/>
      <c r="B123" s="437"/>
      <c r="C123" s="502" t="s">
        <v>945</v>
      </c>
      <c r="D123" s="452"/>
      <c r="E123" s="512" t="n">
        <v>59000</v>
      </c>
      <c r="F123" s="194"/>
      <c r="G123" s="512" t="n">
        <v>60000</v>
      </c>
      <c r="H123" s="157"/>
      <c r="I123" s="513" t="n">
        <f aca="false">89756-9923</f>
        <v>79833</v>
      </c>
      <c r="J123" s="514"/>
      <c r="K123" s="503"/>
      <c r="L123" s="449"/>
      <c r="M123" s="449"/>
      <c r="N123" s="449"/>
      <c r="O123" s="449"/>
      <c r="P123" s="449"/>
      <c r="Q123" s="449"/>
      <c r="R123" s="449"/>
      <c r="S123" s="449"/>
      <c r="T123" s="449"/>
      <c r="U123" s="449"/>
      <c r="V123" s="449"/>
      <c r="W123" s="449"/>
      <c r="X123" s="449"/>
      <c r="Y123" s="449"/>
      <c r="Z123" s="449"/>
      <c r="AA123" s="449"/>
      <c r="AB123" s="449"/>
      <c r="AC123" s="449"/>
      <c r="AD123" s="449"/>
      <c r="AE123" s="449"/>
      <c r="AF123" s="449"/>
      <c r="AG123" s="449"/>
      <c r="AH123" s="449"/>
      <c r="AI123" s="449"/>
      <c r="AJ123" s="449"/>
      <c r="AK123" s="449"/>
      <c r="AL123" s="449"/>
      <c r="AM123" s="449"/>
      <c r="AN123" s="449"/>
      <c r="AO123" s="449"/>
      <c r="AP123" s="449"/>
      <c r="AQ123" s="449"/>
      <c r="AR123" s="449"/>
      <c r="AS123" s="449"/>
      <c r="AT123" s="449"/>
      <c r="AU123" s="449"/>
      <c r="AV123" s="449"/>
      <c r="AW123" s="449"/>
      <c r="AX123" s="449"/>
      <c r="AY123" s="449"/>
      <c r="AZ123" s="449"/>
      <c r="BA123" s="449"/>
      <c r="BB123" s="449"/>
      <c r="BC123" s="449"/>
      <c r="BD123" s="449"/>
      <c r="BE123" s="449"/>
      <c r="BF123" s="449"/>
      <c r="BG123" s="449"/>
      <c r="BH123" s="449"/>
      <c r="BI123" s="449"/>
      <c r="BJ123" s="449"/>
      <c r="BK123" s="449"/>
      <c r="BL123" s="449"/>
      <c r="BM123" s="449"/>
      <c r="BN123" s="449"/>
      <c r="BO123" s="449"/>
      <c r="BP123" s="449"/>
      <c r="BQ123" s="449"/>
      <c r="BR123" s="449"/>
      <c r="BS123" s="449"/>
      <c r="BT123" s="449"/>
      <c r="BU123" s="449"/>
      <c r="BV123" s="449"/>
      <c r="BW123" s="449"/>
      <c r="BX123" s="449"/>
      <c r="BY123" s="449"/>
      <c r="BZ123" s="449"/>
      <c r="CA123" s="449"/>
      <c r="CB123" s="449"/>
      <c r="CC123" s="449"/>
      <c r="CD123" s="449"/>
      <c r="CE123" s="449"/>
      <c r="CF123" s="449"/>
      <c r="CG123" s="449"/>
      <c r="CH123" s="449"/>
      <c r="CI123" s="449"/>
      <c r="CJ123" s="449"/>
      <c r="CK123" s="449"/>
      <c r="CL123" s="449"/>
      <c r="CM123" s="449"/>
      <c r="CN123" s="449"/>
      <c r="CO123" s="449"/>
      <c r="CP123" s="449"/>
      <c r="CQ123" s="449"/>
      <c r="CR123" s="449"/>
      <c r="CS123" s="449"/>
      <c r="CT123" s="449"/>
      <c r="CU123" s="449"/>
      <c r="CV123" s="449"/>
      <c r="CW123" s="449"/>
      <c r="CX123" s="449"/>
      <c r="CY123" s="449"/>
      <c r="CZ123" s="449"/>
      <c r="DA123" s="449"/>
      <c r="DB123" s="449"/>
      <c r="DC123" s="449"/>
      <c r="DD123" s="449"/>
      <c r="DE123" s="449"/>
      <c r="DF123" s="449"/>
      <c r="DG123" s="449"/>
      <c r="DH123" s="449"/>
      <c r="DI123" s="449"/>
      <c r="DJ123" s="449"/>
      <c r="DK123" s="449"/>
      <c r="DL123" s="449"/>
      <c r="DM123" s="449"/>
      <c r="DN123" s="449"/>
      <c r="DO123" s="449"/>
      <c r="DP123" s="449"/>
      <c r="DQ123" s="449"/>
      <c r="DR123" s="449"/>
      <c r="DS123" s="449"/>
      <c r="DT123" s="449"/>
      <c r="DU123" s="449"/>
      <c r="DV123" s="449"/>
      <c r="DW123" s="449"/>
      <c r="DX123" s="449"/>
      <c r="DY123" s="449"/>
      <c r="DZ123" s="449"/>
      <c r="EA123" s="449"/>
      <c r="EB123" s="449"/>
      <c r="EC123" s="449"/>
      <c r="ED123" s="449"/>
      <c r="EE123" s="449"/>
      <c r="EF123" s="449"/>
      <c r="EG123" s="449"/>
      <c r="EH123" s="449"/>
      <c r="EI123" s="449"/>
      <c r="EJ123" s="449"/>
      <c r="EK123" s="449"/>
      <c r="EL123" s="449"/>
      <c r="EM123" s="449"/>
      <c r="EN123" s="449"/>
      <c r="EO123" s="449"/>
      <c r="EP123" s="449"/>
      <c r="EQ123" s="449"/>
      <c r="ER123" s="449"/>
      <c r="ES123" s="449"/>
      <c r="ET123" s="449"/>
      <c r="EU123" s="449"/>
      <c r="EV123" s="449"/>
      <c r="EW123" s="449"/>
      <c r="EX123" s="449"/>
      <c r="EY123" s="449"/>
      <c r="EZ123" s="449"/>
      <c r="FA123" s="449"/>
      <c r="FB123" s="449"/>
      <c r="FC123" s="449"/>
      <c r="FD123" s="449"/>
      <c r="FE123" s="449"/>
      <c r="FF123" s="449"/>
      <c r="FG123" s="449"/>
      <c r="FH123" s="449"/>
      <c r="FI123" s="449"/>
      <c r="FJ123" s="449"/>
      <c r="FK123" s="449"/>
      <c r="FL123" s="449"/>
      <c r="FM123" s="449"/>
      <c r="FN123" s="449"/>
      <c r="FO123" s="449"/>
      <c r="FP123" s="449"/>
      <c r="FQ123" s="449"/>
      <c r="FR123" s="449"/>
      <c r="FS123" s="449"/>
      <c r="FT123" s="449"/>
      <c r="FU123" s="449"/>
      <c r="FV123" s="449"/>
      <c r="FW123" s="449"/>
      <c r="FX123" s="449"/>
      <c r="FY123" s="449"/>
      <c r="FZ123" s="449"/>
      <c r="GA123" s="449"/>
      <c r="GB123" s="449"/>
      <c r="GC123" s="449"/>
      <c r="GD123" s="449"/>
      <c r="GE123" s="449"/>
      <c r="GF123" s="449"/>
      <c r="GG123" s="449"/>
      <c r="GH123" s="449"/>
      <c r="GI123" s="449"/>
      <c r="GJ123" s="449"/>
      <c r="GK123" s="449"/>
      <c r="GL123" s="449"/>
      <c r="GM123" s="449"/>
      <c r="GN123" s="449"/>
      <c r="GO123" s="449"/>
      <c r="GP123" s="449"/>
      <c r="GQ123" s="449"/>
      <c r="GR123" s="449"/>
      <c r="GS123" s="449"/>
      <c r="GT123" s="449"/>
      <c r="GU123" s="449"/>
      <c r="GV123" s="449"/>
      <c r="GW123" s="449"/>
      <c r="GX123" s="449"/>
      <c r="GY123" s="449"/>
      <c r="GZ123" s="449"/>
      <c r="HA123" s="449"/>
      <c r="HB123" s="449"/>
      <c r="HC123" s="449"/>
      <c r="HD123" s="449"/>
      <c r="HE123" s="449"/>
      <c r="HF123" s="449"/>
      <c r="HG123" s="449"/>
      <c r="HH123" s="449"/>
      <c r="HI123" s="449"/>
      <c r="HJ123" s="449"/>
      <c r="HK123" s="449"/>
      <c r="HL123" s="449"/>
      <c r="HM123" s="449"/>
      <c r="HN123" s="449"/>
      <c r="HO123" s="449"/>
      <c r="HP123" s="449"/>
      <c r="HQ123" s="449"/>
      <c r="HR123" s="449"/>
      <c r="HS123" s="449"/>
      <c r="HT123" s="449"/>
      <c r="HU123" s="449"/>
      <c r="HV123" s="449"/>
      <c r="HW123" s="449"/>
      <c r="HX123" s="449"/>
      <c r="HY123" s="449"/>
      <c r="HZ123" s="449"/>
      <c r="IA123" s="449"/>
      <c r="IB123" s="449"/>
      <c r="IC123" s="449"/>
      <c r="ID123" s="449"/>
      <c r="IE123" s="449"/>
      <c r="IF123" s="449"/>
      <c r="IG123" s="449"/>
      <c r="IH123" s="449"/>
      <c r="II123" s="449"/>
      <c r="IJ123" s="449"/>
      <c r="IK123" s="449"/>
      <c r="IL123" s="449"/>
      <c r="IM123" s="449"/>
      <c r="IN123" s="449"/>
      <c r="IO123" s="449"/>
      <c r="IP123" s="449"/>
      <c r="IQ123" s="449"/>
      <c r="IR123" s="449"/>
      <c r="IS123" s="449"/>
      <c r="IT123" s="449"/>
      <c r="IU123" s="449"/>
      <c r="IV123" s="449"/>
      <c r="IW123" s="449"/>
    </row>
    <row r="124" customFormat="false" ht="12.75" hidden="false" customHeight="false" outlineLevel="0" collapsed="false">
      <c r="A124" s="509"/>
      <c r="B124" s="437"/>
      <c r="C124" s="502" t="s">
        <v>946</v>
      </c>
      <c r="D124" s="452"/>
      <c r="E124" s="512" t="n">
        <v>15000</v>
      </c>
      <c r="F124" s="194"/>
      <c r="G124" s="512" t="n">
        <v>15000</v>
      </c>
      <c r="H124" s="157"/>
      <c r="I124" s="513" t="n">
        <v>11150</v>
      </c>
      <c r="J124" s="157"/>
      <c r="K124" s="503"/>
      <c r="L124" s="449"/>
      <c r="M124" s="449"/>
      <c r="N124" s="449"/>
      <c r="O124" s="449"/>
      <c r="P124" s="449"/>
      <c r="Q124" s="449"/>
      <c r="R124" s="449"/>
      <c r="S124" s="449"/>
      <c r="T124" s="449"/>
      <c r="U124" s="449"/>
      <c r="V124" s="449"/>
      <c r="W124" s="449"/>
      <c r="X124" s="449"/>
      <c r="Y124" s="449"/>
      <c r="Z124" s="449"/>
      <c r="AA124" s="449"/>
      <c r="AB124" s="449"/>
      <c r="AC124" s="449"/>
      <c r="AD124" s="449"/>
      <c r="AE124" s="449"/>
      <c r="AF124" s="449"/>
      <c r="AG124" s="449"/>
      <c r="AH124" s="449"/>
      <c r="AI124" s="449"/>
      <c r="AJ124" s="449"/>
      <c r="AK124" s="449"/>
      <c r="AL124" s="449"/>
      <c r="AM124" s="449"/>
      <c r="AN124" s="449"/>
      <c r="AO124" s="449"/>
      <c r="AP124" s="449"/>
      <c r="AQ124" s="449"/>
      <c r="AR124" s="449"/>
      <c r="AS124" s="449"/>
      <c r="AT124" s="449"/>
      <c r="AU124" s="449"/>
      <c r="AV124" s="449"/>
      <c r="AW124" s="449"/>
      <c r="AX124" s="449"/>
      <c r="AY124" s="449"/>
      <c r="AZ124" s="449"/>
      <c r="BA124" s="449"/>
      <c r="BB124" s="449"/>
      <c r="BC124" s="449"/>
      <c r="BD124" s="449"/>
      <c r="BE124" s="449"/>
      <c r="BF124" s="449"/>
      <c r="BG124" s="449"/>
      <c r="BH124" s="449"/>
      <c r="BI124" s="449"/>
      <c r="BJ124" s="449"/>
      <c r="BK124" s="449"/>
      <c r="BL124" s="449"/>
      <c r="BM124" s="449"/>
      <c r="BN124" s="449"/>
      <c r="BO124" s="449"/>
      <c r="BP124" s="449"/>
      <c r="BQ124" s="449"/>
      <c r="BR124" s="449"/>
      <c r="BS124" s="449"/>
      <c r="BT124" s="449"/>
      <c r="BU124" s="449"/>
      <c r="BV124" s="449"/>
      <c r="BW124" s="449"/>
      <c r="BX124" s="449"/>
      <c r="BY124" s="449"/>
      <c r="BZ124" s="449"/>
      <c r="CA124" s="449"/>
      <c r="CB124" s="449"/>
      <c r="CC124" s="449"/>
      <c r="CD124" s="449"/>
      <c r="CE124" s="449"/>
      <c r="CF124" s="449"/>
      <c r="CG124" s="449"/>
      <c r="CH124" s="449"/>
      <c r="CI124" s="449"/>
      <c r="CJ124" s="449"/>
      <c r="CK124" s="449"/>
      <c r="CL124" s="449"/>
      <c r="CM124" s="449"/>
      <c r="CN124" s="449"/>
      <c r="CO124" s="449"/>
      <c r="CP124" s="449"/>
      <c r="CQ124" s="449"/>
      <c r="CR124" s="449"/>
      <c r="CS124" s="449"/>
      <c r="CT124" s="449"/>
      <c r="CU124" s="449"/>
      <c r="CV124" s="449"/>
      <c r="CW124" s="449"/>
      <c r="CX124" s="449"/>
      <c r="CY124" s="449"/>
      <c r="CZ124" s="449"/>
      <c r="DA124" s="449"/>
      <c r="DB124" s="449"/>
      <c r="DC124" s="449"/>
      <c r="DD124" s="449"/>
      <c r="DE124" s="449"/>
      <c r="DF124" s="449"/>
      <c r="DG124" s="449"/>
      <c r="DH124" s="449"/>
      <c r="DI124" s="449"/>
      <c r="DJ124" s="449"/>
      <c r="DK124" s="449"/>
      <c r="DL124" s="449"/>
      <c r="DM124" s="449"/>
      <c r="DN124" s="449"/>
      <c r="DO124" s="449"/>
      <c r="DP124" s="449"/>
      <c r="DQ124" s="449"/>
      <c r="DR124" s="449"/>
      <c r="DS124" s="449"/>
      <c r="DT124" s="449"/>
      <c r="DU124" s="449"/>
      <c r="DV124" s="449"/>
      <c r="DW124" s="449"/>
      <c r="DX124" s="449"/>
      <c r="DY124" s="449"/>
      <c r="DZ124" s="449"/>
      <c r="EA124" s="449"/>
      <c r="EB124" s="449"/>
      <c r="EC124" s="449"/>
      <c r="ED124" s="449"/>
      <c r="EE124" s="449"/>
      <c r="EF124" s="449"/>
      <c r="EG124" s="449"/>
      <c r="EH124" s="449"/>
      <c r="EI124" s="449"/>
      <c r="EJ124" s="449"/>
      <c r="EK124" s="449"/>
      <c r="EL124" s="449"/>
      <c r="EM124" s="449"/>
      <c r="EN124" s="449"/>
      <c r="EO124" s="449"/>
      <c r="EP124" s="449"/>
      <c r="EQ124" s="449"/>
      <c r="ER124" s="449"/>
      <c r="ES124" s="449"/>
      <c r="ET124" s="449"/>
      <c r="EU124" s="449"/>
      <c r="EV124" s="449"/>
      <c r="EW124" s="449"/>
      <c r="EX124" s="449"/>
      <c r="EY124" s="449"/>
      <c r="EZ124" s="449"/>
      <c r="FA124" s="449"/>
      <c r="FB124" s="449"/>
      <c r="FC124" s="449"/>
      <c r="FD124" s="449"/>
      <c r="FE124" s="449"/>
      <c r="FF124" s="449"/>
      <c r="FG124" s="449"/>
      <c r="FH124" s="449"/>
      <c r="FI124" s="449"/>
      <c r="FJ124" s="449"/>
      <c r="FK124" s="449"/>
      <c r="FL124" s="449"/>
      <c r="FM124" s="449"/>
      <c r="FN124" s="449"/>
      <c r="FO124" s="449"/>
      <c r="FP124" s="449"/>
      <c r="FQ124" s="449"/>
      <c r="FR124" s="449"/>
      <c r="FS124" s="449"/>
      <c r="FT124" s="449"/>
      <c r="FU124" s="449"/>
      <c r="FV124" s="449"/>
      <c r="FW124" s="449"/>
      <c r="FX124" s="449"/>
      <c r="FY124" s="449"/>
      <c r="FZ124" s="449"/>
      <c r="GA124" s="449"/>
      <c r="GB124" s="449"/>
      <c r="GC124" s="449"/>
      <c r="GD124" s="449"/>
      <c r="GE124" s="449"/>
      <c r="GF124" s="449"/>
      <c r="GG124" s="449"/>
      <c r="GH124" s="449"/>
      <c r="GI124" s="449"/>
      <c r="GJ124" s="449"/>
      <c r="GK124" s="449"/>
      <c r="GL124" s="449"/>
      <c r="GM124" s="449"/>
      <c r="GN124" s="449"/>
      <c r="GO124" s="449"/>
      <c r="GP124" s="449"/>
      <c r="GQ124" s="449"/>
      <c r="GR124" s="449"/>
      <c r="GS124" s="449"/>
      <c r="GT124" s="449"/>
      <c r="GU124" s="449"/>
      <c r="GV124" s="449"/>
      <c r="GW124" s="449"/>
      <c r="GX124" s="449"/>
      <c r="GY124" s="449"/>
      <c r="GZ124" s="449"/>
      <c r="HA124" s="449"/>
      <c r="HB124" s="449"/>
      <c r="HC124" s="449"/>
      <c r="HD124" s="449"/>
      <c r="HE124" s="449"/>
      <c r="HF124" s="449"/>
      <c r="HG124" s="449"/>
      <c r="HH124" s="449"/>
      <c r="HI124" s="449"/>
      <c r="HJ124" s="449"/>
      <c r="HK124" s="449"/>
      <c r="HL124" s="449"/>
      <c r="HM124" s="449"/>
      <c r="HN124" s="449"/>
      <c r="HO124" s="449"/>
      <c r="HP124" s="449"/>
      <c r="HQ124" s="449"/>
      <c r="HR124" s="449"/>
      <c r="HS124" s="449"/>
      <c r="HT124" s="449"/>
      <c r="HU124" s="449"/>
      <c r="HV124" s="449"/>
      <c r="HW124" s="449"/>
      <c r="HX124" s="449"/>
      <c r="HY124" s="449"/>
      <c r="HZ124" s="449"/>
      <c r="IA124" s="449"/>
      <c r="IB124" s="449"/>
      <c r="IC124" s="449"/>
      <c r="ID124" s="449"/>
      <c r="IE124" s="449"/>
      <c r="IF124" s="449"/>
      <c r="IG124" s="449"/>
      <c r="IH124" s="449"/>
      <c r="II124" s="449"/>
      <c r="IJ124" s="449"/>
      <c r="IK124" s="449"/>
      <c r="IL124" s="449"/>
      <c r="IM124" s="449"/>
      <c r="IN124" s="449"/>
      <c r="IO124" s="449"/>
      <c r="IP124" s="449"/>
      <c r="IQ124" s="449"/>
      <c r="IR124" s="449"/>
      <c r="IS124" s="449"/>
      <c r="IT124" s="449"/>
      <c r="IU124" s="449"/>
      <c r="IV124" s="449"/>
      <c r="IW124" s="449"/>
    </row>
    <row r="125" customFormat="false" ht="12.75" hidden="false" customHeight="false" outlineLevel="0" collapsed="false">
      <c r="A125" s="509"/>
      <c r="B125" s="437"/>
      <c r="C125" s="502" t="s">
        <v>920</v>
      </c>
      <c r="D125" s="452"/>
      <c r="E125" s="515" t="n">
        <v>4500</v>
      </c>
      <c r="F125" s="194"/>
      <c r="G125" s="512"/>
      <c r="H125" s="157"/>
      <c r="I125" s="513" t="n">
        <v>21200</v>
      </c>
      <c r="J125" s="157"/>
      <c r="K125" s="503"/>
      <c r="L125" s="449"/>
      <c r="M125" s="449"/>
      <c r="N125" s="449"/>
      <c r="O125" s="449"/>
      <c r="P125" s="449"/>
      <c r="Q125" s="449"/>
      <c r="R125" s="449"/>
      <c r="S125" s="449"/>
      <c r="T125" s="449"/>
      <c r="U125" s="449"/>
      <c r="V125" s="449"/>
      <c r="W125" s="449"/>
      <c r="X125" s="449"/>
      <c r="Y125" s="449"/>
      <c r="Z125" s="449"/>
      <c r="AA125" s="449"/>
      <c r="AB125" s="449"/>
      <c r="AC125" s="449"/>
      <c r="AD125" s="449"/>
      <c r="AE125" s="449"/>
      <c r="AF125" s="449"/>
      <c r="AG125" s="449"/>
      <c r="AH125" s="449"/>
      <c r="AI125" s="449"/>
      <c r="AJ125" s="449"/>
      <c r="AK125" s="449"/>
      <c r="AL125" s="449"/>
      <c r="AM125" s="449"/>
      <c r="AN125" s="449"/>
      <c r="AO125" s="449"/>
      <c r="AP125" s="449"/>
      <c r="AQ125" s="449"/>
      <c r="AR125" s="449"/>
      <c r="AS125" s="449"/>
      <c r="AT125" s="449"/>
      <c r="AU125" s="449"/>
      <c r="AV125" s="449"/>
      <c r="AW125" s="449"/>
      <c r="AX125" s="449"/>
      <c r="AY125" s="449"/>
      <c r="AZ125" s="449"/>
      <c r="BA125" s="449"/>
      <c r="BB125" s="449"/>
      <c r="BC125" s="449"/>
      <c r="BD125" s="449"/>
      <c r="BE125" s="449"/>
      <c r="BF125" s="449"/>
      <c r="BG125" s="449"/>
      <c r="BH125" s="449"/>
      <c r="BI125" s="449"/>
      <c r="BJ125" s="449"/>
      <c r="BK125" s="449"/>
      <c r="BL125" s="449"/>
      <c r="BM125" s="449"/>
      <c r="BN125" s="449"/>
      <c r="BO125" s="449"/>
      <c r="BP125" s="449"/>
      <c r="BQ125" s="449"/>
      <c r="BR125" s="449"/>
      <c r="BS125" s="449"/>
      <c r="BT125" s="449"/>
      <c r="BU125" s="449"/>
      <c r="BV125" s="449"/>
      <c r="BW125" s="449"/>
      <c r="BX125" s="449"/>
      <c r="BY125" s="449"/>
      <c r="BZ125" s="449"/>
      <c r="CA125" s="449"/>
      <c r="CB125" s="449"/>
      <c r="CC125" s="449"/>
      <c r="CD125" s="449"/>
      <c r="CE125" s="449"/>
      <c r="CF125" s="449"/>
      <c r="CG125" s="449"/>
      <c r="CH125" s="449"/>
      <c r="CI125" s="449"/>
      <c r="CJ125" s="449"/>
      <c r="CK125" s="449"/>
      <c r="CL125" s="449"/>
      <c r="CM125" s="449"/>
      <c r="CN125" s="449"/>
      <c r="CO125" s="449"/>
      <c r="CP125" s="449"/>
      <c r="CQ125" s="449"/>
      <c r="CR125" s="449"/>
      <c r="CS125" s="449"/>
      <c r="CT125" s="449"/>
      <c r="CU125" s="449"/>
      <c r="CV125" s="449"/>
      <c r="CW125" s="449"/>
      <c r="CX125" s="449"/>
      <c r="CY125" s="449"/>
      <c r="CZ125" s="449"/>
      <c r="DA125" s="449"/>
      <c r="DB125" s="449"/>
      <c r="DC125" s="449"/>
      <c r="DD125" s="449"/>
      <c r="DE125" s="449"/>
      <c r="DF125" s="449"/>
      <c r="DG125" s="449"/>
      <c r="DH125" s="449"/>
      <c r="DI125" s="449"/>
      <c r="DJ125" s="449"/>
      <c r="DK125" s="449"/>
      <c r="DL125" s="449"/>
      <c r="DM125" s="449"/>
      <c r="DN125" s="449"/>
      <c r="DO125" s="449"/>
      <c r="DP125" s="449"/>
      <c r="DQ125" s="449"/>
      <c r="DR125" s="449"/>
      <c r="DS125" s="449"/>
      <c r="DT125" s="449"/>
      <c r="DU125" s="449"/>
      <c r="DV125" s="449"/>
      <c r="DW125" s="449"/>
      <c r="DX125" s="449"/>
      <c r="DY125" s="449"/>
      <c r="DZ125" s="449"/>
      <c r="EA125" s="449"/>
      <c r="EB125" s="449"/>
      <c r="EC125" s="449"/>
      <c r="ED125" s="449"/>
      <c r="EE125" s="449"/>
      <c r="EF125" s="449"/>
      <c r="EG125" s="449"/>
      <c r="EH125" s="449"/>
      <c r="EI125" s="449"/>
      <c r="EJ125" s="449"/>
      <c r="EK125" s="449"/>
      <c r="EL125" s="449"/>
      <c r="EM125" s="449"/>
      <c r="EN125" s="449"/>
      <c r="EO125" s="449"/>
      <c r="EP125" s="449"/>
      <c r="EQ125" s="449"/>
      <c r="ER125" s="449"/>
      <c r="ES125" s="449"/>
      <c r="ET125" s="449"/>
      <c r="EU125" s="449"/>
      <c r="EV125" s="449"/>
      <c r="EW125" s="449"/>
      <c r="EX125" s="449"/>
      <c r="EY125" s="449"/>
      <c r="EZ125" s="449"/>
      <c r="FA125" s="449"/>
      <c r="FB125" s="449"/>
      <c r="FC125" s="449"/>
      <c r="FD125" s="449"/>
      <c r="FE125" s="449"/>
      <c r="FF125" s="449"/>
      <c r="FG125" s="449"/>
      <c r="FH125" s="449"/>
      <c r="FI125" s="449"/>
      <c r="FJ125" s="449"/>
      <c r="FK125" s="449"/>
      <c r="FL125" s="449"/>
      <c r="FM125" s="449"/>
      <c r="FN125" s="449"/>
      <c r="FO125" s="449"/>
      <c r="FP125" s="449"/>
      <c r="FQ125" s="449"/>
      <c r="FR125" s="449"/>
      <c r="FS125" s="449"/>
      <c r="FT125" s="449"/>
      <c r="FU125" s="449"/>
      <c r="FV125" s="449"/>
      <c r="FW125" s="449"/>
      <c r="FX125" s="449"/>
      <c r="FY125" s="449"/>
      <c r="FZ125" s="449"/>
      <c r="GA125" s="449"/>
      <c r="GB125" s="449"/>
      <c r="GC125" s="449"/>
      <c r="GD125" s="449"/>
      <c r="GE125" s="449"/>
      <c r="GF125" s="449"/>
      <c r="GG125" s="449"/>
      <c r="GH125" s="449"/>
      <c r="GI125" s="449"/>
      <c r="GJ125" s="449"/>
      <c r="GK125" s="449"/>
      <c r="GL125" s="449"/>
      <c r="GM125" s="449"/>
      <c r="GN125" s="449"/>
      <c r="GO125" s="449"/>
      <c r="GP125" s="449"/>
      <c r="GQ125" s="449"/>
      <c r="GR125" s="449"/>
      <c r="GS125" s="449"/>
      <c r="GT125" s="449"/>
      <c r="GU125" s="449"/>
      <c r="GV125" s="449"/>
      <c r="GW125" s="449"/>
      <c r="GX125" s="449"/>
      <c r="GY125" s="449"/>
      <c r="GZ125" s="449"/>
      <c r="HA125" s="449"/>
      <c r="HB125" s="449"/>
      <c r="HC125" s="449"/>
      <c r="HD125" s="449"/>
      <c r="HE125" s="449"/>
      <c r="HF125" s="449"/>
      <c r="HG125" s="449"/>
      <c r="HH125" s="449"/>
      <c r="HI125" s="449"/>
      <c r="HJ125" s="449"/>
      <c r="HK125" s="449"/>
      <c r="HL125" s="449"/>
      <c r="HM125" s="449"/>
      <c r="HN125" s="449"/>
      <c r="HO125" s="449"/>
      <c r="HP125" s="449"/>
      <c r="HQ125" s="449"/>
      <c r="HR125" s="449"/>
      <c r="HS125" s="449"/>
      <c r="HT125" s="449"/>
      <c r="HU125" s="449"/>
      <c r="HV125" s="449"/>
      <c r="HW125" s="449"/>
      <c r="HX125" s="449"/>
      <c r="HY125" s="449"/>
      <c r="HZ125" s="449"/>
      <c r="IA125" s="449"/>
      <c r="IB125" s="449"/>
      <c r="IC125" s="449"/>
      <c r="ID125" s="449"/>
      <c r="IE125" s="449"/>
      <c r="IF125" s="449"/>
      <c r="IG125" s="449"/>
      <c r="IH125" s="449"/>
      <c r="II125" s="449"/>
      <c r="IJ125" s="449"/>
      <c r="IK125" s="449"/>
      <c r="IL125" s="449"/>
      <c r="IM125" s="449"/>
      <c r="IN125" s="449"/>
      <c r="IO125" s="449"/>
      <c r="IP125" s="449"/>
      <c r="IQ125" s="449"/>
      <c r="IR125" s="449"/>
      <c r="IS125" s="449"/>
      <c r="IT125" s="449"/>
      <c r="IU125" s="449"/>
      <c r="IV125" s="449"/>
      <c r="IW125" s="449"/>
    </row>
    <row r="126" customFormat="false" ht="12.75" hidden="false" customHeight="false" outlineLevel="0" collapsed="false">
      <c r="A126" s="509"/>
      <c r="B126" s="437"/>
      <c r="C126" s="502" t="s">
        <v>947</v>
      </c>
      <c r="D126" s="452"/>
      <c r="E126" s="512"/>
      <c r="F126" s="194"/>
      <c r="G126" s="515" t="s">
        <v>948</v>
      </c>
      <c r="H126" s="157"/>
      <c r="I126" s="516" t="n">
        <v>0</v>
      </c>
      <c r="J126" s="157"/>
      <c r="K126" s="503"/>
      <c r="L126" s="449"/>
      <c r="M126" s="449"/>
      <c r="N126" s="449"/>
      <c r="O126" s="449"/>
      <c r="P126" s="449"/>
      <c r="Q126" s="449"/>
      <c r="R126" s="449"/>
      <c r="S126" s="449"/>
      <c r="T126" s="449"/>
      <c r="U126" s="449"/>
      <c r="V126" s="449"/>
      <c r="W126" s="449"/>
      <c r="X126" s="449"/>
      <c r="Y126" s="449"/>
      <c r="Z126" s="449"/>
      <c r="AA126" s="449"/>
      <c r="AB126" s="449"/>
      <c r="AC126" s="449"/>
      <c r="AD126" s="449"/>
      <c r="AE126" s="449"/>
      <c r="AF126" s="449"/>
      <c r="AG126" s="449"/>
      <c r="AH126" s="449"/>
      <c r="AI126" s="449"/>
      <c r="AJ126" s="449"/>
      <c r="AK126" s="449"/>
      <c r="AL126" s="449"/>
      <c r="AM126" s="449"/>
      <c r="AN126" s="449"/>
      <c r="AO126" s="449"/>
      <c r="AP126" s="449"/>
      <c r="AQ126" s="449"/>
      <c r="AR126" s="449"/>
      <c r="AS126" s="449"/>
      <c r="AT126" s="449"/>
      <c r="AU126" s="449"/>
      <c r="AV126" s="449"/>
      <c r="AW126" s="449"/>
      <c r="AX126" s="449"/>
      <c r="AY126" s="449"/>
      <c r="AZ126" s="449"/>
      <c r="BA126" s="449"/>
      <c r="BB126" s="449"/>
      <c r="BC126" s="449"/>
      <c r="BD126" s="449"/>
      <c r="BE126" s="449"/>
      <c r="BF126" s="449"/>
      <c r="BG126" s="449"/>
      <c r="BH126" s="449"/>
      <c r="BI126" s="449"/>
      <c r="BJ126" s="449"/>
      <c r="BK126" s="449"/>
      <c r="BL126" s="449"/>
      <c r="BM126" s="449"/>
      <c r="BN126" s="449"/>
      <c r="BO126" s="449"/>
      <c r="BP126" s="449"/>
      <c r="BQ126" s="449"/>
      <c r="BR126" s="449"/>
      <c r="BS126" s="449"/>
      <c r="BT126" s="449"/>
      <c r="BU126" s="449"/>
      <c r="BV126" s="449"/>
      <c r="BW126" s="449"/>
      <c r="BX126" s="449"/>
      <c r="BY126" s="449"/>
      <c r="BZ126" s="449"/>
      <c r="CA126" s="449"/>
      <c r="CB126" s="449"/>
      <c r="CC126" s="449"/>
      <c r="CD126" s="449"/>
      <c r="CE126" s="449"/>
      <c r="CF126" s="449"/>
      <c r="CG126" s="449"/>
      <c r="CH126" s="449"/>
      <c r="CI126" s="449"/>
      <c r="CJ126" s="449"/>
      <c r="CK126" s="449"/>
      <c r="CL126" s="449"/>
      <c r="CM126" s="449"/>
      <c r="CN126" s="449"/>
      <c r="CO126" s="449"/>
      <c r="CP126" s="449"/>
      <c r="CQ126" s="449"/>
      <c r="CR126" s="449"/>
      <c r="CS126" s="449"/>
      <c r="CT126" s="449"/>
      <c r="CU126" s="449"/>
      <c r="CV126" s="449"/>
      <c r="CW126" s="449"/>
      <c r="CX126" s="449"/>
      <c r="CY126" s="449"/>
      <c r="CZ126" s="449"/>
      <c r="DA126" s="449"/>
      <c r="DB126" s="449"/>
      <c r="DC126" s="449"/>
      <c r="DD126" s="449"/>
      <c r="DE126" s="449"/>
      <c r="DF126" s="449"/>
      <c r="DG126" s="449"/>
      <c r="DH126" s="449"/>
      <c r="DI126" s="449"/>
      <c r="DJ126" s="449"/>
      <c r="DK126" s="449"/>
      <c r="DL126" s="449"/>
      <c r="DM126" s="449"/>
      <c r="DN126" s="449"/>
      <c r="DO126" s="449"/>
      <c r="DP126" s="449"/>
      <c r="DQ126" s="449"/>
      <c r="DR126" s="449"/>
      <c r="DS126" s="449"/>
      <c r="DT126" s="449"/>
      <c r="DU126" s="449"/>
      <c r="DV126" s="449"/>
      <c r="DW126" s="449"/>
      <c r="DX126" s="449"/>
      <c r="DY126" s="449"/>
      <c r="DZ126" s="449"/>
      <c r="EA126" s="449"/>
      <c r="EB126" s="449"/>
      <c r="EC126" s="449"/>
      <c r="ED126" s="449"/>
      <c r="EE126" s="449"/>
      <c r="EF126" s="449"/>
      <c r="EG126" s="449"/>
      <c r="EH126" s="449"/>
      <c r="EI126" s="449"/>
      <c r="EJ126" s="449"/>
      <c r="EK126" s="449"/>
      <c r="EL126" s="449"/>
      <c r="EM126" s="449"/>
      <c r="EN126" s="449"/>
      <c r="EO126" s="449"/>
      <c r="EP126" s="449"/>
      <c r="EQ126" s="449"/>
      <c r="ER126" s="449"/>
      <c r="ES126" s="449"/>
      <c r="ET126" s="449"/>
      <c r="EU126" s="449"/>
      <c r="EV126" s="449"/>
      <c r="EW126" s="449"/>
      <c r="EX126" s="449"/>
      <c r="EY126" s="449"/>
      <c r="EZ126" s="449"/>
      <c r="FA126" s="449"/>
      <c r="FB126" s="449"/>
      <c r="FC126" s="449"/>
      <c r="FD126" s="449"/>
      <c r="FE126" s="449"/>
      <c r="FF126" s="449"/>
      <c r="FG126" s="449"/>
      <c r="FH126" s="449"/>
      <c r="FI126" s="449"/>
      <c r="FJ126" s="449"/>
      <c r="FK126" s="449"/>
      <c r="FL126" s="449"/>
      <c r="FM126" s="449"/>
      <c r="FN126" s="449"/>
      <c r="FO126" s="449"/>
      <c r="FP126" s="449"/>
      <c r="FQ126" s="449"/>
      <c r="FR126" s="449"/>
      <c r="FS126" s="449"/>
      <c r="FT126" s="449"/>
      <c r="FU126" s="449"/>
      <c r="FV126" s="449"/>
      <c r="FW126" s="449"/>
      <c r="FX126" s="449"/>
      <c r="FY126" s="449"/>
      <c r="FZ126" s="449"/>
      <c r="GA126" s="449"/>
      <c r="GB126" s="449"/>
      <c r="GC126" s="449"/>
      <c r="GD126" s="449"/>
      <c r="GE126" s="449"/>
      <c r="GF126" s="449"/>
      <c r="GG126" s="449"/>
      <c r="GH126" s="449"/>
      <c r="GI126" s="449"/>
      <c r="GJ126" s="449"/>
      <c r="GK126" s="449"/>
      <c r="GL126" s="449"/>
      <c r="GM126" s="449"/>
      <c r="GN126" s="449"/>
      <c r="GO126" s="449"/>
      <c r="GP126" s="449"/>
      <c r="GQ126" s="449"/>
      <c r="GR126" s="449"/>
      <c r="GS126" s="449"/>
      <c r="GT126" s="449"/>
      <c r="GU126" s="449"/>
      <c r="GV126" s="449"/>
      <c r="GW126" s="449"/>
      <c r="GX126" s="449"/>
      <c r="GY126" s="449"/>
      <c r="GZ126" s="449"/>
      <c r="HA126" s="449"/>
      <c r="HB126" s="449"/>
      <c r="HC126" s="449"/>
      <c r="HD126" s="449"/>
      <c r="HE126" s="449"/>
      <c r="HF126" s="449"/>
      <c r="HG126" s="449"/>
      <c r="HH126" s="449"/>
      <c r="HI126" s="449"/>
      <c r="HJ126" s="449"/>
      <c r="HK126" s="449"/>
      <c r="HL126" s="449"/>
      <c r="HM126" s="449"/>
      <c r="HN126" s="449"/>
      <c r="HO126" s="449"/>
      <c r="HP126" s="449"/>
      <c r="HQ126" s="449"/>
      <c r="HR126" s="449"/>
      <c r="HS126" s="449"/>
      <c r="HT126" s="449"/>
      <c r="HU126" s="449"/>
      <c r="HV126" s="449"/>
      <c r="HW126" s="449"/>
      <c r="HX126" s="449"/>
      <c r="HY126" s="449"/>
      <c r="HZ126" s="449"/>
      <c r="IA126" s="449"/>
      <c r="IB126" s="449"/>
      <c r="IC126" s="449"/>
      <c r="ID126" s="449"/>
      <c r="IE126" s="449"/>
      <c r="IF126" s="449"/>
      <c r="IG126" s="449"/>
      <c r="IH126" s="449"/>
      <c r="II126" s="449"/>
      <c r="IJ126" s="449"/>
      <c r="IK126" s="449"/>
      <c r="IL126" s="449"/>
      <c r="IM126" s="449"/>
      <c r="IN126" s="449"/>
      <c r="IO126" s="449"/>
      <c r="IP126" s="449"/>
      <c r="IQ126" s="449"/>
      <c r="IR126" s="449"/>
      <c r="IS126" s="449"/>
      <c r="IT126" s="449"/>
      <c r="IU126" s="449"/>
      <c r="IV126" s="449"/>
      <c r="IW126" s="449"/>
    </row>
    <row r="127" customFormat="false" ht="14.25" hidden="false" customHeight="false" outlineLevel="0" collapsed="false">
      <c r="A127" s="509"/>
      <c r="B127" s="437"/>
      <c r="C127" s="502" t="s">
        <v>949</v>
      </c>
      <c r="D127" s="452"/>
      <c r="E127" s="512" t="n">
        <v>11000</v>
      </c>
      <c r="F127" s="194"/>
      <c r="G127" s="515" t="n">
        <v>22000</v>
      </c>
      <c r="H127" s="157"/>
      <c r="I127" s="516" t="n">
        <f aca="false">53700/3</f>
        <v>17900</v>
      </c>
      <c r="J127" s="157"/>
      <c r="K127" s="503"/>
      <c r="L127" s="449"/>
      <c r="M127" s="449"/>
      <c r="N127" s="449"/>
      <c r="O127" s="449"/>
      <c r="P127" s="449"/>
      <c r="Q127" s="449"/>
      <c r="R127" s="449"/>
      <c r="S127" s="449"/>
      <c r="T127" s="449"/>
      <c r="U127" s="449"/>
      <c r="V127" s="449"/>
      <c r="W127" s="449"/>
      <c r="X127" s="449"/>
      <c r="Y127" s="449"/>
      <c r="Z127" s="449"/>
      <c r="AA127" s="449"/>
      <c r="AB127" s="449"/>
      <c r="AC127" s="449"/>
      <c r="AD127" s="449"/>
      <c r="AE127" s="449"/>
      <c r="AF127" s="449"/>
      <c r="AG127" s="449"/>
      <c r="AH127" s="449"/>
      <c r="AI127" s="449"/>
      <c r="AJ127" s="449"/>
      <c r="AK127" s="449"/>
      <c r="AL127" s="449"/>
      <c r="AM127" s="449"/>
      <c r="AN127" s="449"/>
      <c r="AO127" s="449"/>
      <c r="AP127" s="449"/>
      <c r="AQ127" s="449"/>
      <c r="AR127" s="449"/>
      <c r="AS127" s="449"/>
      <c r="AT127" s="449"/>
      <c r="AU127" s="449"/>
      <c r="AV127" s="449"/>
      <c r="AW127" s="449"/>
      <c r="AX127" s="449"/>
      <c r="AY127" s="449"/>
      <c r="AZ127" s="449"/>
      <c r="BA127" s="449"/>
      <c r="BB127" s="449"/>
      <c r="BC127" s="449"/>
      <c r="BD127" s="449"/>
      <c r="BE127" s="449"/>
      <c r="BF127" s="449"/>
      <c r="BG127" s="449"/>
      <c r="BH127" s="449"/>
      <c r="BI127" s="449"/>
      <c r="BJ127" s="449"/>
      <c r="BK127" s="449"/>
      <c r="BL127" s="449"/>
      <c r="BM127" s="449"/>
      <c r="BN127" s="449"/>
      <c r="BO127" s="449"/>
      <c r="BP127" s="449"/>
      <c r="BQ127" s="449"/>
      <c r="BR127" s="449"/>
      <c r="BS127" s="449"/>
      <c r="BT127" s="449"/>
      <c r="BU127" s="449"/>
      <c r="BV127" s="449"/>
      <c r="BW127" s="449"/>
      <c r="BX127" s="449"/>
      <c r="BY127" s="449"/>
      <c r="BZ127" s="449"/>
      <c r="CA127" s="449"/>
      <c r="CB127" s="449"/>
      <c r="CC127" s="449"/>
      <c r="CD127" s="449"/>
      <c r="CE127" s="449"/>
      <c r="CF127" s="449"/>
      <c r="CG127" s="449"/>
      <c r="CH127" s="449"/>
      <c r="CI127" s="449"/>
      <c r="CJ127" s="449"/>
      <c r="CK127" s="449"/>
      <c r="CL127" s="449"/>
      <c r="CM127" s="449"/>
      <c r="CN127" s="449"/>
      <c r="CO127" s="449"/>
      <c r="CP127" s="449"/>
      <c r="CQ127" s="449"/>
      <c r="CR127" s="449"/>
      <c r="CS127" s="449"/>
      <c r="CT127" s="449"/>
      <c r="CU127" s="449"/>
      <c r="CV127" s="449"/>
      <c r="CW127" s="449"/>
      <c r="CX127" s="449"/>
      <c r="CY127" s="449"/>
      <c r="CZ127" s="449"/>
      <c r="DA127" s="449"/>
      <c r="DB127" s="449"/>
      <c r="DC127" s="449"/>
      <c r="DD127" s="449"/>
      <c r="DE127" s="449"/>
      <c r="DF127" s="449"/>
      <c r="DG127" s="449"/>
      <c r="DH127" s="449"/>
      <c r="DI127" s="449"/>
      <c r="DJ127" s="449"/>
      <c r="DK127" s="449"/>
      <c r="DL127" s="449"/>
      <c r="DM127" s="449"/>
      <c r="DN127" s="449"/>
      <c r="DO127" s="449"/>
      <c r="DP127" s="449"/>
      <c r="DQ127" s="449"/>
      <c r="DR127" s="449"/>
      <c r="DS127" s="449"/>
      <c r="DT127" s="449"/>
      <c r="DU127" s="449"/>
      <c r="DV127" s="449"/>
      <c r="DW127" s="449"/>
      <c r="DX127" s="449"/>
      <c r="DY127" s="449"/>
      <c r="DZ127" s="449"/>
      <c r="EA127" s="449"/>
      <c r="EB127" s="449"/>
      <c r="EC127" s="449"/>
      <c r="ED127" s="449"/>
      <c r="EE127" s="449"/>
      <c r="EF127" s="449"/>
      <c r="EG127" s="449"/>
      <c r="EH127" s="449"/>
      <c r="EI127" s="449"/>
      <c r="EJ127" s="449"/>
      <c r="EK127" s="449"/>
      <c r="EL127" s="449"/>
      <c r="EM127" s="449"/>
      <c r="EN127" s="449"/>
      <c r="EO127" s="449"/>
      <c r="EP127" s="449"/>
      <c r="EQ127" s="449"/>
      <c r="ER127" s="449"/>
      <c r="ES127" s="449"/>
      <c r="ET127" s="449"/>
      <c r="EU127" s="449"/>
      <c r="EV127" s="449"/>
      <c r="EW127" s="449"/>
      <c r="EX127" s="449"/>
      <c r="EY127" s="449"/>
      <c r="EZ127" s="449"/>
      <c r="FA127" s="449"/>
      <c r="FB127" s="449"/>
      <c r="FC127" s="449"/>
      <c r="FD127" s="449"/>
      <c r="FE127" s="449"/>
      <c r="FF127" s="449"/>
      <c r="FG127" s="449"/>
      <c r="FH127" s="449"/>
      <c r="FI127" s="449"/>
      <c r="FJ127" s="449"/>
      <c r="FK127" s="449"/>
      <c r="FL127" s="449"/>
      <c r="FM127" s="449"/>
      <c r="FN127" s="449"/>
      <c r="FO127" s="449"/>
      <c r="FP127" s="449"/>
      <c r="FQ127" s="449"/>
      <c r="FR127" s="449"/>
      <c r="FS127" s="449"/>
      <c r="FT127" s="449"/>
      <c r="FU127" s="449"/>
      <c r="FV127" s="449"/>
      <c r="FW127" s="449"/>
      <c r="FX127" s="449"/>
      <c r="FY127" s="449"/>
      <c r="FZ127" s="449"/>
      <c r="GA127" s="449"/>
      <c r="GB127" s="449"/>
      <c r="GC127" s="449"/>
      <c r="GD127" s="449"/>
      <c r="GE127" s="449"/>
      <c r="GF127" s="449"/>
      <c r="GG127" s="449"/>
      <c r="GH127" s="449"/>
      <c r="GI127" s="449"/>
      <c r="GJ127" s="449"/>
      <c r="GK127" s="449"/>
      <c r="GL127" s="449"/>
      <c r="GM127" s="449"/>
      <c r="GN127" s="449"/>
      <c r="GO127" s="449"/>
      <c r="GP127" s="449"/>
      <c r="GQ127" s="449"/>
      <c r="GR127" s="449"/>
      <c r="GS127" s="449"/>
      <c r="GT127" s="449"/>
      <c r="GU127" s="449"/>
      <c r="GV127" s="449"/>
      <c r="GW127" s="449"/>
      <c r="GX127" s="449"/>
      <c r="GY127" s="449"/>
      <c r="GZ127" s="449"/>
      <c r="HA127" s="449"/>
      <c r="HB127" s="449"/>
      <c r="HC127" s="449"/>
      <c r="HD127" s="449"/>
      <c r="HE127" s="449"/>
      <c r="HF127" s="449"/>
      <c r="HG127" s="449"/>
      <c r="HH127" s="449"/>
      <c r="HI127" s="449"/>
      <c r="HJ127" s="449"/>
      <c r="HK127" s="449"/>
      <c r="HL127" s="449"/>
      <c r="HM127" s="449"/>
      <c r="HN127" s="449"/>
      <c r="HO127" s="449"/>
      <c r="HP127" s="449"/>
      <c r="HQ127" s="449"/>
      <c r="HR127" s="449"/>
      <c r="HS127" s="449"/>
      <c r="HT127" s="449"/>
      <c r="HU127" s="449"/>
      <c r="HV127" s="449"/>
      <c r="HW127" s="449"/>
      <c r="HX127" s="449"/>
      <c r="HY127" s="449"/>
      <c r="HZ127" s="449"/>
      <c r="IA127" s="449"/>
      <c r="IB127" s="449"/>
      <c r="IC127" s="449"/>
      <c r="ID127" s="449"/>
      <c r="IE127" s="449"/>
      <c r="IF127" s="449"/>
      <c r="IG127" s="449"/>
      <c r="IH127" s="449"/>
      <c r="II127" s="449"/>
      <c r="IJ127" s="449"/>
      <c r="IK127" s="449"/>
      <c r="IL127" s="449"/>
      <c r="IM127" s="449"/>
      <c r="IN127" s="449"/>
      <c r="IO127" s="449"/>
      <c r="IP127" s="449"/>
      <c r="IQ127" s="449"/>
      <c r="IR127" s="449"/>
      <c r="IS127" s="449"/>
      <c r="IT127" s="449"/>
      <c r="IU127" s="449"/>
      <c r="IV127" s="449"/>
      <c r="IW127" s="449"/>
    </row>
    <row r="128" customFormat="false" ht="12.75" hidden="false" customHeight="false" outlineLevel="0" collapsed="false">
      <c r="A128" s="509"/>
      <c r="B128" s="437"/>
      <c r="C128" s="502" t="s">
        <v>950</v>
      </c>
      <c r="D128" s="452"/>
      <c r="E128" s="512" t="n">
        <v>1000</v>
      </c>
      <c r="F128" s="194"/>
      <c r="G128" s="515" t="n">
        <v>1000</v>
      </c>
      <c r="H128" s="157"/>
      <c r="I128" s="516" t="n">
        <v>250</v>
      </c>
      <c r="J128" s="157"/>
      <c r="K128" s="503"/>
      <c r="L128" s="449"/>
      <c r="M128" s="449"/>
      <c r="N128" s="449"/>
      <c r="O128" s="449"/>
      <c r="P128" s="449"/>
      <c r="Q128" s="449"/>
      <c r="R128" s="449"/>
      <c r="S128" s="449"/>
      <c r="T128" s="449"/>
      <c r="U128" s="449"/>
      <c r="V128" s="449"/>
      <c r="W128" s="449"/>
      <c r="X128" s="449"/>
      <c r="Y128" s="449"/>
      <c r="Z128" s="449"/>
      <c r="AA128" s="449"/>
      <c r="AB128" s="449"/>
      <c r="AC128" s="449"/>
      <c r="AD128" s="449"/>
      <c r="AE128" s="449"/>
      <c r="AF128" s="449"/>
      <c r="AG128" s="449"/>
      <c r="AH128" s="449"/>
      <c r="AI128" s="449"/>
      <c r="AJ128" s="449"/>
      <c r="AK128" s="449"/>
      <c r="AL128" s="449"/>
      <c r="AM128" s="449"/>
      <c r="AN128" s="449"/>
      <c r="AO128" s="449"/>
      <c r="AP128" s="449"/>
      <c r="AQ128" s="449"/>
      <c r="AR128" s="449"/>
      <c r="AS128" s="449"/>
      <c r="AT128" s="449"/>
      <c r="AU128" s="449"/>
      <c r="AV128" s="449"/>
      <c r="AW128" s="449"/>
      <c r="AX128" s="449"/>
      <c r="AY128" s="449"/>
      <c r="AZ128" s="449"/>
      <c r="BA128" s="449"/>
      <c r="BB128" s="449"/>
      <c r="BC128" s="449"/>
      <c r="BD128" s="449"/>
      <c r="BE128" s="449"/>
      <c r="BF128" s="449"/>
      <c r="BG128" s="449"/>
      <c r="BH128" s="449"/>
      <c r="BI128" s="449"/>
      <c r="BJ128" s="449"/>
      <c r="BK128" s="449"/>
      <c r="BL128" s="449"/>
      <c r="BM128" s="449"/>
      <c r="BN128" s="449"/>
      <c r="BO128" s="449"/>
      <c r="BP128" s="449"/>
      <c r="BQ128" s="449"/>
      <c r="BR128" s="449"/>
      <c r="BS128" s="449"/>
      <c r="BT128" s="449"/>
      <c r="BU128" s="449"/>
      <c r="BV128" s="449"/>
      <c r="BW128" s="449"/>
      <c r="BX128" s="449"/>
      <c r="BY128" s="449"/>
      <c r="BZ128" s="449"/>
      <c r="CA128" s="449"/>
      <c r="CB128" s="449"/>
      <c r="CC128" s="449"/>
      <c r="CD128" s="449"/>
      <c r="CE128" s="449"/>
      <c r="CF128" s="449"/>
      <c r="CG128" s="449"/>
      <c r="CH128" s="449"/>
      <c r="CI128" s="449"/>
      <c r="CJ128" s="449"/>
      <c r="CK128" s="449"/>
      <c r="CL128" s="449"/>
      <c r="CM128" s="449"/>
      <c r="CN128" s="449"/>
      <c r="CO128" s="449"/>
      <c r="CP128" s="449"/>
      <c r="CQ128" s="449"/>
      <c r="CR128" s="449"/>
      <c r="CS128" s="449"/>
      <c r="CT128" s="449"/>
      <c r="CU128" s="449"/>
      <c r="CV128" s="449"/>
      <c r="CW128" s="449"/>
      <c r="CX128" s="449"/>
      <c r="CY128" s="449"/>
      <c r="CZ128" s="449"/>
      <c r="DA128" s="449"/>
      <c r="DB128" s="449"/>
      <c r="DC128" s="449"/>
      <c r="DD128" s="449"/>
      <c r="DE128" s="449"/>
      <c r="DF128" s="449"/>
      <c r="DG128" s="449"/>
      <c r="DH128" s="449"/>
      <c r="DI128" s="449"/>
      <c r="DJ128" s="449"/>
      <c r="DK128" s="449"/>
      <c r="DL128" s="449"/>
      <c r="DM128" s="449"/>
      <c r="DN128" s="449"/>
      <c r="DO128" s="449"/>
      <c r="DP128" s="449"/>
      <c r="DQ128" s="449"/>
      <c r="DR128" s="449"/>
      <c r="DS128" s="449"/>
      <c r="DT128" s="449"/>
      <c r="DU128" s="449"/>
      <c r="DV128" s="449"/>
      <c r="DW128" s="449"/>
      <c r="DX128" s="449"/>
      <c r="DY128" s="449"/>
      <c r="DZ128" s="449"/>
      <c r="EA128" s="449"/>
      <c r="EB128" s="449"/>
      <c r="EC128" s="449"/>
      <c r="ED128" s="449"/>
      <c r="EE128" s="449"/>
      <c r="EF128" s="449"/>
      <c r="EG128" s="449"/>
      <c r="EH128" s="449"/>
      <c r="EI128" s="449"/>
      <c r="EJ128" s="449"/>
      <c r="EK128" s="449"/>
      <c r="EL128" s="449"/>
      <c r="EM128" s="449"/>
      <c r="EN128" s="449"/>
      <c r="EO128" s="449"/>
      <c r="EP128" s="449"/>
      <c r="EQ128" s="449"/>
      <c r="ER128" s="449"/>
      <c r="ES128" s="449"/>
      <c r="ET128" s="449"/>
      <c r="EU128" s="449"/>
      <c r="EV128" s="449"/>
      <c r="EW128" s="449"/>
      <c r="EX128" s="449"/>
      <c r="EY128" s="449"/>
      <c r="EZ128" s="449"/>
      <c r="FA128" s="449"/>
      <c r="FB128" s="449"/>
      <c r="FC128" s="449"/>
      <c r="FD128" s="449"/>
      <c r="FE128" s="449"/>
      <c r="FF128" s="449"/>
      <c r="FG128" s="449"/>
      <c r="FH128" s="449"/>
      <c r="FI128" s="449"/>
      <c r="FJ128" s="449"/>
      <c r="FK128" s="449"/>
      <c r="FL128" s="449"/>
      <c r="FM128" s="449"/>
      <c r="FN128" s="449"/>
      <c r="FO128" s="449"/>
      <c r="FP128" s="449"/>
      <c r="FQ128" s="449"/>
      <c r="FR128" s="449"/>
      <c r="FS128" s="449"/>
      <c r="FT128" s="449"/>
      <c r="FU128" s="449"/>
      <c r="FV128" s="449"/>
      <c r="FW128" s="449"/>
      <c r="FX128" s="449"/>
      <c r="FY128" s="449"/>
      <c r="FZ128" s="449"/>
      <c r="GA128" s="449"/>
      <c r="GB128" s="449"/>
      <c r="GC128" s="449"/>
      <c r="GD128" s="449"/>
      <c r="GE128" s="449"/>
      <c r="GF128" s="449"/>
      <c r="GG128" s="449"/>
      <c r="GH128" s="449"/>
      <c r="GI128" s="449"/>
      <c r="GJ128" s="449"/>
      <c r="GK128" s="449"/>
      <c r="GL128" s="449"/>
      <c r="GM128" s="449"/>
      <c r="GN128" s="449"/>
      <c r="GO128" s="449"/>
      <c r="GP128" s="449"/>
      <c r="GQ128" s="449"/>
      <c r="GR128" s="449"/>
      <c r="GS128" s="449"/>
      <c r="GT128" s="449"/>
      <c r="GU128" s="449"/>
      <c r="GV128" s="449"/>
      <c r="GW128" s="449"/>
      <c r="GX128" s="449"/>
      <c r="GY128" s="449"/>
      <c r="GZ128" s="449"/>
      <c r="HA128" s="449"/>
      <c r="HB128" s="449"/>
      <c r="HC128" s="449"/>
      <c r="HD128" s="449"/>
      <c r="HE128" s="449"/>
      <c r="HF128" s="449"/>
      <c r="HG128" s="449"/>
      <c r="HH128" s="449"/>
      <c r="HI128" s="449"/>
      <c r="HJ128" s="449"/>
      <c r="HK128" s="449"/>
      <c r="HL128" s="449"/>
      <c r="HM128" s="449"/>
      <c r="HN128" s="449"/>
      <c r="HO128" s="449"/>
      <c r="HP128" s="449"/>
      <c r="HQ128" s="449"/>
      <c r="HR128" s="449"/>
      <c r="HS128" s="449"/>
      <c r="HT128" s="449"/>
      <c r="HU128" s="449"/>
      <c r="HV128" s="449"/>
      <c r="HW128" s="449"/>
      <c r="HX128" s="449"/>
      <c r="HY128" s="449"/>
      <c r="HZ128" s="449"/>
      <c r="IA128" s="449"/>
      <c r="IB128" s="449"/>
      <c r="IC128" s="449"/>
      <c r="ID128" s="449"/>
      <c r="IE128" s="449"/>
      <c r="IF128" s="449"/>
      <c r="IG128" s="449"/>
      <c r="IH128" s="449"/>
      <c r="II128" s="449"/>
      <c r="IJ128" s="449"/>
      <c r="IK128" s="449"/>
      <c r="IL128" s="449"/>
      <c r="IM128" s="449"/>
      <c r="IN128" s="449"/>
      <c r="IO128" s="449"/>
      <c r="IP128" s="449"/>
      <c r="IQ128" s="449"/>
      <c r="IR128" s="449"/>
      <c r="IS128" s="449"/>
      <c r="IT128" s="449"/>
      <c r="IU128" s="449"/>
      <c r="IV128" s="449"/>
      <c r="IW128" s="449"/>
    </row>
    <row r="129" customFormat="false" ht="12.75" hidden="false" customHeight="false" outlineLevel="0" collapsed="false">
      <c r="A129" s="509"/>
      <c r="B129" s="437"/>
      <c r="C129" s="157"/>
      <c r="D129" s="452"/>
      <c r="E129" s="514"/>
      <c r="F129" s="157"/>
      <c r="G129" s="157"/>
      <c r="H129" s="157"/>
      <c r="I129" s="157"/>
      <c r="J129" s="157"/>
      <c r="K129" s="503"/>
      <c r="L129" s="449"/>
      <c r="M129" s="449"/>
      <c r="N129" s="449"/>
      <c r="O129" s="449"/>
      <c r="P129" s="449"/>
      <c r="Q129" s="449"/>
      <c r="R129" s="449"/>
      <c r="S129" s="449"/>
      <c r="T129" s="449"/>
      <c r="U129" s="449"/>
      <c r="V129" s="449"/>
      <c r="W129" s="449"/>
      <c r="X129" s="449"/>
      <c r="Y129" s="449"/>
      <c r="Z129" s="449"/>
      <c r="AA129" s="449"/>
      <c r="AB129" s="449"/>
      <c r="AC129" s="449"/>
      <c r="AD129" s="449"/>
      <c r="AE129" s="449"/>
      <c r="AF129" s="449"/>
      <c r="AG129" s="449"/>
      <c r="AH129" s="449"/>
      <c r="AI129" s="449"/>
      <c r="AJ129" s="449"/>
      <c r="AK129" s="449"/>
      <c r="AL129" s="449"/>
      <c r="AM129" s="449"/>
      <c r="AN129" s="449"/>
      <c r="AO129" s="449"/>
      <c r="AP129" s="449"/>
      <c r="AQ129" s="449"/>
      <c r="AR129" s="449"/>
      <c r="AS129" s="449"/>
      <c r="AT129" s="449"/>
      <c r="AU129" s="449"/>
      <c r="AV129" s="449"/>
      <c r="AW129" s="449"/>
      <c r="AX129" s="449"/>
      <c r="AY129" s="449"/>
      <c r="AZ129" s="449"/>
      <c r="BA129" s="449"/>
      <c r="BB129" s="449"/>
      <c r="BC129" s="449"/>
      <c r="BD129" s="449"/>
      <c r="BE129" s="449"/>
      <c r="BF129" s="449"/>
      <c r="BG129" s="449"/>
      <c r="BH129" s="449"/>
      <c r="BI129" s="449"/>
      <c r="BJ129" s="449"/>
      <c r="BK129" s="449"/>
      <c r="BL129" s="449"/>
      <c r="BM129" s="449"/>
      <c r="BN129" s="449"/>
      <c r="BO129" s="449"/>
      <c r="BP129" s="449"/>
      <c r="BQ129" s="449"/>
      <c r="BR129" s="449"/>
      <c r="BS129" s="449"/>
      <c r="BT129" s="449"/>
      <c r="BU129" s="449"/>
      <c r="BV129" s="449"/>
      <c r="BW129" s="449"/>
      <c r="BX129" s="449"/>
      <c r="BY129" s="449"/>
      <c r="BZ129" s="449"/>
      <c r="CA129" s="449"/>
      <c r="CB129" s="449"/>
      <c r="CC129" s="449"/>
      <c r="CD129" s="449"/>
      <c r="CE129" s="449"/>
      <c r="CF129" s="449"/>
      <c r="CG129" s="449"/>
      <c r="CH129" s="449"/>
      <c r="CI129" s="449"/>
      <c r="CJ129" s="449"/>
      <c r="CK129" s="449"/>
      <c r="CL129" s="449"/>
      <c r="CM129" s="449"/>
      <c r="CN129" s="449"/>
      <c r="CO129" s="449"/>
      <c r="CP129" s="449"/>
      <c r="CQ129" s="449"/>
      <c r="CR129" s="449"/>
      <c r="CS129" s="449"/>
      <c r="CT129" s="449"/>
      <c r="CU129" s="449"/>
      <c r="CV129" s="449"/>
      <c r="CW129" s="449"/>
      <c r="CX129" s="449"/>
      <c r="CY129" s="449"/>
      <c r="CZ129" s="449"/>
      <c r="DA129" s="449"/>
      <c r="DB129" s="449"/>
      <c r="DC129" s="449"/>
      <c r="DD129" s="449"/>
      <c r="DE129" s="449"/>
      <c r="DF129" s="449"/>
      <c r="DG129" s="449"/>
      <c r="DH129" s="449"/>
      <c r="DI129" s="449"/>
      <c r="DJ129" s="449"/>
      <c r="DK129" s="449"/>
      <c r="DL129" s="449"/>
      <c r="DM129" s="449"/>
      <c r="DN129" s="449"/>
      <c r="DO129" s="449"/>
      <c r="DP129" s="449"/>
      <c r="DQ129" s="449"/>
      <c r="DR129" s="449"/>
      <c r="DS129" s="449"/>
      <c r="DT129" s="449"/>
      <c r="DU129" s="449"/>
      <c r="DV129" s="449"/>
      <c r="DW129" s="449"/>
      <c r="DX129" s="449"/>
      <c r="DY129" s="449"/>
      <c r="DZ129" s="449"/>
      <c r="EA129" s="449"/>
      <c r="EB129" s="449"/>
      <c r="EC129" s="449"/>
      <c r="ED129" s="449"/>
      <c r="EE129" s="449"/>
      <c r="EF129" s="449"/>
      <c r="EG129" s="449"/>
      <c r="EH129" s="449"/>
      <c r="EI129" s="449"/>
      <c r="EJ129" s="449"/>
      <c r="EK129" s="449"/>
      <c r="EL129" s="449"/>
      <c r="EM129" s="449"/>
      <c r="EN129" s="449"/>
      <c r="EO129" s="449"/>
      <c r="EP129" s="449"/>
      <c r="EQ129" s="449"/>
      <c r="ER129" s="449"/>
      <c r="ES129" s="449"/>
      <c r="ET129" s="449"/>
      <c r="EU129" s="449"/>
      <c r="EV129" s="449"/>
      <c r="EW129" s="449"/>
      <c r="EX129" s="449"/>
      <c r="EY129" s="449"/>
      <c r="EZ129" s="449"/>
      <c r="FA129" s="449"/>
      <c r="FB129" s="449"/>
      <c r="FC129" s="449"/>
      <c r="FD129" s="449"/>
      <c r="FE129" s="449"/>
      <c r="FF129" s="449"/>
      <c r="FG129" s="449"/>
      <c r="FH129" s="449"/>
      <c r="FI129" s="449"/>
      <c r="FJ129" s="449"/>
      <c r="FK129" s="449"/>
      <c r="FL129" s="449"/>
      <c r="FM129" s="449"/>
      <c r="FN129" s="449"/>
      <c r="FO129" s="449"/>
      <c r="FP129" s="449"/>
      <c r="FQ129" s="449"/>
      <c r="FR129" s="449"/>
      <c r="FS129" s="449"/>
      <c r="FT129" s="449"/>
      <c r="FU129" s="449"/>
      <c r="FV129" s="449"/>
      <c r="FW129" s="449"/>
      <c r="FX129" s="449"/>
      <c r="FY129" s="449"/>
      <c r="FZ129" s="449"/>
      <c r="GA129" s="449"/>
      <c r="GB129" s="449"/>
      <c r="GC129" s="449"/>
      <c r="GD129" s="449"/>
      <c r="GE129" s="449"/>
      <c r="GF129" s="449"/>
      <c r="GG129" s="449"/>
      <c r="GH129" s="449"/>
      <c r="GI129" s="449"/>
      <c r="GJ129" s="449"/>
      <c r="GK129" s="449"/>
      <c r="GL129" s="449"/>
      <c r="GM129" s="449"/>
      <c r="GN129" s="449"/>
      <c r="GO129" s="449"/>
      <c r="GP129" s="449"/>
      <c r="GQ129" s="449"/>
      <c r="GR129" s="449"/>
      <c r="GS129" s="449"/>
      <c r="GT129" s="449"/>
      <c r="GU129" s="449"/>
      <c r="GV129" s="449"/>
      <c r="GW129" s="449"/>
      <c r="GX129" s="449"/>
      <c r="GY129" s="449"/>
      <c r="GZ129" s="449"/>
      <c r="HA129" s="449"/>
      <c r="HB129" s="449"/>
      <c r="HC129" s="449"/>
      <c r="HD129" s="449"/>
      <c r="HE129" s="449"/>
      <c r="HF129" s="449"/>
      <c r="HG129" s="449"/>
      <c r="HH129" s="449"/>
      <c r="HI129" s="449"/>
      <c r="HJ129" s="449"/>
      <c r="HK129" s="449"/>
      <c r="HL129" s="449"/>
      <c r="HM129" s="449"/>
      <c r="HN129" s="449"/>
      <c r="HO129" s="449"/>
      <c r="HP129" s="449"/>
      <c r="HQ129" s="449"/>
      <c r="HR129" s="449"/>
      <c r="HS129" s="449"/>
      <c r="HT129" s="449"/>
      <c r="HU129" s="449"/>
      <c r="HV129" s="449"/>
      <c r="HW129" s="449"/>
      <c r="HX129" s="449"/>
      <c r="HY129" s="449"/>
      <c r="HZ129" s="449"/>
      <c r="IA129" s="449"/>
      <c r="IB129" s="449"/>
      <c r="IC129" s="449"/>
      <c r="ID129" s="449"/>
      <c r="IE129" s="449"/>
      <c r="IF129" s="449"/>
      <c r="IG129" s="449"/>
      <c r="IH129" s="449"/>
      <c r="II129" s="449"/>
      <c r="IJ129" s="449"/>
      <c r="IK129" s="449"/>
      <c r="IL129" s="449"/>
      <c r="IM129" s="449"/>
      <c r="IN129" s="449"/>
      <c r="IO129" s="449"/>
      <c r="IP129" s="449"/>
      <c r="IQ129" s="449"/>
      <c r="IR129" s="449"/>
      <c r="IS129" s="449"/>
      <c r="IT129" s="449"/>
      <c r="IU129" s="449"/>
      <c r="IV129" s="449"/>
      <c r="IW129" s="449"/>
    </row>
    <row r="130" customFormat="false" ht="12.75" hidden="false" customHeight="false" outlineLevel="0" collapsed="false">
      <c r="A130" s="509"/>
      <c r="B130" s="437"/>
      <c r="C130" s="502" t="s">
        <v>951</v>
      </c>
      <c r="D130" s="452"/>
      <c r="E130" s="517" t="s">
        <v>952</v>
      </c>
      <c r="F130" s="157"/>
      <c r="G130" s="518" t="s">
        <v>953</v>
      </c>
      <c r="H130" s="157"/>
      <c r="I130" s="518" t="s">
        <v>954</v>
      </c>
      <c r="J130" s="157"/>
      <c r="K130" s="503"/>
      <c r="L130" s="449"/>
      <c r="M130" s="449"/>
      <c r="N130" s="449"/>
      <c r="O130" s="449"/>
      <c r="P130" s="449"/>
      <c r="Q130" s="449"/>
      <c r="R130" s="449"/>
      <c r="S130" s="449"/>
      <c r="T130" s="449"/>
      <c r="U130" s="449"/>
      <c r="V130" s="449"/>
      <c r="W130" s="449"/>
      <c r="X130" s="449"/>
      <c r="Y130" s="449"/>
      <c r="Z130" s="449"/>
      <c r="AA130" s="449"/>
      <c r="AB130" s="449"/>
      <c r="AC130" s="449"/>
      <c r="AD130" s="449"/>
      <c r="AE130" s="449"/>
      <c r="AF130" s="449"/>
      <c r="AG130" s="449"/>
      <c r="AH130" s="449"/>
      <c r="AI130" s="449"/>
      <c r="AJ130" s="449"/>
      <c r="AK130" s="449"/>
      <c r="AL130" s="449"/>
      <c r="AM130" s="449"/>
      <c r="AN130" s="449"/>
      <c r="AO130" s="449"/>
      <c r="AP130" s="449"/>
      <c r="AQ130" s="449"/>
      <c r="AR130" s="449"/>
      <c r="AS130" s="449"/>
      <c r="AT130" s="449"/>
      <c r="AU130" s="449"/>
      <c r="AV130" s="449"/>
      <c r="AW130" s="449"/>
      <c r="AX130" s="449"/>
      <c r="AY130" s="449"/>
      <c r="AZ130" s="449"/>
      <c r="BA130" s="449"/>
      <c r="BB130" s="449"/>
      <c r="BC130" s="449"/>
      <c r="BD130" s="449"/>
      <c r="BE130" s="449"/>
      <c r="BF130" s="449"/>
      <c r="BG130" s="449"/>
      <c r="BH130" s="449"/>
      <c r="BI130" s="449"/>
      <c r="BJ130" s="449"/>
      <c r="BK130" s="449"/>
      <c r="BL130" s="449"/>
      <c r="BM130" s="449"/>
      <c r="BN130" s="449"/>
      <c r="BO130" s="449"/>
      <c r="BP130" s="449"/>
      <c r="BQ130" s="449"/>
      <c r="BR130" s="449"/>
      <c r="BS130" s="449"/>
      <c r="BT130" s="449"/>
      <c r="BU130" s="449"/>
      <c r="BV130" s="449"/>
      <c r="BW130" s="449"/>
      <c r="BX130" s="449"/>
      <c r="BY130" s="449"/>
      <c r="BZ130" s="449"/>
      <c r="CA130" s="449"/>
      <c r="CB130" s="449"/>
      <c r="CC130" s="449"/>
      <c r="CD130" s="449"/>
      <c r="CE130" s="449"/>
      <c r="CF130" s="449"/>
      <c r="CG130" s="449"/>
      <c r="CH130" s="449"/>
      <c r="CI130" s="449"/>
      <c r="CJ130" s="449"/>
      <c r="CK130" s="449"/>
      <c r="CL130" s="449"/>
      <c r="CM130" s="449"/>
      <c r="CN130" s="449"/>
      <c r="CO130" s="449"/>
      <c r="CP130" s="449"/>
      <c r="CQ130" s="449"/>
      <c r="CR130" s="449"/>
      <c r="CS130" s="449"/>
      <c r="CT130" s="449"/>
      <c r="CU130" s="449"/>
      <c r="CV130" s="449"/>
      <c r="CW130" s="449"/>
      <c r="CX130" s="449"/>
      <c r="CY130" s="449"/>
      <c r="CZ130" s="449"/>
      <c r="DA130" s="449"/>
      <c r="DB130" s="449"/>
      <c r="DC130" s="449"/>
      <c r="DD130" s="449"/>
      <c r="DE130" s="449"/>
      <c r="DF130" s="449"/>
      <c r="DG130" s="449"/>
      <c r="DH130" s="449"/>
      <c r="DI130" s="449"/>
      <c r="DJ130" s="449"/>
      <c r="DK130" s="449"/>
      <c r="DL130" s="449"/>
      <c r="DM130" s="449"/>
      <c r="DN130" s="449"/>
      <c r="DO130" s="449"/>
      <c r="DP130" s="449"/>
      <c r="DQ130" s="449"/>
      <c r="DR130" s="449"/>
      <c r="DS130" s="449"/>
      <c r="DT130" s="449"/>
      <c r="DU130" s="449"/>
      <c r="DV130" s="449"/>
      <c r="DW130" s="449"/>
      <c r="DX130" s="449"/>
      <c r="DY130" s="449"/>
      <c r="DZ130" s="449"/>
      <c r="EA130" s="449"/>
      <c r="EB130" s="449"/>
      <c r="EC130" s="449"/>
      <c r="ED130" s="449"/>
      <c r="EE130" s="449"/>
      <c r="EF130" s="449"/>
      <c r="EG130" s="449"/>
      <c r="EH130" s="449"/>
      <c r="EI130" s="449"/>
      <c r="EJ130" s="449"/>
      <c r="EK130" s="449"/>
      <c r="EL130" s="449"/>
      <c r="EM130" s="449"/>
      <c r="EN130" s="449"/>
      <c r="EO130" s="449"/>
      <c r="EP130" s="449"/>
      <c r="EQ130" s="449"/>
      <c r="ER130" s="449"/>
      <c r="ES130" s="449"/>
      <c r="ET130" s="449"/>
      <c r="EU130" s="449"/>
      <c r="EV130" s="449"/>
      <c r="EW130" s="449"/>
      <c r="EX130" s="449"/>
      <c r="EY130" s="449"/>
      <c r="EZ130" s="449"/>
      <c r="FA130" s="449"/>
      <c r="FB130" s="449"/>
      <c r="FC130" s="449"/>
      <c r="FD130" s="449"/>
      <c r="FE130" s="449"/>
      <c r="FF130" s="449"/>
      <c r="FG130" s="449"/>
      <c r="FH130" s="449"/>
      <c r="FI130" s="449"/>
      <c r="FJ130" s="449"/>
      <c r="FK130" s="449"/>
      <c r="FL130" s="449"/>
      <c r="FM130" s="449"/>
      <c r="FN130" s="449"/>
      <c r="FO130" s="449"/>
      <c r="FP130" s="449"/>
      <c r="FQ130" s="449"/>
      <c r="FR130" s="449"/>
      <c r="FS130" s="449"/>
      <c r="FT130" s="449"/>
      <c r="FU130" s="449"/>
      <c r="FV130" s="449"/>
      <c r="FW130" s="449"/>
      <c r="FX130" s="449"/>
      <c r="FY130" s="449"/>
      <c r="FZ130" s="449"/>
      <c r="GA130" s="449"/>
      <c r="GB130" s="449"/>
      <c r="GC130" s="449"/>
      <c r="GD130" s="449"/>
      <c r="GE130" s="449"/>
      <c r="GF130" s="449"/>
      <c r="GG130" s="449"/>
      <c r="GH130" s="449"/>
      <c r="GI130" s="449"/>
      <c r="GJ130" s="449"/>
      <c r="GK130" s="449"/>
      <c r="GL130" s="449"/>
      <c r="GM130" s="449"/>
      <c r="GN130" s="449"/>
      <c r="GO130" s="449"/>
      <c r="GP130" s="449"/>
      <c r="GQ130" s="449"/>
      <c r="GR130" s="449"/>
      <c r="GS130" s="449"/>
      <c r="GT130" s="449"/>
      <c r="GU130" s="449"/>
      <c r="GV130" s="449"/>
      <c r="GW130" s="449"/>
      <c r="GX130" s="449"/>
      <c r="GY130" s="449"/>
      <c r="GZ130" s="449"/>
      <c r="HA130" s="449"/>
      <c r="HB130" s="449"/>
      <c r="HC130" s="449"/>
      <c r="HD130" s="449"/>
      <c r="HE130" s="449"/>
      <c r="HF130" s="449"/>
      <c r="HG130" s="449"/>
      <c r="HH130" s="449"/>
      <c r="HI130" s="449"/>
      <c r="HJ130" s="449"/>
      <c r="HK130" s="449"/>
      <c r="HL130" s="449"/>
      <c r="HM130" s="449"/>
      <c r="HN130" s="449"/>
      <c r="HO130" s="449"/>
      <c r="HP130" s="449"/>
      <c r="HQ130" s="449"/>
      <c r="HR130" s="449"/>
      <c r="HS130" s="449"/>
      <c r="HT130" s="449"/>
      <c r="HU130" s="449"/>
      <c r="HV130" s="449"/>
      <c r="HW130" s="449"/>
      <c r="HX130" s="449"/>
      <c r="HY130" s="449"/>
      <c r="HZ130" s="449"/>
      <c r="IA130" s="449"/>
      <c r="IB130" s="449"/>
      <c r="IC130" s="449"/>
      <c r="ID130" s="449"/>
      <c r="IE130" s="449"/>
      <c r="IF130" s="449"/>
      <c r="IG130" s="449"/>
      <c r="IH130" s="449"/>
      <c r="II130" s="449"/>
      <c r="IJ130" s="449"/>
      <c r="IK130" s="449"/>
      <c r="IL130" s="449"/>
      <c r="IM130" s="449"/>
      <c r="IN130" s="449"/>
      <c r="IO130" s="449"/>
      <c r="IP130" s="449"/>
      <c r="IQ130" s="449"/>
      <c r="IR130" s="449"/>
      <c r="IS130" s="449"/>
      <c r="IT130" s="449"/>
      <c r="IU130" s="449"/>
      <c r="IV130" s="449"/>
      <c r="IW130" s="449"/>
    </row>
    <row r="131" customFormat="false" ht="12.75" hidden="false" customHeight="false" outlineLevel="0" collapsed="false">
      <c r="A131" s="509"/>
      <c r="B131" s="437"/>
      <c r="C131" s="157"/>
      <c r="D131" s="452"/>
      <c r="E131" s="514"/>
      <c r="F131" s="157"/>
      <c r="G131" s="157"/>
      <c r="H131" s="157"/>
      <c r="I131" s="157"/>
      <c r="J131" s="157"/>
      <c r="K131" s="503"/>
      <c r="L131" s="449"/>
      <c r="M131" s="449"/>
      <c r="N131" s="449"/>
      <c r="O131" s="449"/>
      <c r="P131" s="449"/>
      <c r="Q131" s="449"/>
      <c r="R131" s="449"/>
      <c r="S131" s="449"/>
      <c r="T131" s="449"/>
      <c r="U131" s="449"/>
      <c r="V131" s="449"/>
      <c r="W131" s="449"/>
      <c r="X131" s="449"/>
      <c r="Y131" s="449"/>
      <c r="Z131" s="449"/>
      <c r="AA131" s="449"/>
      <c r="AB131" s="449"/>
      <c r="AC131" s="449"/>
      <c r="AD131" s="449"/>
      <c r="AE131" s="449"/>
      <c r="AF131" s="449"/>
      <c r="AG131" s="449"/>
      <c r="AH131" s="449"/>
      <c r="AI131" s="449"/>
      <c r="AJ131" s="449"/>
      <c r="AK131" s="449"/>
      <c r="AL131" s="449"/>
      <c r="AM131" s="449"/>
      <c r="AN131" s="449"/>
      <c r="AO131" s="449"/>
      <c r="AP131" s="449"/>
      <c r="AQ131" s="449"/>
      <c r="AR131" s="449"/>
      <c r="AS131" s="449"/>
      <c r="AT131" s="449"/>
      <c r="AU131" s="449"/>
      <c r="AV131" s="449"/>
      <c r="AW131" s="449"/>
      <c r="AX131" s="449"/>
      <c r="AY131" s="449"/>
      <c r="AZ131" s="449"/>
      <c r="BA131" s="449"/>
      <c r="BB131" s="449"/>
      <c r="BC131" s="449"/>
      <c r="BD131" s="449"/>
      <c r="BE131" s="449"/>
      <c r="BF131" s="449"/>
      <c r="BG131" s="449"/>
      <c r="BH131" s="449"/>
      <c r="BI131" s="449"/>
      <c r="BJ131" s="449"/>
      <c r="BK131" s="449"/>
      <c r="BL131" s="449"/>
      <c r="BM131" s="449"/>
      <c r="BN131" s="449"/>
      <c r="BO131" s="449"/>
      <c r="BP131" s="449"/>
      <c r="BQ131" s="449"/>
      <c r="BR131" s="449"/>
      <c r="BS131" s="449"/>
      <c r="BT131" s="449"/>
      <c r="BU131" s="449"/>
      <c r="BV131" s="449"/>
      <c r="BW131" s="449"/>
      <c r="BX131" s="449"/>
      <c r="BY131" s="449"/>
      <c r="BZ131" s="449"/>
      <c r="CA131" s="449"/>
      <c r="CB131" s="449"/>
      <c r="CC131" s="449"/>
      <c r="CD131" s="449"/>
      <c r="CE131" s="449"/>
      <c r="CF131" s="449"/>
      <c r="CG131" s="449"/>
      <c r="CH131" s="449"/>
      <c r="CI131" s="449"/>
      <c r="CJ131" s="449"/>
      <c r="CK131" s="449"/>
      <c r="CL131" s="449"/>
      <c r="CM131" s="449"/>
      <c r="CN131" s="449"/>
      <c r="CO131" s="449"/>
      <c r="CP131" s="449"/>
      <c r="CQ131" s="449"/>
      <c r="CR131" s="449"/>
      <c r="CS131" s="449"/>
      <c r="CT131" s="449"/>
      <c r="CU131" s="449"/>
      <c r="CV131" s="449"/>
      <c r="CW131" s="449"/>
      <c r="CX131" s="449"/>
      <c r="CY131" s="449"/>
      <c r="CZ131" s="449"/>
      <c r="DA131" s="449"/>
      <c r="DB131" s="449"/>
      <c r="DC131" s="449"/>
      <c r="DD131" s="449"/>
      <c r="DE131" s="449"/>
      <c r="DF131" s="449"/>
      <c r="DG131" s="449"/>
      <c r="DH131" s="449"/>
      <c r="DI131" s="449"/>
      <c r="DJ131" s="449"/>
      <c r="DK131" s="449"/>
      <c r="DL131" s="449"/>
      <c r="DM131" s="449"/>
      <c r="DN131" s="449"/>
      <c r="DO131" s="449"/>
      <c r="DP131" s="449"/>
      <c r="DQ131" s="449"/>
      <c r="DR131" s="449"/>
      <c r="DS131" s="449"/>
      <c r="DT131" s="449"/>
      <c r="DU131" s="449"/>
      <c r="DV131" s="449"/>
      <c r="DW131" s="449"/>
      <c r="DX131" s="449"/>
      <c r="DY131" s="449"/>
      <c r="DZ131" s="449"/>
      <c r="EA131" s="449"/>
      <c r="EB131" s="449"/>
      <c r="EC131" s="449"/>
      <c r="ED131" s="449"/>
      <c r="EE131" s="449"/>
      <c r="EF131" s="449"/>
      <c r="EG131" s="449"/>
      <c r="EH131" s="449"/>
      <c r="EI131" s="449"/>
      <c r="EJ131" s="449"/>
      <c r="EK131" s="449"/>
      <c r="EL131" s="449"/>
      <c r="EM131" s="449"/>
      <c r="EN131" s="449"/>
      <c r="EO131" s="449"/>
      <c r="EP131" s="449"/>
      <c r="EQ131" s="449"/>
      <c r="ER131" s="449"/>
      <c r="ES131" s="449"/>
      <c r="ET131" s="449"/>
      <c r="EU131" s="449"/>
      <c r="EV131" s="449"/>
      <c r="EW131" s="449"/>
      <c r="EX131" s="449"/>
      <c r="EY131" s="449"/>
      <c r="EZ131" s="449"/>
      <c r="FA131" s="449"/>
      <c r="FB131" s="449"/>
      <c r="FC131" s="449"/>
      <c r="FD131" s="449"/>
      <c r="FE131" s="449"/>
      <c r="FF131" s="449"/>
      <c r="FG131" s="449"/>
      <c r="FH131" s="449"/>
      <c r="FI131" s="449"/>
      <c r="FJ131" s="449"/>
      <c r="FK131" s="449"/>
      <c r="FL131" s="449"/>
      <c r="FM131" s="449"/>
      <c r="FN131" s="449"/>
      <c r="FO131" s="449"/>
      <c r="FP131" s="449"/>
      <c r="FQ131" s="449"/>
      <c r="FR131" s="449"/>
      <c r="FS131" s="449"/>
      <c r="FT131" s="449"/>
      <c r="FU131" s="449"/>
      <c r="FV131" s="449"/>
      <c r="FW131" s="449"/>
      <c r="FX131" s="449"/>
      <c r="FY131" s="449"/>
      <c r="FZ131" s="449"/>
      <c r="GA131" s="449"/>
      <c r="GB131" s="449"/>
      <c r="GC131" s="449"/>
      <c r="GD131" s="449"/>
      <c r="GE131" s="449"/>
      <c r="GF131" s="449"/>
      <c r="GG131" s="449"/>
      <c r="GH131" s="449"/>
      <c r="GI131" s="449"/>
      <c r="GJ131" s="449"/>
      <c r="GK131" s="449"/>
      <c r="GL131" s="449"/>
      <c r="GM131" s="449"/>
      <c r="GN131" s="449"/>
      <c r="GO131" s="449"/>
      <c r="GP131" s="449"/>
      <c r="GQ131" s="449"/>
      <c r="GR131" s="449"/>
      <c r="GS131" s="449"/>
      <c r="GT131" s="449"/>
      <c r="GU131" s="449"/>
      <c r="GV131" s="449"/>
      <c r="GW131" s="449"/>
      <c r="GX131" s="449"/>
      <c r="GY131" s="449"/>
      <c r="GZ131" s="449"/>
      <c r="HA131" s="449"/>
      <c r="HB131" s="449"/>
      <c r="HC131" s="449"/>
      <c r="HD131" s="449"/>
      <c r="HE131" s="449"/>
      <c r="HF131" s="449"/>
      <c r="HG131" s="449"/>
      <c r="HH131" s="449"/>
      <c r="HI131" s="449"/>
      <c r="HJ131" s="449"/>
      <c r="HK131" s="449"/>
      <c r="HL131" s="449"/>
      <c r="HM131" s="449"/>
      <c r="HN131" s="449"/>
      <c r="HO131" s="449"/>
      <c r="HP131" s="449"/>
      <c r="HQ131" s="449"/>
      <c r="HR131" s="449"/>
      <c r="HS131" s="449"/>
      <c r="HT131" s="449"/>
      <c r="HU131" s="449"/>
      <c r="HV131" s="449"/>
      <c r="HW131" s="449"/>
      <c r="HX131" s="449"/>
      <c r="HY131" s="449"/>
      <c r="HZ131" s="449"/>
      <c r="IA131" s="449"/>
      <c r="IB131" s="449"/>
      <c r="IC131" s="449"/>
      <c r="ID131" s="449"/>
      <c r="IE131" s="449"/>
      <c r="IF131" s="449"/>
      <c r="IG131" s="449"/>
      <c r="IH131" s="449"/>
      <c r="II131" s="449"/>
      <c r="IJ131" s="449"/>
      <c r="IK131" s="449"/>
      <c r="IL131" s="449"/>
      <c r="IM131" s="449"/>
      <c r="IN131" s="449"/>
      <c r="IO131" s="449"/>
      <c r="IP131" s="449"/>
      <c r="IQ131" s="449"/>
      <c r="IR131" s="449"/>
      <c r="IS131" s="449"/>
      <c r="IT131" s="449"/>
      <c r="IU131" s="449"/>
      <c r="IV131" s="449"/>
      <c r="IW131" s="449"/>
    </row>
    <row r="132" customFormat="false" ht="12.75" hidden="false" customHeight="false" outlineLevel="0" collapsed="false">
      <c r="A132" s="509"/>
      <c r="B132" s="437"/>
      <c r="C132" s="157" t="s">
        <v>955</v>
      </c>
      <c r="D132" s="452"/>
      <c r="E132" s="519" t="n">
        <f aca="false">+(1134053-255000)/255000</f>
        <v>3.44726666666667</v>
      </c>
      <c r="F132" s="157"/>
      <c r="G132" s="519" t="n">
        <f aca="false">909772/240000</f>
        <v>3.79071666666667</v>
      </c>
      <c r="H132" s="157"/>
      <c r="I132" s="519" t="n">
        <f aca="false">(908777-255000)/255000</f>
        <v>2.56383137254902</v>
      </c>
      <c r="J132" s="157" t="s">
        <v>956</v>
      </c>
      <c r="K132" s="503"/>
      <c r="L132" s="449"/>
      <c r="M132" s="449"/>
      <c r="N132" s="449"/>
      <c r="O132" s="449"/>
      <c r="P132" s="449"/>
      <c r="Q132" s="449"/>
      <c r="R132" s="449"/>
      <c r="S132" s="449"/>
      <c r="T132" s="449"/>
      <c r="U132" s="449"/>
      <c r="V132" s="449"/>
      <c r="W132" s="449"/>
      <c r="X132" s="449"/>
      <c r="Y132" s="449"/>
      <c r="Z132" s="449"/>
      <c r="AA132" s="449"/>
      <c r="AB132" s="449"/>
      <c r="AC132" s="449"/>
      <c r="AD132" s="449"/>
      <c r="AE132" s="449"/>
      <c r="AF132" s="449"/>
      <c r="AG132" s="449"/>
      <c r="AH132" s="449"/>
      <c r="AI132" s="449"/>
      <c r="AJ132" s="449"/>
      <c r="AK132" s="449"/>
      <c r="AL132" s="449"/>
      <c r="AM132" s="449"/>
      <c r="AN132" s="449"/>
      <c r="AO132" s="449"/>
      <c r="AP132" s="449"/>
      <c r="AQ132" s="449"/>
      <c r="AR132" s="449"/>
      <c r="AS132" s="449"/>
      <c r="AT132" s="449"/>
      <c r="AU132" s="449"/>
      <c r="AV132" s="449"/>
      <c r="AW132" s="449"/>
      <c r="AX132" s="449"/>
      <c r="AY132" s="449"/>
      <c r="AZ132" s="449"/>
      <c r="BA132" s="449"/>
      <c r="BB132" s="449"/>
      <c r="BC132" s="449"/>
      <c r="BD132" s="449"/>
      <c r="BE132" s="449"/>
      <c r="BF132" s="449"/>
      <c r="BG132" s="449"/>
      <c r="BH132" s="449"/>
      <c r="BI132" s="449"/>
      <c r="BJ132" s="449"/>
      <c r="BK132" s="449"/>
      <c r="BL132" s="449"/>
      <c r="BM132" s="449"/>
      <c r="BN132" s="449"/>
      <c r="BO132" s="449"/>
      <c r="BP132" s="449"/>
      <c r="BQ132" s="449"/>
      <c r="BR132" s="449"/>
      <c r="BS132" s="449"/>
      <c r="BT132" s="449"/>
      <c r="BU132" s="449"/>
      <c r="BV132" s="449"/>
      <c r="BW132" s="449"/>
      <c r="BX132" s="449"/>
      <c r="BY132" s="449"/>
      <c r="BZ132" s="449"/>
      <c r="CA132" s="449"/>
      <c r="CB132" s="449"/>
      <c r="CC132" s="449"/>
      <c r="CD132" s="449"/>
      <c r="CE132" s="449"/>
      <c r="CF132" s="449"/>
      <c r="CG132" s="449"/>
      <c r="CH132" s="449"/>
      <c r="CI132" s="449"/>
      <c r="CJ132" s="449"/>
      <c r="CK132" s="449"/>
      <c r="CL132" s="449"/>
      <c r="CM132" s="449"/>
      <c r="CN132" s="449"/>
      <c r="CO132" s="449"/>
      <c r="CP132" s="449"/>
      <c r="CQ132" s="449"/>
      <c r="CR132" s="449"/>
      <c r="CS132" s="449"/>
      <c r="CT132" s="449"/>
      <c r="CU132" s="449"/>
      <c r="CV132" s="449"/>
      <c r="CW132" s="449"/>
      <c r="CX132" s="449"/>
      <c r="CY132" s="449"/>
      <c r="CZ132" s="449"/>
      <c r="DA132" s="449"/>
      <c r="DB132" s="449"/>
      <c r="DC132" s="449"/>
      <c r="DD132" s="449"/>
      <c r="DE132" s="449"/>
      <c r="DF132" s="449"/>
      <c r="DG132" s="449"/>
      <c r="DH132" s="449"/>
      <c r="DI132" s="449"/>
      <c r="DJ132" s="449"/>
      <c r="DK132" s="449"/>
      <c r="DL132" s="449"/>
      <c r="DM132" s="449"/>
      <c r="DN132" s="449"/>
      <c r="DO132" s="449"/>
      <c r="DP132" s="449"/>
      <c r="DQ132" s="449"/>
      <c r="DR132" s="449"/>
      <c r="DS132" s="449"/>
      <c r="DT132" s="449"/>
      <c r="DU132" s="449"/>
      <c r="DV132" s="449"/>
      <c r="DW132" s="449"/>
      <c r="DX132" s="449"/>
      <c r="DY132" s="449"/>
      <c r="DZ132" s="449"/>
      <c r="EA132" s="449"/>
      <c r="EB132" s="449"/>
      <c r="EC132" s="449"/>
      <c r="ED132" s="449"/>
      <c r="EE132" s="449"/>
      <c r="EF132" s="449"/>
      <c r="EG132" s="449"/>
      <c r="EH132" s="449"/>
      <c r="EI132" s="449"/>
      <c r="EJ132" s="449"/>
      <c r="EK132" s="449"/>
      <c r="EL132" s="449"/>
      <c r="EM132" s="449"/>
      <c r="EN132" s="449"/>
      <c r="EO132" s="449"/>
      <c r="EP132" s="449"/>
      <c r="EQ132" s="449"/>
      <c r="ER132" s="449"/>
      <c r="ES132" s="449"/>
      <c r="ET132" s="449"/>
      <c r="EU132" s="449"/>
      <c r="EV132" s="449"/>
      <c r="EW132" s="449"/>
      <c r="EX132" s="449"/>
      <c r="EY132" s="449"/>
      <c r="EZ132" s="449"/>
      <c r="FA132" s="449"/>
      <c r="FB132" s="449"/>
      <c r="FC132" s="449"/>
      <c r="FD132" s="449"/>
      <c r="FE132" s="449"/>
      <c r="FF132" s="449"/>
      <c r="FG132" s="449"/>
      <c r="FH132" s="449"/>
      <c r="FI132" s="449"/>
      <c r="FJ132" s="449"/>
      <c r="FK132" s="449"/>
      <c r="FL132" s="449"/>
      <c r="FM132" s="449"/>
      <c r="FN132" s="449"/>
      <c r="FO132" s="449"/>
      <c r="FP132" s="449"/>
      <c r="FQ132" s="449"/>
      <c r="FR132" s="449"/>
      <c r="FS132" s="449"/>
      <c r="FT132" s="449"/>
      <c r="FU132" s="449"/>
      <c r="FV132" s="449"/>
      <c r="FW132" s="449"/>
      <c r="FX132" s="449"/>
      <c r="FY132" s="449"/>
      <c r="FZ132" s="449"/>
      <c r="GA132" s="449"/>
      <c r="GB132" s="449"/>
      <c r="GC132" s="449"/>
      <c r="GD132" s="449"/>
      <c r="GE132" s="449"/>
      <c r="GF132" s="449"/>
      <c r="GG132" s="449"/>
      <c r="GH132" s="449"/>
      <c r="GI132" s="449"/>
      <c r="GJ132" s="449"/>
      <c r="GK132" s="449"/>
      <c r="GL132" s="449"/>
      <c r="GM132" s="449"/>
      <c r="GN132" s="449"/>
      <c r="GO132" s="449"/>
      <c r="GP132" s="449"/>
      <c r="GQ132" s="449"/>
      <c r="GR132" s="449"/>
      <c r="GS132" s="449"/>
      <c r="GT132" s="449"/>
      <c r="GU132" s="449"/>
      <c r="GV132" s="449"/>
      <c r="GW132" s="449"/>
      <c r="GX132" s="449"/>
      <c r="GY132" s="449"/>
      <c r="GZ132" s="449"/>
      <c r="HA132" s="449"/>
      <c r="HB132" s="449"/>
      <c r="HC132" s="449"/>
      <c r="HD132" s="449"/>
      <c r="HE132" s="449"/>
      <c r="HF132" s="449"/>
      <c r="HG132" s="449"/>
      <c r="HH132" s="449"/>
      <c r="HI132" s="449"/>
      <c r="HJ132" s="449"/>
      <c r="HK132" s="449"/>
      <c r="HL132" s="449"/>
      <c r="HM132" s="449"/>
      <c r="HN132" s="449"/>
      <c r="HO132" s="449"/>
      <c r="HP132" s="449"/>
      <c r="HQ132" s="449"/>
      <c r="HR132" s="449"/>
      <c r="HS132" s="449"/>
      <c r="HT132" s="449"/>
      <c r="HU132" s="449"/>
      <c r="HV132" s="449"/>
      <c r="HW132" s="449"/>
      <c r="HX132" s="449"/>
      <c r="HY132" s="449"/>
      <c r="HZ132" s="449"/>
      <c r="IA132" s="449"/>
      <c r="IB132" s="449"/>
      <c r="IC132" s="449"/>
      <c r="ID132" s="449"/>
      <c r="IE132" s="449"/>
      <c r="IF132" s="449"/>
      <c r="IG132" s="449"/>
      <c r="IH132" s="449"/>
      <c r="II132" s="449"/>
      <c r="IJ132" s="449"/>
      <c r="IK132" s="449"/>
      <c r="IL132" s="449"/>
      <c r="IM132" s="449"/>
      <c r="IN132" s="449"/>
      <c r="IO132" s="449"/>
      <c r="IP132" s="449"/>
      <c r="IQ132" s="449"/>
      <c r="IR132" s="449"/>
      <c r="IS132" s="449"/>
      <c r="IT132" s="449"/>
      <c r="IU132" s="449"/>
      <c r="IV132" s="449"/>
      <c r="IW132" s="449"/>
    </row>
    <row r="133" customFormat="false" ht="12.75" hidden="false" customHeight="false" outlineLevel="0" collapsed="false">
      <c r="A133" s="509"/>
      <c r="B133" s="437"/>
      <c r="C133" s="157"/>
      <c r="D133" s="452"/>
      <c r="E133" s="514"/>
      <c r="F133" s="157"/>
      <c r="G133" s="157"/>
      <c r="H133" s="157"/>
      <c r="I133" s="519" t="n">
        <f aca="false">(908777-255000-I123)/255000</f>
        <v>2.25076078431373</v>
      </c>
      <c r="J133" s="157" t="s">
        <v>957</v>
      </c>
      <c r="K133" s="503"/>
      <c r="L133" s="449"/>
      <c r="M133" s="449"/>
      <c r="N133" s="449"/>
      <c r="O133" s="449"/>
      <c r="P133" s="449"/>
      <c r="Q133" s="449"/>
      <c r="R133" s="449"/>
      <c r="S133" s="449"/>
      <c r="T133" s="449"/>
      <c r="U133" s="449"/>
      <c r="V133" s="449"/>
      <c r="W133" s="449"/>
      <c r="X133" s="449"/>
      <c r="Y133" s="449"/>
      <c r="Z133" s="449"/>
      <c r="AA133" s="449"/>
      <c r="AB133" s="449"/>
      <c r="AC133" s="449"/>
      <c r="AD133" s="449"/>
      <c r="AE133" s="449"/>
      <c r="AF133" s="449"/>
      <c r="AG133" s="449"/>
      <c r="AH133" s="449"/>
      <c r="AI133" s="449"/>
      <c r="AJ133" s="449"/>
      <c r="AK133" s="449"/>
      <c r="AL133" s="449"/>
      <c r="AM133" s="449"/>
      <c r="AN133" s="449"/>
      <c r="AO133" s="449"/>
      <c r="AP133" s="449"/>
      <c r="AQ133" s="449"/>
      <c r="AR133" s="449"/>
      <c r="AS133" s="449"/>
      <c r="AT133" s="449"/>
      <c r="AU133" s="449"/>
      <c r="AV133" s="449"/>
      <c r="AW133" s="449"/>
      <c r="AX133" s="449"/>
      <c r="AY133" s="449"/>
      <c r="AZ133" s="449"/>
      <c r="BA133" s="449"/>
      <c r="BB133" s="449"/>
      <c r="BC133" s="449"/>
      <c r="BD133" s="449"/>
      <c r="BE133" s="449"/>
      <c r="BF133" s="449"/>
      <c r="BG133" s="449"/>
      <c r="BH133" s="449"/>
      <c r="BI133" s="449"/>
      <c r="BJ133" s="449"/>
      <c r="BK133" s="449"/>
      <c r="BL133" s="449"/>
      <c r="BM133" s="449"/>
      <c r="BN133" s="449"/>
      <c r="BO133" s="449"/>
      <c r="BP133" s="449"/>
      <c r="BQ133" s="449"/>
      <c r="BR133" s="449"/>
      <c r="BS133" s="449"/>
      <c r="BT133" s="449"/>
      <c r="BU133" s="449"/>
      <c r="BV133" s="449"/>
      <c r="BW133" s="449"/>
      <c r="BX133" s="449"/>
      <c r="BY133" s="449"/>
      <c r="BZ133" s="449"/>
      <c r="CA133" s="449"/>
      <c r="CB133" s="449"/>
      <c r="CC133" s="449"/>
      <c r="CD133" s="449"/>
      <c r="CE133" s="449"/>
      <c r="CF133" s="449"/>
      <c r="CG133" s="449"/>
      <c r="CH133" s="449"/>
      <c r="CI133" s="449"/>
      <c r="CJ133" s="449"/>
      <c r="CK133" s="449"/>
      <c r="CL133" s="449"/>
      <c r="CM133" s="449"/>
      <c r="CN133" s="449"/>
      <c r="CO133" s="449"/>
      <c r="CP133" s="449"/>
      <c r="CQ133" s="449"/>
      <c r="CR133" s="449"/>
      <c r="CS133" s="449"/>
      <c r="CT133" s="449"/>
      <c r="CU133" s="449"/>
      <c r="CV133" s="449"/>
      <c r="CW133" s="449"/>
      <c r="CX133" s="449"/>
      <c r="CY133" s="449"/>
      <c r="CZ133" s="449"/>
      <c r="DA133" s="449"/>
      <c r="DB133" s="449"/>
      <c r="DC133" s="449"/>
      <c r="DD133" s="449"/>
      <c r="DE133" s="449"/>
      <c r="DF133" s="449"/>
      <c r="DG133" s="449"/>
      <c r="DH133" s="449"/>
      <c r="DI133" s="449"/>
      <c r="DJ133" s="449"/>
      <c r="DK133" s="449"/>
      <c r="DL133" s="449"/>
      <c r="DM133" s="449"/>
      <c r="DN133" s="449"/>
      <c r="DO133" s="449"/>
      <c r="DP133" s="449"/>
      <c r="DQ133" s="449"/>
      <c r="DR133" s="449"/>
      <c r="DS133" s="449"/>
      <c r="DT133" s="449"/>
      <c r="DU133" s="449"/>
      <c r="DV133" s="449"/>
      <c r="DW133" s="449"/>
      <c r="DX133" s="449"/>
      <c r="DY133" s="449"/>
      <c r="DZ133" s="449"/>
      <c r="EA133" s="449"/>
      <c r="EB133" s="449"/>
      <c r="EC133" s="449"/>
      <c r="ED133" s="449"/>
      <c r="EE133" s="449"/>
      <c r="EF133" s="449"/>
      <c r="EG133" s="449"/>
      <c r="EH133" s="449"/>
      <c r="EI133" s="449"/>
      <c r="EJ133" s="449"/>
      <c r="EK133" s="449"/>
      <c r="EL133" s="449"/>
      <c r="EM133" s="449"/>
      <c r="EN133" s="449"/>
      <c r="EO133" s="449"/>
      <c r="EP133" s="449"/>
      <c r="EQ133" s="449"/>
      <c r="ER133" s="449"/>
      <c r="ES133" s="449"/>
      <c r="ET133" s="449"/>
      <c r="EU133" s="449"/>
      <c r="EV133" s="449"/>
      <c r="EW133" s="449"/>
      <c r="EX133" s="449"/>
      <c r="EY133" s="449"/>
      <c r="EZ133" s="449"/>
      <c r="FA133" s="449"/>
      <c r="FB133" s="449"/>
      <c r="FC133" s="449"/>
      <c r="FD133" s="449"/>
      <c r="FE133" s="449"/>
      <c r="FF133" s="449"/>
      <c r="FG133" s="449"/>
      <c r="FH133" s="449"/>
      <c r="FI133" s="449"/>
      <c r="FJ133" s="449"/>
      <c r="FK133" s="449"/>
      <c r="FL133" s="449"/>
      <c r="FM133" s="449"/>
      <c r="FN133" s="449"/>
      <c r="FO133" s="449"/>
      <c r="FP133" s="449"/>
      <c r="FQ133" s="449"/>
      <c r="FR133" s="449"/>
      <c r="FS133" s="449"/>
      <c r="FT133" s="449"/>
      <c r="FU133" s="449"/>
      <c r="FV133" s="449"/>
      <c r="FW133" s="449"/>
      <c r="FX133" s="449"/>
      <c r="FY133" s="449"/>
      <c r="FZ133" s="449"/>
      <c r="GA133" s="449"/>
      <c r="GB133" s="449"/>
      <c r="GC133" s="449"/>
      <c r="GD133" s="449"/>
      <c r="GE133" s="449"/>
      <c r="GF133" s="449"/>
      <c r="GG133" s="449"/>
      <c r="GH133" s="449"/>
      <c r="GI133" s="449"/>
      <c r="GJ133" s="449"/>
      <c r="GK133" s="449"/>
      <c r="GL133" s="449"/>
      <c r="GM133" s="449"/>
      <c r="GN133" s="449"/>
      <c r="GO133" s="449"/>
      <c r="GP133" s="449"/>
      <c r="GQ133" s="449"/>
      <c r="GR133" s="449"/>
      <c r="GS133" s="449"/>
      <c r="GT133" s="449"/>
      <c r="GU133" s="449"/>
      <c r="GV133" s="449"/>
      <c r="GW133" s="449"/>
      <c r="GX133" s="449"/>
      <c r="GY133" s="449"/>
      <c r="GZ133" s="449"/>
      <c r="HA133" s="449"/>
      <c r="HB133" s="449"/>
      <c r="HC133" s="449"/>
      <c r="HD133" s="449"/>
      <c r="HE133" s="449"/>
      <c r="HF133" s="449"/>
      <c r="HG133" s="449"/>
      <c r="HH133" s="449"/>
      <c r="HI133" s="449"/>
      <c r="HJ133" s="449"/>
      <c r="HK133" s="449"/>
      <c r="HL133" s="449"/>
      <c r="HM133" s="449"/>
      <c r="HN133" s="449"/>
      <c r="HO133" s="449"/>
      <c r="HP133" s="449"/>
      <c r="HQ133" s="449"/>
      <c r="HR133" s="449"/>
      <c r="HS133" s="449"/>
      <c r="HT133" s="449"/>
      <c r="HU133" s="449"/>
      <c r="HV133" s="449"/>
      <c r="HW133" s="449"/>
      <c r="HX133" s="449"/>
      <c r="HY133" s="449"/>
      <c r="HZ133" s="449"/>
      <c r="IA133" s="449"/>
      <c r="IB133" s="449"/>
      <c r="IC133" s="449"/>
      <c r="ID133" s="449"/>
      <c r="IE133" s="449"/>
      <c r="IF133" s="449"/>
      <c r="IG133" s="449"/>
      <c r="IH133" s="449"/>
      <c r="II133" s="449"/>
      <c r="IJ133" s="449"/>
      <c r="IK133" s="449"/>
      <c r="IL133" s="449"/>
      <c r="IM133" s="449"/>
      <c r="IN133" s="449"/>
      <c r="IO133" s="449"/>
      <c r="IP133" s="449"/>
      <c r="IQ133" s="449"/>
      <c r="IR133" s="449"/>
      <c r="IS133" s="449"/>
      <c r="IT133" s="449"/>
      <c r="IU133" s="449"/>
      <c r="IV133" s="449"/>
      <c r="IW133" s="449"/>
    </row>
    <row r="134" customFormat="false" ht="12.75" hidden="false" customHeight="false" outlineLevel="0" collapsed="false">
      <c r="A134" s="509"/>
      <c r="B134" s="437"/>
      <c r="C134" s="157" t="s">
        <v>958</v>
      </c>
      <c r="D134" s="452"/>
      <c r="E134" s="194" t="s">
        <v>959</v>
      </c>
      <c r="F134" s="157"/>
      <c r="G134" s="157"/>
      <c r="H134" s="157"/>
      <c r="I134" s="157"/>
      <c r="J134" s="157"/>
      <c r="K134" s="503"/>
      <c r="L134" s="449"/>
      <c r="M134" s="449"/>
      <c r="N134" s="449"/>
      <c r="O134" s="449"/>
      <c r="P134" s="449"/>
      <c r="Q134" s="449"/>
      <c r="R134" s="449"/>
      <c r="S134" s="449"/>
      <c r="T134" s="449"/>
      <c r="U134" s="449"/>
      <c r="V134" s="449"/>
      <c r="W134" s="449"/>
      <c r="X134" s="449"/>
      <c r="Y134" s="449"/>
      <c r="Z134" s="449"/>
      <c r="AA134" s="449"/>
      <c r="AB134" s="449"/>
      <c r="AC134" s="449"/>
      <c r="AD134" s="449"/>
      <c r="AE134" s="449"/>
      <c r="AF134" s="449"/>
      <c r="AG134" s="449"/>
      <c r="AH134" s="449"/>
      <c r="AI134" s="449"/>
      <c r="AJ134" s="449"/>
      <c r="AK134" s="449"/>
      <c r="AL134" s="449"/>
      <c r="AM134" s="449"/>
      <c r="AN134" s="449"/>
      <c r="AO134" s="449"/>
      <c r="AP134" s="449"/>
      <c r="AQ134" s="449"/>
      <c r="AR134" s="449"/>
      <c r="AS134" s="449"/>
      <c r="AT134" s="449"/>
      <c r="AU134" s="449"/>
      <c r="AV134" s="449"/>
      <c r="AW134" s="449"/>
      <c r="AX134" s="449"/>
      <c r="AY134" s="449"/>
      <c r="AZ134" s="449"/>
      <c r="BA134" s="449"/>
      <c r="BB134" s="449"/>
      <c r="BC134" s="449"/>
      <c r="BD134" s="449"/>
      <c r="BE134" s="449"/>
      <c r="BF134" s="449"/>
      <c r="BG134" s="449"/>
      <c r="BH134" s="449"/>
      <c r="BI134" s="449"/>
      <c r="BJ134" s="449"/>
      <c r="BK134" s="449"/>
      <c r="BL134" s="449"/>
      <c r="BM134" s="449"/>
      <c r="BN134" s="449"/>
      <c r="BO134" s="449"/>
      <c r="BP134" s="449"/>
      <c r="BQ134" s="449"/>
      <c r="BR134" s="449"/>
      <c r="BS134" s="449"/>
      <c r="BT134" s="449"/>
      <c r="BU134" s="449"/>
      <c r="BV134" s="449"/>
      <c r="BW134" s="449"/>
      <c r="BX134" s="449"/>
      <c r="BY134" s="449"/>
      <c r="BZ134" s="449"/>
      <c r="CA134" s="449"/>
      <c r="CB134" s="449"/>
      <c r="CC134" s="449"/>
      <c r="CD134" s="449"/>
      <c r="CE134" s="449"/>
      <c r="CF134" s="449"/>
      <c r="CG134" s="449"/>
      <c r="CH134" s="449"/>
      <c r="CI134" s="449"/>
      <c r="CJ134" s="449"/>
      <c r="CK134" s="449"/>
      <c r="CL134" s="449"/>
      <c r="CM134" s="449"/>
      <c r="CN134" s="449"/>
      <c r="CO134" s="449"/>
      <c r="CP134" s="449"/>
      <c r="CQ134" s="449"/>
      <c r="CR134" s="449"/>
      <c r="CS134" s="449"/>
      <c r="CT134" s="449"/>
      <c r="CU134" s="449"/>
      <c r="CV134" s="449"/>
      <c r="CW134" s="449"/>
      <c r="CX134" s="449"/>
      <c r="CY134" s="449"/>
      <c r="CZ134" s="449"/>
      <c r="DA134" s="449"/>
      <c r="DB134" s="449"/>
      <c r="DC134" s="449"/>
      <c r="DD134" s="449"/>
      <c r="DE134" s="449"/>
      <c r="DF134" s="449"/>
      <c r="DG134" s="449"/>
      <c r="DH134" s="449"/>
      <c r="DI134" s="449"/>
      <c r="DJ134" s="449"/>
      <c r="DK134" s="449"/>
      <c r="DL134" s="449"/>
      <c r="DM134" s="449"/>
      <c r="DN134" s="449"/>
      <c r="DO134" s="449"/>
      <c r="DP134" s="449"/>
      <c r="DQ134" s="449"/>
      <c r="DR134" s="449"/>
      <c r="DS134" s="449"/>
      <c r="DT134" s="449"/>
      <c r="DU134" s="449"/>
      <c r="DV134" s="449"/>
      <c r="DW134" s="449"/>
      <c r="DX134" s="449"/>
      <c r="DY134" s="449"/>
      <c r="DZ134" s="449"/>
      <c r="EA134" s="449"/>
      <c r="EB134" s="449"/>
      <c r="EC134" s="449"/>
      <c r="ED134" s="449"/>
      <c r="EE134" s="449"/>
      <c r="EF134" s="449"/>
      <c r="EG134" s="449"/>
      <c r="EH134" s="449"/>
      <c r="EI134" s="449"/>
      <c r="EJ134" s="449"/>
      <c r="EK134" s="449"/>
      <c r="EL134" s="449"/>
      <c r="EM134" s="449"/>
      <c r="EN134" s="449"/>
      <c r="EO134" s="449"/>
      <c r="EP134" s="449"/>
      <c r="EQ134" s="449"/>
      <c r="ER134" s="449"/>
      <c r="ES134" s="449"/>
      <c r="ET134" s="449"/>
      <c r="EU134" s="449"/>
      <c r="EV134" s="449"/>
      <c r="EW134" s="449"/>
      <c r="EX134" s="449"/>
      <c r="EY134" s="449"/>
      <c r="EZ134" s="449"/>
      <c r="FA134" s="449"/>
      <c r="FB134" s="449"/>
      <c r="FC134" s="449"/>
      <c r="FD134" s="449"/>
      <c r="FE134" s="449"/>
      <c r="FF134" s="449"/>
      <c r="FG134" s="449"/>
      <c r="FH134" s="449"/>
      <c r="FI134" s="449"/>
      <c r="FJ134" s="449"/>
      <c r="FK134" s="449"/>
      <c r="FL134" s="449"/>
      <c r="FM134" s="449"/>
      <c r="FN134" s="449"/>
      <c r="FO134" s="449"/>
      <c r="FP134" s="449"/>
      <c r="FQ134" s="449"/>
      <c r="FR134" s="449"/>
      <c r="FS134" s="449"/>
      <c r="FT134" s="449"/>
      <c r="FU134" s="449"/>
      <c r="FV134" s="449"/>
      <c r="FW134" s="449"/>
      <c r="FX134" s="449"/>
      <c r="FY134" s="449"/>
      <c r="FZ134" s="449"/>
      <c r="GA134" s="449"/>
      <c r="GB134" s="449"/>
      <c r="GC134" s="449"/>
      <c r="GD134" s="449"/>
      <c r="GE134" s="449"/>
      <c r="GF134" s="449"/>
      <c r="GG134" s="449"/>
      <c r="GH134" s="449"/>
      <c r="GI134" s="449"/>
      <c r="GJ134" s="449"/>
      <c r="GK134" s="449"/>
      <c r="GL134" s="449"/>
      <c r="GM134" s="449"/>
      <c r="GN134" s="449"/>
      <c r="GO134" s="449"/>
      <c r="GP134" s="449"/>
      <c r="GQ134" s="449"/>
      <c r="GR134" s="449"/>
      <c r="GS134" s="449"/>
      <c r="GT134" s="449"/>
      <c r="GU134" s="449"/>
      <c r="GV134" s="449"/>
      <c r="GW134" s="449"/>
      <c r="GX134" s="449"/>
      <c r="GY134" s="449"/>
      <c r="GZ134" s="449"/>
      <c r="HA134" s="449"/>
      <c r="HB134" s="449"/>
      <c r="HC134" s="449"/>
      <c r="HD134" s="449"/>
      <c r="HE134" s="449"/>
      <c r="HF134" s="449"/>
      <c r="HG134" s="449"/>
      <c r="HH134" s="449"/>
      <c r="HI134" s="449"/>
      <c r="HJ134" s="449"/>
      <c r="HK134" s="449"/>
      <c r="HL134" s="449"/>
      <c r="HM134" s="449"/>
      <c r="HN134" s="449"/>
      <c r="HO134" s="449"/>
      <c r="HP134" s="449"/>
      <c r="HQ134" s="449"/>
      <c r="HR134" s="449"/>
      <c r="HS134" s="449"/>
      <c r="HT134" s="449"/>
      <c r="HU134" s="449"/>
      <c r="HV134" s="449"/>
      <c r="HW134" s="449"/>
      <c r="HX134" s="449"/>
      <c r="HY134" s="449"/>
      <c r="HZ134" s="449"/>
      <c r="IA134" s="449"/>
      <c r="IB134" s="449"/>
      <c r="IC134" s="449"/>
      <c r="ID134" s="449"/>
      <c r="IE134" s="449"/>
      <c r="IF134" s="449"/>
      <c r="IG134" s="449"/>
      <c r="IH134" s="449"/>
      <c r="II134" s="449"/>
      <c r="IJ134" s="449"/>
      <c r="IK134" s="449"/>
      <c r="IL134" s="449"/>
      <c r="IM134" s="449"/>
      <c r="IN134" s="449"/>
      <c r="IO134" s="449"/>
      <c r="IP134" s="449"/>
      <c r="IQ134" s="449"/>
      <c r="IR134" s="449"/>
      <c r="IS134" s="449"/>
      <c r="IT134" s="449"/>
      <c r="IU134" s="449"/>
      <c r="IV134" s="449"/>
      <c r="IW134" s="449"/>
    </row>
    <row r="135" customFormat="false" ht="12.75" hidden="false" customHeight="false" outlineLevel="0" collapsed="false">
      <c r="A135" s="509"/>
      <c r="B135" s="437"/>
      <c r="C135" s="157" t="s">
        <v>273</v>
      </c>
      <c r="D135" s="157"/>
      <c r="E135" s="157"/>
      <c r="F135" s="157"/>
      <c r="G135" s="157"/>
      <c r="H135" s="157"/>
      <c r="I135" s="157"/>
      <c r="J135" s="157"/>
      <c r="K135" s="503"/>
      <c r="L135" s="449"/>
      <c r="M135" s="449"/>
      <c r="N135" s="449"/>
      <c r="O135" s="449"/>
      <c r="P135" s="449"/>
      <c r="Q135" s="449"/>
      <c r="R135" s="449"/>
      <c r="S135" s="449"/>
      <c r="T135" s="449"/>
      <c r="U135" s="449"/>
      <c r="V135" s="449"/>
      <c r="W135" s="449"/>
      <c r="X135" s="449"/>
      <c r="Y135" s="449"/>
      <c r="Z135" s="449"/>
      <c r="AA135" s="449"/>
      <c r="AB135" s="449"/>
      <c r="AC135" s="449"/>
      <c r="AD135" s="449"/>
      <c r="AE135" s="449"/>
      <c r="AF135" s="449"/>
      <c r="AG135" s="449"/>
      <c r="AH135" s="449"/>
      <c r="AI135" s="449"/>
      <c r="AJ135" s="449"/>
      <c r="AK135" s="449"/>
      <c r="AL135" s="449"/>
      <c r="AM135" s="449"/>
      <c r="AN135" s="449"/>
      <c r="AO135" s="449"/>
      <c r="AP135" s="449"/>
      <c r="AQ135" s="449"/>
      <c r="AR135" s="449"/>
      <c r="AS135" s="449"/>
      <c r="AT135" s="449"/>
      <c r="AU135" s="449"/>
      <c r="AV135" s="449"/>
      <c r="AW135" s="449"/>
      <c r="AX135" s="449"/>
      <c r="AY135" s="449"/>
      <c r="AZ135" s="449"/>
      <c r="BA135" s="449"/>
      <c r="BB135" s="449"/>
      <c r="BC135" s="449"/>
      <c r="BD135" s="449"/>
      <c r="BE135" s="449"/>
      <c r="BF135" s="449"/>
      <c r="BG135" s="449"/>
      <c r="BH135" s="449"/>
      <c r="BI135" s="449"/>
      <c r="BJ135" s="449"/>
      <c r="BK135" s="449"/>
      <c r="BL135" s="449"/>
      <c r="BM135" s="449"/>
      <c r="BN135" s="449"/>
      <c r="BO135" s="449"/>
      <c r="BP135" s="449"/>
      <c r="BQ135" s="449"/>
      <c r="BR135" s="449"/>
      <c r="BS135" s="449"/>
      <c r="BT135" s="449"/>
      <c r="BU135" s="449"/>
      <c r="BV135" s="449"/>
      <c r="BW135" s="449"/>
      <c r="BX135" s="449"/>
      <c r="BY135" s="449"/>
      <c r="BZ135" s="449"/>
      <c r="CA135" s="449"/>
      <c r="CB135" s="449"/>
      <c r="CC135" s="449"/>
      <c r="CD135" s="449"/>
      <c r="CE135" s="449"/>
      <c r="CF135" s="449"/>
      <c r="CG135" s="449"/>
      <c r="CH135" s="449"/>
      <c r="CI135" s="449"/>
      <c r="CJ135" s="449"/>
      <c r="CK135" s="449"/>
      <c r="CL135" s="449"/>
      <c r="CM135" s="449"/>
      <c r="CN135" s="449"/>
      <c r="CO135" s="449"/>
      <c r="CP135" s="449"/>
      <c r="CQ135" s="449"/>
      <c r="CR135" s="449"/>
      <c r="CS135" s="449"/>
      <c r="CT135" s="449"/>
      <c r="CU135" s="449"/>
      <c r="CV135" s="449"/>
      <c r="CW135" s="449"/>
      <c r="CX135" s="449"/>
      <c r="CY135" s="449"/>
      <c r="CZ135" s="449"/>
      <c r="DA135" s="449"/>
      <c r="DB135" s="449"/>
      <c r="DC135" s="449"/>
      <c r="DD135" s="449"/>
      <c r="DE135" s="449"/>
      <c r="DF135" s="449"/>
      <c r="DG135" s="449"/>
      <c r="DH135" s="449"/>
      <c r="DI135" s="449"/>
      <c r="DJ135" s="449"/>
      <c r="DK135" s="449"/>
      <c r="DL135" s="449"/>
      <c r="DM135" s="449"/>
      <c r="DN135" s="449"/>
      <c r="DO135" s="449"/>
      <c r="DP135" s="449"/>
      <c r="DQ135" s="449"/>
      <c r="DR135" s="449"/>
      <c r="DS135" s="449"/>
      <c r="DT135" s="449"/>
      <c r="DU135" s="449"/>
      <c r="DV135" s="449"/>
      <c r="DW135" s="449"/>
      <c r="DX135" s="449"/>
      <c r="DY135" s="449"/>
      <c r="DZ135" s="449"/>
      <c r="EA135" s="449"/>
      <c r="EB135" s="449"/>
      <c r="EC135" s="449"/>
      <c r="ED135" s="449"/>
      <c r="EE135" s="449"/>
      <c r="EF135" s="449"/>
      <c r="EG135" s="449"/>
      <c r="EH135" s="449"/>
      <c r="EI135" s="449"/>
      <c r="EJ135" s="449"/>
      <c r="EK135" s="449"/>
      <c r="EL135" s="449"/>
      <c r="EM135" s="449"/>
      <c r="EN135" s="449"/>
      <c r="EO135" s="449"/>
      <c r="EP135" s="449"/>
      <c r="EQ135" s="449"/>
      <c r="ER135" s="449"/>
      <c r="ES135" s="449"/>
      <c r="ET135" s="449"/>
      <c r="EU135" s="449"/>
      <c r="EV135" s="449"/>
      <c r="EW135" s="449"/>
      <c r="EX135" s="449"/>
      <c r="EY135" s="449"/>
      <c r="EZ135" s="449"/>
      <c r="FA135" s="449"/>
      <c r="FB135" s="449"/>
      <c r="FC135" s="449"/>
      <c r="FD135" s="449"/>
      <c r="FE135" s="449"/>
      <c r="FF135" s="449"/>
      <c r="FG135" s="449"/>
      <c r="FH135" s="449"/>
      <c r="FI135" s="449"/>
      <c r="FJ135" s="449"/>
      <c r="FK135" s="449"/>
      <c r="FL135" s="449"/>
      <c r="FM135" s="449"/>
      <c r="FN135" s="449"/>
      <c r="FO135" s="449"/>
      <c r="FP135" s="449"/>
      <c r="FQ135" s="449"/>
      <c r="FR135" s="449"/>
      <c r="FS135" s="449"/>
      <c r="FT135" s="449"/>
      <c r="FU135" s="449"/>
      <c r="FV135" s="449"/>
      <c r="FW135" s="449"/>
      <c r="FX135" s="449"/>
      <c r="FY135" s="449"/>
      <c r="FZ135" s="449"/>
      <c r="GA135" s="449"/>
      <c r="GB135" s="449"/>
      <c r="GC135" s="449"/>
      <c r="GD135" s="449"/>
      <c r="GE135" s="449"/>
      <c r="GF135" s="449"/>
      <c r="GG135" s="449"/>
      <c r="GH135" s="449"/>
      <c r="GI135" s="449"/>
      <c r="GJ135" s="449"/>
      <c r="GK135" s="449"/>
      <c r="GL135" s="449"/>
      <c r="GM135" s="449"/>
      <c r="GN135" s="449"/>
      <c r="GO135" s="449"/>
      <c r="GP135" s="449"/>
      <c r="GQ135" s="449"/>
      <c r="GR135" s="449"/>
      <c r="GS135" s="449"/>
      <c r="GT135" s="449"/>
      <c r="GU135" s="449"/>
      <c r="GV135" s="449"/>
      <c r="GW135" s="449"/>
      <c r="GX135" s="449"/>
      <c r="GY135" s="449"/>
      <c r="GZ135" s="449"/>
      <c r="HA135" s="449"/>
      <c r="HB135" s="449"/>
      <c r="HC135" s="449"/>
      <c r="HD135" s="449"/>
      <c r="HE135" s="449"/>
      <c r="HF135" s="449"/>
      <c r="HG135" s="449"/>
      <c r="HH135" s="449"/>
      <c r="HI135" s="449"/>
      <c r="HJ135" s="449"/>
      <c r="HK135" s="449"/>
      <c r="HL135" s="449"/>
      <c r="HM135" s="449"/>
      <c r="HN135" s="449"/>
      <c r="HO135" s="449"/>
      <c r="HP135" s="449"/>
      <c r="HQ135" s="449"/>
      <c r="HR135" s="449"/>
      <c r="HS135" s="449"/>
      <c r="HT135" s="449"/>
      <c r="HU135" s="449"/>
      <c r="HV135" s="449"/>
      <c r="HW135" s="449"/>
      <c r="HX135" s="449"/>
      <c r="HY135" s="449"/>
      <c r="HZ135" s="449"/>
      <c r="IA135" s="449"/>
      <c r="IB135" s="449"/>
      <c r="IC135" s="449"/>
      <c r="ID135" s="449"/>
      <c r="IE135" s="449"/>
      <c r="IF135" s="449"/>
      <c r="IG135" s="449"/>
      <c r="IH135" s="449"/>
      <c r="II135" s="449"/>
      <c r="IJ135" s="449"/>
      <c r="IK135" s="449"/>
      <c r="IL135" s="449"/>
      <c r="IM135" s="449"/>
      <c r="IN135" s="449"/>
      <c r="IO135" s="449"/>
      <c r="IP135" s="449"/>
      <c r="IQ135" s="449"/>
      <c r="IR135" s="449"/>
      <c r="IS135" s="449"/>
      <c r="IT135" s="449"/>
      <c r="IU135" s="449"/>
      <c r="IV135" s="449"/>
      <c r="IW135" s="449"/>
    </row>
    <row r="136" customFormat="false" ht="12.75" hidden="false" customHeight="false" outlineLevel="0" collapsed="false">
      <c r="A136" s="509"/>
      <c r="B136" s="437"/>
      <c r="C136" s="157" t="s">
        <v>960</v>
      </c>
      <c r="D136" s="157"/>
      <c r="E136" s="157"/>
      <c r="F136" s="157"/>
      <c r="G136" s="157"/>
      <c r="H136" s="157"/>
      <c r="I136" s="157"/>
      <c r="J136" s="157"/>
      <c r="K136" s="503"/>
      <c r="L136" s="449"/>
      <c r="M136" s="449"/>
      <c r="N136" s="449"/>
      <c r="O136" s="449"/>
      <c r="P136" s="449"/>
      <c r="Q136" s="449"/>
      <c r="R136" s="449"/>
      <c r="S136" s="449"/>
      <c r="T136" s="449"/>
      <c r="U136" s="449"/>
      <c r="V136" s="449"/>
      <c r="W136" s="449"/>
      <c r="X136" s="449"/>
      <c r="Y136" s="449"/>
      <c r="Z136" s="449"/>
      <c r="AA136" s="449"/>
      <c r="AB136" s="449"/>
      <c r="AC136" s="449"/>
      <c r="AD136" s="449"/>
      <c r="AE136" s="449"/>
      <c r="AF136" s="449"/>
      <c r="AG136" s="449"/>
      <c r="AH136" s="449"/>
      <c r="AI136" s="449"/>
      <c r="AJ136" s="449"/>
      <c r="AK136" s="449"/>
      <c r="AL136" s="449"/>
      <c r="AM136" s="449"/>
      <c r="AN136" s="449"/>
      <c r="AO136" s="449"/>
      <c r="AP136" s="449"/>
      <c r="AQ136" s="449"/>
      <c r="AR136" s="449"/>
      <c r="AS136" s="449"/>
      <c r="AT136" s="449"/>
      <c r="AU136" s="449"/>
      <c r="AV136" s="449"/>
      <c r="AW136" s="449"/>
      <c r="AX136" s="449"/>
      <c r="AY136" s="449"/>
      <c r="AZ136" s="449"/>
      <c r="BA136" s="449"/>
      <c r="BB136" s="449"/>
      <c r="BC136" s="449"/>
      <c r="BD136" s="449"/>
      <c r="BE136" s="449"/>
      <c r="BF136" s="449"/>
      <c r="BG136" s="449"/>
      <c r="BH136" s="449"/>
      <c r="BI136" s="449"/>
      <c r="BJ136" s="449"/>
      <c r="BK136" s="449"/>
      <c r="BL136" s="449"/>
      <c r="BM136" s="449"/>
      <c r="BN136" s="449"/>
      <c r="BO136" s="449"/>
      <c r="BP136" s="449"/>
      <c r="BQ136" s="449"/>
      <c r="BR136" s="449"/>
      <c r="BS136" s="449"/>
      <c r="BT136" s="449"/>
      <c r="BU136" s="449"/>
      <c r="BV136" s="449"/>
      <c r="BW136" s="449"/>
      <c r="BX136" s="449"/>
      <c r="BY136" s="449"/>
      <c r="BZ136" s="449"/>
      <c r="CA136" s="449"/>
      <c r="CB136" s="449"/>
      <c r="CC136" s="449"/>
      <c r="CD136" s="449"/>
      <c r="CE136" s="449"/>
      <c r="CF136" s="449"/>
      <c r="CG136" s="449"/>
      <c r="CH136" s="449"/>
      <c r="CI136" s="449"/>
      <c r="CJ136" s="449"/>
      <c r="CK136" s="449"/>
      <c r="CL136" s="449"/>
      <c r="CM136" s="449"/>
      <c r="CN136" s="449"/>
      <c r="CO136" s="449"/>
      <c r="CP136" s="449"/>
      <c r="CQ136" s="449"/>
      <c r="CR136" s="449"/>
      <c r="CS136" s="449"/>
      <c r="CT136" s="449"/>
      <c r="CU136" s="449"/>
      <c r="CV136" s="449"/>
      <c r="CW136" s="449"/>
      <c r="CX136" s="449"/>
      <c r="CY136" s="449"/>
      <c r="CZ136" s="449"/>
      <c r="DA136" s="449"/>
      <c r="DB136" s="449"/>
      <c r="DC136" s="449"/>
      <c r="DD136" s="449"/>
      <c r="DE136" s="449"/>
      <c r="DF136" s="449"/>
      <c r="DG136" s="449"/>
      <c r="DH136" s="449"/>
      <c r="DI136" s="449"/>
      <c r="DJ136" s="449"/>
      <c r="DK136" s="449"/>
      <c r="DL136" s="449"/>
      <c r="DM136" s="449"/>
      <c r="DN136" s="449"/>
      <c r="DO136" s="449"/>
      <c r="DP136" s="449"/>
      <c r="DQ136" s="449"/>
      <c r="DR136" s="449"/>
      <c r="DS136" s="449"/>
      <c r="DT136" s="449"/>
      <c r="DU136" s="449"/>
      <c r="DV136" s="449"/>
      <c r="DW136" s="449"/>
      <c r="DX136" s="449"/>
      <c r="DY136" s="449"/>
      <c r="DZ136" s="449"/>
      <c r="EA136" s="449"/>
      <c r="EB136" s="449"/>
      <c r="EC136" s="449"/>
      <c r="ED136" s="449"/>
      <c r="EE136" s="449"/>
      <c r="EF136" s="449"/>
      <c r="EG136" s="449"/>
      <c r="EH136" s="449"/>
      <c r="EI136" s="449"/>
      <c r="EJ136" s="449"/>
      <c r="EK136" s="449"/>
      <c r="EL136" s="449"/>
      <c r="EM136" s="449"/>
      <c r="EN136" s="449"/>
      <c r="EO136" s="449"/>
      <c r="EP136" s="449"/>
      <c r="EQ136" s="449"/>
      <c r="ER136" s="449"/>
      <c r="ES136" s="449"/>
      <c r="ET136" s="449"/>
      <c r="EU136" s="449"/>
      <c r="EV136" s="449"/>
      <c r="EW136" s="449"/>
      <c r="EX136" s="449"/>
      <c r="EY136" s="449"/>
      <c r="EZ136" s="449"/>
      <c r="FA136" s="449"/>
      <c r="FB136" s="449"/>
      <c r="FC136" s="449"/>
      <c r="FD136" s="449"/>
      <c r="FE136" s="449"/>
      <c r="FF136" s="449"/>
      <c r="FG136" s="449"/>
      <c r="FH136" s="449"/>
      <c r="FI136" s="449"/>
      <c r="FJ136" s="449"/>
      <c r="FK136" s="449"/>
      <c r="FL136" s="449"/>
      <c r="FM136" s="449"/>
      <c r="FN136" s="449"/>
      <c r="FO136" s="449"/>
      <c r="FP136" s="449"/>
      <c r="FQ136" s="449"/>
      <c r="FR136" s="449"/>
      <c r="FS136" s="449"/>
      <c r="FT136" s="449"/>
      <c r="FU136" s="449"/>
      <c r="FV136" s="449"/>
      <c r="FW136" s="449"/>
      <c r="FX136" s="449"/>
      <c r="FY136" s="449"/>
      <c r="FZ136" s="449"/>
      <c r="GA136" s="449"/>
      <c r="GB136" s="449"/>
      <c r="GC136" s="449"/>
      <c r="GD136" s="449"/>
      <c r="GE136" s="449"/>
      <c r="GF136" s="449"/>
      <c r="GG136" s="449"/>
      <c r="GH136" s="449"/>
      <c r="GI136" s="449"/>
      <c r="GJ136" s="449"/>
      <c r="GK136" s="449"/>
      <c r="GL136" s="449"/>
      <c r="GM136" s="449"/>
      <c r="GN136" s="449"/>
      <c r="GO136" s="449"/>
      <c r="GP136" s="449"/>
      <c r="GQ136" s="449"/>
      <c r="GR136" s="449"/>
      <c r="GS136" s="449"/>
      <c r="GT136" s="449"/>
      <c r="GU136" s="449"/>
      <c r="GV136" s="449"/>
      <c r="GW136" s="449"/>
      <c r="GX136" s="449"/>
      <c r="GY136" s="449"/>
      <c r="GZ136" s="449"/>
      <c r="HA136" s="449"/>
      <c r="HB136" s="449"/>
      <c r="HC136" s="449"/>
      <c r="HD136" s="449"/>
      <c r="HE136" s="449"/>
      <c r="HF136" s="449"/>
      <c r="HG136" s="449"/>
      <c r="HH136" s="449"/>
      <c r="HI136" s="449"/>
      <c r="HJ136" s="449"/>
      <c r="HK136" s="449"/>
      <c r="HL136" s="449"/>
      <c r="HM136" s="449"/>
      <c r="HN136" s="449"/>
      <c r="HO136" s="449"/>
      <c r="HP136" s="449"/>
      <c r="HQ136" s="449"/>
      <c r="HR136" s="449"/>
      <c r="HS136" s="449"/>
      <c r="HT136" s="449"/>
      <c r="HU136" s="449"/>
      <c r="HV136" s="449"/>
      <c r="HW136" s="449"/>
      <c r="HX136" s="449"/>
      <c r="HY136" s="449"/>
      <c r="HZ136" s="449"/>
      <c r="IA136" s="449"/>
      <c r="IB136" s="449"/>
      <c r="IC136" s="449"/>
      <c r="ID136" s="449"/>
      <c r="IE136" s="449"/>
      <c r="IF136" s="449"/>
      <c r="IG136" s="449"/>
      <c r="IH136" s="449"/>
      <c r="II136" s="449"/>
      <c r="IJ136" s="449"/>
      <c r="IK136" s="449"/>
      <c r="IL136" s="449"/>
      <c r="IM136" s="449"/>
      <c r="IN136" s="449"/>
      <c r="IO136" s="449"/>
      <c r="IP136" s="449"/>
      <c r="IQ136" s="449"/>
      <c r="IR136" s="449"/>
      <c r="IS136" s="449"/>
      <c r="IT136" s="449"/>
      <c r="IU136" s="449"/>
      <c r="IV136" s="449"/>
      <c r="IW136" s="449"/>
    </row>
    <row r="137" customFormat="false" ht="12.75" hidden="false" customHeight="false" outlineLevel="0" collapsed="false">
      <c r="A137" s="509"/>
      <c r="B137" s="443"/>
      <c r="C137" s="520" t="s">
        <v>961</v>
      </c>
      <c r="D137" s="520"/>
      <c r="E137" s="520"/>
      <c r="F137" s="520"/>
      <c r="G137" s="520"/>
      <c r="H137" s="520"/>
      <c r="I137" s="520"/>
      <c r="J137" s="520"/>
      <c r="K137" s="521"/>
      <c r="L137" s="449"/>
      <c r="M137" s="449"/>
      <c r="N137" s="449"/>
      <c r="O137" s="449"/>
      <c r="P137" s="449"/>
      <c r="Q137" s="449"/>
      <c r="R137" s="449"/>
      <c r="S137" s="449"/>
      <c r="T137" s="449"/>
      <c r="U137" s="449"/>
      <c r="V137" s="449"/>
      <c r="W137" s="449"/>
      <c r="X137" s="449"/>
      <c r="Y137" s="449"/>
      <c r="Z137" s="449"/>
      <c r="AA137" s="449"/>
      <c r="AB137" s="449"/>
      <c r="AC137" s="449"/>
      <c r="AD137" s="449"/>
      <c r="AE137" s="449"/>
      <c r="AF137" s="449"/>
      <c r="AG137" s="449"/>
      <c r="AH137" s="449"/>
      <c r="AI137" s="449"/>
      <c r="AJ137" s="449"/>
      <c r="AK137" s="449"/>
      <c r="AL137" s="449"/>
      <c r="AM137" s="449"/>
      <c r="AN137" s="449"/>
      <c r="AO137" s="449"/>
      <c r="AP137" s="449"/>
      <c r="AQ137" s="449"/>
      <c r="AR137" s="449"/>
      <c r="AS137" s="449"/>
      <c r="AT137" s="449"/>
      <c r="AU137" s="449"/>
      <c r="AV137" s="449"/>
      <c r="AW137" s="449"/>
      <c r="AX137" s="449"/>
      <c r="AY137" s="449"/>
      <c r="AZ137" s="449"/>
      <c r="BA137" s="449"/>
      <c r="BB137" s="449"/>
      <c r="BC137" s="449"/>
      <c r="BD137" s="449"/>
      <c r="BE137" s="449"/>
      <c r="BF137" s="449"/>
      <c r="BG137" s="449"/>
      <c r="BH137" s="449"/>
      <c r="BI137" s="449"/>
      <c r="BJ137" s="449"/>
      <c r="BK137" s="449"/>
      <c r="BL137" s="449"/>
      <c r="BM137" s="449"/>
      <c r="BN137" s="449"/>
      <c r="BO137" s="449"/>
      <c r="BP137" s="449"/>
      <c r="BQ137" s="449"/>
      <c r="BR137" s="449"/>
      <c r="BS137" s="449"/>
      <c r="BT137" s="449"/>
      <c r="BU137" s="449"/>
      <c r="BV137" s="449"/>
      <c r="BW137" s="449"/>
      <c r="BX137" s="449"/>
      <c r="BY137" s="449"/>
      <c r="BZ137" s="449"/>
      <c r="CA137" s="449"/>
      <c r="CB137" s="449"/>
      <c r="CC137" s="449"/>
      <c r="CD137" s="449"/>
      <c r="CE137" s="449"/>
      <c r="CF137" s="449"/>
      <c r="CG137" s="449"/>
      <c r="CH137" s="449"/>
      <c r="CI137" s="449"/>
      <c r="CJ137" s="449"/>
      <c r="CK137" s="449"/>
      <c r="CL137" s="449"/>
      <c r="CM137" s="449"/>
      <c r="CN137" s="449"/>
      <c r="CO137" s="449"/>
      <c r="CP137" s="449"/>
      <c r="CQ137" s="449"/>
      <c r="CR137" s="449"/>
      <c r="CS137" s="449"/>
      <c r="CT137" s="449"/>
      <c r="CU137" s="449"/>
      <c r="CV137" s="449"/>
      <c r="CW137" s="449"/>
      <c r="CX137" s="449"/>
      <c r="CY137" s="449"/>
      <c r="CZ137" s="449"/>
      <c r="DA137" s="449"/>
      <c r="DB137" s="449"/>
      <c r="DC137" s="449"/>
      <c r="DD137" s="449"/>
      <c r="DE137" s="449"/>
      <c r="DF137" s="449"/>
      <c r="DG137" s="449"/>
      <c r="DH137" s="449"/>
      <c r="DI137" s="449"/>
      <c r="DJ137" s="449"/>
      <c r="DK137" s="449"/>
      <c r="DL137" s="449"/>
      <c r="DM137" s="449"/>
      <c r="DN137" s="449"/>
      <c r="DO137" s="449"/>
      <c r="DP137" s="449"/>
      <c r="DQ137" s="449"/>
      <c r="DR137" s="449"/>
      <c r="DS137" s="449"/>
      <c r="DT137" s="449"/>
      <c r="DU137" s="449"/>
      <c r="DV137" s="449"/>
      <c r="DW137" s="449"/>
      <c r="DX137" s="449"/>
      <c r="DY137" s="449"/>
      <c r="DZ137" s="449"/>
      <c r="EA137" s="449"/>
      <c r="EB137" s="449"/>
      <c r="EC137" s="449"/>
      <c r="ED137" s="449"/>
      <c r="EE137" s="449"/>
      <c r="EF137" s="449"/>
      <c r="EG137" s="449"/>
      <c r="EH137" s="449"/>
      <c r="EI137" s="449"/>
      <c r="EJ137" s="449"/>
      <c r="EK137" s="449"/>
      <c r="EL137" s="449"/>
      <c r="EM137" s="449"/>
      <c r="EN137" s="449"/>
      <c r="EO137" s="449"/>
      <c r="EP137" s="449"/>
      <c r="EQ137" s="449"/>
      <c r="ER137" s="449"/>
      <c r="ES137" s="449"/>
      <c r="ET137" s="449"/>
      <c r="EU137" s="449"/>
      <c r="EV137" s="449"/>
      <c r="EW137" s="449"/>
      <c r="EX137" s="449"/>
      <c r="EY137" s="449"/>
      <c r="EZ137" s="449"/>
      <c r="FA137" s="449"/>
      <c r="FB137" s="449"/>
      <c r="FC137" s="449"/>
      <c r="FD137" s="449"/>
      <c r="FE137" s="449"/>
      <c r="FF137" s="449"/>
      <c r="FG137" s="449"/>
      <c r="FH137" s="449"/>
      <c r="FI137" s="449"/>
      <c r="FJ137" s="449"/>
      <c r="FK137" s="449"/>
      <c r="FL137" s="449"/>
      <c r="FM137" s="449"/>
      <c r="FN137" s="449"/>
      <c r="FO137" s="449"/>
      <c r="FP137" s="449"/>
      <c r="FQ137" s="449"/>
      <c r="FR137" s="449"/>
      <c r="FS137" s="449"/>
      <c r="FT137" s="449"/>
      <c r="FU137" s="449"/>
      <c r="FV137" s="449"/>
      <c r="FW137" s="449"/>
      <c r="FX137" s="449"/>
      <c r="FY137" s="449"/>
      <c r="FZ137" s="449"/>
      <c r="GA137" s="449"/>
      <c r="GB137" s="449"/>
      <c r="GC137" s="449"/>
      <c r="GD137" s="449"/>
      <c r="GE137" s="449"/>
      <c r="GF137" s="449"/>
      <c r="GG137" s="449"/>
      <c r="GH137" s="449"/>
      <c r="GI137" s="449"/>
      <c r="GJ137" s="449"/>
      <c r="GK137" s="449"/>
      <c r="GL137" s="449"/>
      <c r="GM137" s="449"/>
      <c r="GN137" s="449"/>
      <c r="GO137" s="449"/>
      <c r="GP137" s="449"/>
      <c r="GQ137" s="449"/>
      <c r="GR137" s="449"/>
      <c r="GS137" s="449"/>
      <c r="GT137" s="449"/>
      <c r="GU137" s="449"/>
      <c r="GV137" s="449"/>
      <c r="GW137" s="449"/>
      <c r="GX137" s="449"/>
      <c r="GY137" s="449"/>
      <c r="GZ137" s="449"/>
      <c r="HA137" s="449"/>
      <c r="HB137" s="449"/>
      <c r="HC137" s="449"/>
      <c r="HD137" s="449"/>
      <c r="HE137" s="449"/>
      <c r="HF137" s="449"/>
      <c r="HG137" s="449"/>
      <c r="HH137" s="449"/>
      <c r="HI137" s="449"/>
      <c r="HJ137" s="449"/>
      <c r="HK137" s="449"/>
      <c r="HL137" s="449"/>
      <c r="HM137" s="449"/>
      <c r="HN137" s="449"/>
      <c r="HO137" s="449"/>
      <c r="HP137" s="449"/>
      <c r="HQ137" s="449"/>
      <c r="HR137" s="449"/>
      <c r="HS137" s="449"/>
      <c r="HT137" s="449"/>
      <c r="HU137" s="449"/>
      <c r="HV137" s="449"/>
      <c r="HW137" s="449"/>
      <c r="HX137" s="449"/>
      <c r="HY137" s="449"/>
      <c r="HZ137" s="449"/>
      <c r="IA137" s="449"/>
      <c r="IB137" s="449"/>
      <c r="IC137" s="449"/>
      <c r="ID137" s="449"/>
      <c r="IE137" s="449"/>
      <c r="IF137" s="449"/>
      <c r="IG137" s="449"/>
      <c r="IH137" s="449"/>
      <c r="II137" s="449"/>
      <c r="IJ137" s="449"/>
      <c r="IK137" s="449"/>
      <c r="IL137" s="449"/>
      <c r="IM137" s="449"/>
      <c r="IN137" s="449"/>
      <c r="IO137" s="449"/>
      <c r="IP137" s="449"/>
      <c r="IQ137" s="449"/>
      <c r="IR137" s="449"/>
      <c r="IS137" s="449"/>
      <c r="IT137" s="449"/>
      <c r="IU137" s="449"/>
      <c r="IV137" s="449"/>
      <c r="IW137" s="449"/>
    </row>
    <row r="138" customFormat="false" ht="12.75" hidden="false" customHeight="false" outlineLevel="0" collapsed="false">
      <c r="A138" s="509"/>
      <c r="C138" s="449"/>
      <c r="D138" s="449"/>
      <c r="E138" s="469"/>
      <c r="F138" s="469"/>
      <c r="G138" s="469"/>
      <c r="H138" s="469"/>
      <c r="I138" s="469"/>
      <c r="J138" s="469"/>
      <c r="K138" s="469"/>
      <c r="L138" s="449"/>
      <c r="M138" s="449"/>
      <c r="N138" s="449"/>
      <c r="O138" s="449"/>
      <c r="P138" s="449"/>
      <c r="Q138" s="449"/>
      <c r="R138" s="449"/>
      <c r="S138" s="449"/>
      <c r="T138" s="449"/>
      <c r="U138" s="449"/>
      <c r="V138" s="449"/>
      <c r="W138" s="449"/>
      <c r="X138" s="449"/>
      <c r="Y138" s="449"/>
      <c r="Z138" s="449"/>
      <c r="AA138" s="449"/>
      <c r="AB138" s="449"/>
      <c r="AC138" s="449"/>
      <c r="AD138" s="449"/>
      <c r="AE138" s="449"/>
      <c r="AF138" s="449"/>
      <c r="AG138" s="449"/>
      <c r="AH138" s="449"/>
      <c r="AI138" s="449"/>
      <c r="AJ138" s="449"/>
      <c r="AK138" s="449"/>
      <c r="AL138" s="449"/>
      <c r="AM138" s="449"/>
      <c r="AN138" s="449"/>
      <c r="AO138" s="449"/>
      <c r="AP138" s="449"/>
      <c r="AQ138" s="449"/>
      <c r="AR138" s="449"/>
      <c r="AS138" s="449"/>
      <c r="AT138" s="449"/>
      <c r="AU138" s="449"/>
      <c r="AV138" s="449"/>
      <c r="AW138" s="449"/>
      <c r="AX138" s="449"/>
      <c r="AY138" s="449"/>
      <c r="AZ138" s="449"/>
      <c r="BA138" s="449"/>
      <c r="BB138" s="449"/>
      <c r="BC138" s="449"/>
      <c r="BD138" s="449"/>
      <c r="BE138" s="449"/>
      <c r="BF138" s="449"/>
      <c r="BG138" s="449"/>
      <c r="BH138" s="449"/>
      <c r="BI138" s="449"/>
      <c r="BJ138" s="449"/>
      <c r="BK138" s="449"/>
      <c r="BL138" s="449"/>
      <c r="BM138" s="449"/>
      <c r="BN138" s="449"/>
      <c r="BO138" s="449"/>
      <c r="BP138" s="449"/>
      <c r="BQ138" s="449"/>
      <c r="BR138" s="449"/>
      <c r="BS138" s="449"/>
      <c r="BT138" s="449"/>
      <c r="BU138" s="449"/>
      <c r="BV138" s="449"/>
      <c r="BW138" s="449"/>
      <c r="BX138" s="449"/>
      <c r="BY138" s="449"/>
      <c r="BZ138" s="449"/>
      <c r="CA138" s="449"/>
      <c r="CB138" s="449"/>
      <c r="CC138" s="449"/>
      <c r="CD138" s="449"/>
      <c r="CE138" s="449"/>
      <c r="CF138" s="449"/>
      <c r="CG138" s="449"/>
      <c r="CH138" s="449"/>
      <c r="CI138" s="449"/>
      <c r="CJ138" s="449"/>
      <c r="CK138" s="449"/>
      <c r="CL138" s="449"/>
      <c r="CM138" s="449"/>
      <c r="CN138" s="449"/>
      <c r="CO138" s="449"/>
      <c r="CP138" s="449"/>
      <c r="CQ138" s="449"/>
      <c r="CR138" s="449"/>
      <c r="CS138" s="449"/>
      <c r="CT138" s="449"/>
      <c r="CU138" s="449"/>
      <c r="CV138" s="449"/>
      <c r="CW138" s="449"/>
      <c r="CX138" s="449"/>
      <c r="CY138" s="449"/>
      <c r="CZ138" s="449"/>
      <c r="DA138" s="449"/>
      <c r="DB138" s="449"/>
      <c r="DC138" s="449"/>
      <c r="DD138" s="449"/>
      <c r="DE138" s="449"/>
      <c r="DF138" s="449"/>
      <c r="DG138" s="449"/>
      <c r="DH138" s="449"/>
      <c r="DI138" s="449"/>
      <c r="DJ138" s="449"/>
      <c r="DK138" s="449"/>
      <c r="DL138" s="449"/>
      <c r="DM138" s="449"/>
      <c r="DN138" s="449"/>
      <c r="DO138" s="449"/>
      <c r="DP138" s="449"/>
      <c r="DQ138" s="449"/>
      <c r="DR138" s="449"/>
      <c r="DS138" s="449"/>
      <c r="DT138" s="449"/>
      <c r="DU138" s="449"/>
      <c r="DV138" s="449"/>
      <c r="DW138" s="449"/>
      <c r="DX138" s="449"/>
      <c r="DY138" s="449"/>
      <c r="DZ138" s="449"/>
      <c r="EA138" s="449"/>
      <c r="EB138" s="449"/>
      <c r="EC138" s="449"/>
      <c r="ED138" s="449"/>
      <c r="EE138" s="449"/>
      <c r="EF138" s="449"/>
      <c r="EG138" s="449"/>
      <c r="EH138" s="449"/>
      <c r="EI138" s="449"/>
      <c r="EJ138" s="449"/>
      <c r="EK138" s="449"/>
      <c r="EL138" s="449"/>
      <c r="EM138" s="449"/>
      <c r="EN138" s="449"/>
      <c r="EO138" s="449"/>
      <c r="EP138" s="449"/>
      <c r="EQ138" s="449"/>
      <c r="ER138" s="449"/>
      <c r="ES138" s="449"/>
      <c r="ET138" s="449"/>
      <c r="EU138" s="449"/>
      <c r="EV138" s="449"/>
      <c r="EW138" s="449"/>
      <c r="EX138" s="449"/>
      <c r="EY138" s="449"/>
      <c r="EZ138" s="449"/>
      <c r="FA138" s="449"/>
      <c r="FB138" s="449"/>
      <c r="FC138" s="449"/>
      <c r="FD138" s="449"/>
      <c r="FE138" s="449"/>
      <c r="FF138" s="449"/>
      <c r="FG138" s="449"/>
      <c r="FH138" s="449"/>
      <c r="FI138" s="449"/>
      <c r="FJ138" s="449"/>
      <c r="FK138" s="449"/>
      <c r="FL138" s="449"/>
      <c r="FM138" s="449"/>
      <c r="FN138" s="449"/>
      <c r="FO138" s="449"/>
      <c r="FP138" s="449"/>
      <c r="FQ138" s="449"/>
      <c r="FR138" s="449"/>
      <c r="FS138" s="449"/>
      <c r="FT138" s="449"/>
      <c r="FU138" s="449"/>
      <c r="FV138" s="449"/>
      <c r="FW138" s="449"/>
      <c r="FX138" s="449"/>
      <c r="FY138" s="449"/>
      <c r="FZ138" s="449"/>
      <c r="GA138" s="449"/>
      <c r="GB138" s="449"/>
      <c r="GC138" s="449"/>
      <c r="GD138" s="449"/>
      <c r="GE138" s="449"/>
      <c r="GF138" s="449"/>
      <c r="GG138" s="449"/>
      <c r="GH138" s="449"/>
      <c r="GI138" s="449"/>
      <c r="GJ138" s="449"/>
      <c r="GK138" s="449"/>
      <c r="GL138" s="449"/>
      <c r="GM138" s="449"/>
      <c r="GN138" s="449"/>
      <c r="GO138" s="449"/>
      <c r="GP138" s="449"/>
      <c r="GQ138" s="449"/>
      <c r="GR138" s="449"/>
      <c r="GS138" s="449"/>
      <c r="GT138" s="449"/>
      <c r="GU138" s="449"/>
      <c r="GV138" s="449"/>
      <c r="GW138" s="449"/>
      <c r="GX138" s="449"/>
      <c r="GY138" s="449"/>
      <c r="GZ138" s="449"/>
      <c r="HA138" s="449"/>
      <c r="HB138" s="449"/>
      <c r="HC138" s="449"/>
      <c r="HD138" s="449"/>
      <c r="HE138" s="449"/>
      <c r="HF138" s="449"/>
      <c r="HG138" s="449"/>
      <c r="HH138" s="449"/>
      <c r="HI138" s="449"/>
      <c r="HJ138" s="449"/>
      <c r="HK138" s="449"/>
      <c r="HL138" s="449"/>
      <c r="HM138" s="449"/>
      <c r="HN138" s="449"/>
      <c r="HO138" s="449"/>
      <c r="HP138" s="449"/>
      <c r="HQ138" s="449"/>
      <c r="HR138" s="449"/>
      <c r="HS138" s="449"/>
      <c r="HT138" s="449"/>
      <c r="HU138" s="449"/>
      <c r="HV138" s="449"/>
      <c r="HW138" s="449"/>
      <c r="HX138" s="449"/>
      <c r="HY138" s="449"/>
      <c r="HZ138" s="449"/>
      <c r="IA138" s="449"/>
      <c r="IB138" s="449"/>
      <c r="IC138" s="449"/>
      <c r="ID138" s="449"/>
      <c r="IE138" s="449"/>
      <c r="IF138" s="449"/>
      <c r="IG138" s="449"/>
      <c r="IH138" s="449"/>
      <c r="II138" s="449"/>
      <c r="IJ138" s="449"/>
      <c r="IK138" s="449"/>
      <c r="IL138" s="449"/>
      <c r="IM138" s="449"/>
      <c r="IN138" s="449"/>
      <c r="IO138" s="449"/>
      <c r="IP138" s="449"/>
      <c r="IQ138" s="449"/>
      <c r="IR138" s="449"/>
      <c r="IS138" s="449"/>
      <c r="IT138" s="449"/>
      <c r="IU138" s="449"/>
      <c r="IV138" s="449"/>
      <c r="IW138" s="449"/>
    </row>
    <row r="139" customFormat="false" ht="12.75" hidden="false" customHeight="false" outlineLevel="0" collapsed="false">
      <c r="A139" s="509"/>
      <c r="C139" s="449"/>
      <c r="D139" s="449"/>
      <c r="E139" s="469"/>
      <c r="F139" s="469"/>
      <c r="G139" s="469"/>
      <c r="H139" s="469"/>
      <c r="I139" s="469"/>
      <c r="J139" s="469"/>
      <c r="K139" s="469"/>
      <c r="L139" s="449"/>
      <c r="M139" s="449"/>
      <c r="N139" s="449"/>
      <c r="O139" s="449"/>
      <c r="P139" s="449"/>
      <c r="Q139" s="449"/>
      <c r="R139" s="449"/>
      <c r="S139" s="449"/>
      <c r="T139" s="449"/>
      <c r="U139" s="449"/>
      <c r="V139" s="449"/>
      <c r="W139" s="449"/>
      <c r="X139" s="449"/>
      <c r="Y139" s="449"/>
      <c r="Z139" s="449"/>
      <c r="AA139" s="449"/>
      <c r="AB139" s="449"/>
      <c r="AC139" s="449"/>
      <c r="AD139" s="449"/>
      <c r="AE139" s="449"/>
      <c r="AF139" s="449"/>
      <c r="AG139" s="449"/>
      <c r="AH139" s="449"/>
      <c r="AI139" s="449"/>
      <c r="AJ139" s="449"/>
      <c r="AK139" s="449"/>
      <c r="AL139" s="449"/>
      <c r="AM139" s="449"/>
      <c r="AN139" s="449"/>
      <c r="AO139" s="449"/>
      <c r="AP139" s="449"/>
      <c r="AQ139" s="449"/>
      <c r="AR139" s="449"/>
      <c r="AS139" s="449"/>
      <c r="AT139" s="449"/>
      <c r="AU139" s="449"/>
      <c r="AV139" s="449"/>
      <c r="AW139" s="449"/>
      <c r="AX139" s="449"/>
      <c r="AY139" s="449"/>
      <c r="AZ139" s="449"/>
      <c r="BA139" s="449"/>
      <c r="BB139" s="449"/>
      <c r="BC139" s="449"/>
      <c r="BD139" s="449"/>
      <c r="BE139" s="449"/>
      <c r="BF139" s="449"/>
      <c r="BG139" s="449"/>
      <c r="BH139" s="449"/>
      <c r="BI139" s="449"/>
      <c r="BJ139" s="449"/>
      <c r="BK139" s="449"/>
      <c r="BL139" s="449"/>
      <c r="BM139" s="449"/>
      <c r="BN139" s="449"/>
      <c r="BO139" s="449"/>
      <c r="BP139" s="449"/>
      <c r="BQ139" s="449"/>
      <c r="BR139" s="449"/>
      <c r="BS139" s="449"/>
      <c r="BT139" s="449"/>
      <c r="BU139" s="449"/>
      <c r="BV139" s="449"/>
      <c r="BW139" s="449"/>
      <c r="BX139" s="449"/>
      <c r="BY139" s="449"/>
      <c r="BZ139" s="449"/>
      <c r="CA139" s="449"/>
      <c r="CB139" s="449"/>
      <c r="CC139" s="449"/>
      <c r="CD139" s="449"/>
      <c r="CE139" s="449"/>
      <c r="CF139" s="449"/>
      <c r="CG139" s="449"/>
      <c r="CH139" s="449"/>
      <c r="CI139" s="449"/>
      <c r="CJ139" s="449"/>
      <c r="CK139" s="449"/>
      <c r="CL139" s="449"/>
      <c r="CM139" s="449"/>
      <c r="CN139" s="449"/>
      <c r="CO139" s="449"/>
      <c r="CP139" s="449"/>
      <c r="CQ139" s="449"/>
      <c r="CR139" s="449"/>
      <c r="CS139" s="449"/>
      <c r="CT139" s="449"/>
      <c r="CU139" s="449"/>
      <c r="CV139" s="449"/>
      <c r="CW139" s="449"/>
      <c r="CX139" s="449"/>
      <c r="CY139" s="449"/>
      <c r="CZ139" s="449"/>
      <c r="DA139" s="449"/>
      <c r="DB139" s="449"/>
      <c r="DC139" s="449"/>
      <c r="DD139" s="449"/>
      <c r="DE139" s="449"/>
      <c r="DF139" s="449"/>
      <c r="DG139" s="449"/>
      <c r="DH139" s="449"/>
      <c r="DI139" s="449"/>
      <c r="DJ139" s="449"/>
      <c r="DK139" s="449"/>
      <c r="DL139" s="449"/>
      <c r="DM139" s="449"/>
      <c r="DN139" s="449"/>
      <c r="DO139" s="449"/>
      <c r="DP139" s="449"/>
      <c r="DQ139" s="449"/>
      <c r="DR139" s="449"/>
      <c r="DS139" s="449"/>
      <c r="DT139" s="449"/>
      <c r="DU139" s="449"/>
      <c r="DV139" s="449"/>
      <c r="DW139" s="449"/>
      <c r="DX139" s="449"/>
      <c r="DY139" s="449"/>
      <c r="DZ139" s="449"/>
      <c r="EA139" s="449"/>
      <c r="EB139" s="449"/>
      <c r="EC139" s="449"/>
      <c r="ED139" s="449"/>
      <c r="EE139" s="449"/>
      <c r="EF139" s="449"/>
      <c r="EG139" s="449"/>
      <c r="EH139" s="449"/>
      <c r="EI139" s="449"/>
      <c r="EJ139" s="449"/>
      <c r="EK139" s="449"/>
      <c r="EL139" s="449"/>
      <c r="EM139" s="449"/>
      <c r="EN139" s="449"/>
      <c r="EO139" s="449"/>
      <c r="EP139" s="449"/>
      <c r="EQ139" s="449"/>
      <c r="ER139" s="449"/>
      <c r="ES139" s="449"/>
      <c r="ET139" s="449"/>
      <c r="EU139" s="449"/>
      <c r="EV139" s="449"/>
      <c r="EW139" s="449"/>
      <c r="EX139" s="449"/>
      <c r="EY139" s="449"/>
      <c r="EZ139" s="449"/>
      <c r="FA139" s="449"/>
      <c r="FB139" s="449"/>
      <c r="FC139" s="449"/>
      <c r="FD139" s="449"/>
      <c r="FE139" s="449"/>
      <c r="FF139" s="449"/>
      <c r="FG139" s="449"/>
      <c r="FH139" s="449"/>
      <c r="FI139" s="449"/>
      <c r="FJ139" s="449"/>
      <c r="FK139" s="449"/>
      <c r="FL139" s="449"/>
      <c r="FM139" s="449"/>
      <c r="FN139" s="449"/>
      <c r="FO139" s="449"/>
      <c r="FP139" s="449"/>
      <c r="FQ139" s="449"/>
      <c r="FR139" s="449"/>
      <c r="FS139" s="449"/>
      <c r="FT139" s="449"/>
      <c r="FU139" s="449"/>
      <c r="FV139" s="449"/>
      <c r="FW139" s="449"/>
      <c r="FX139" s="449"/>
      <c r="FY139" s="449"/>
      <c r="FZ139" s="449"/>
      <c r="GA139" s="449"/>
      <c r="GB139" s="449"/>
      <c r="GC139" s="449"/>
      <c r="GD139" s="449"/>
      <c r="GE139" s="449"/>
      <c r="GF139" s="449"/>
      <c r="GG139" s="449"/>
      <c r="GH139" s="449"/>
      <c r="GI139" s="449"/>
      <c r="GJ139" s="449"/>
      <c r="GK139" s="449"/>
      <c r="GL139" s="449"/>
      <c r="GM139" s="449"/>
      <c r="GN139" s="449"/>
      <c r="GO139" s="449"/>
      <c r="GP139" s="449"/>
      <c r="GQ139" s="449"/>
      <c r="GR139" s="449"/>
      <c r="GS139" s="449"/>
      <c r="GT139" s="449"/>
      <c r="GU139" s="449"/>
      <c r="GV139" s="449"/>
      <c r="GW139" s="449"/>
      <c r="GX139" s="449"/>
      <c r="GY139" s="449"/>
      <c r="GZ139" s="449"/>
      <c r="HA139" s="449"/>
      <c r="HB139" s="449"/>
      <c r="HC139" s="449"/>
      <c r="HD139" s="449"/>
      <c r="HE139" s="449"/>
      <c r="HF139" s="449"/>
      <c r="HG139" s="449"/>
      <c r="HH139" s="449"/>
      <c r="HI139" s="449"/>
      <c r="HJ139" s="449"/>
      <c r="HK139" s="449"/>
      <c r="HL139" s="449"/>
      <c r="HM139" s="449"/>
      <c r="HN139" s="449"/>
      <c r="HO139" s="449"/>
      <c r="HP139" s="449"/>
      <c r="HQ139" s="449"/>
      <c r="HR139" s="449"/>
      <c r="HS139" s="449"/>
      <c r="HT139" s="449"/>
      <c r="HU139" s="449"/>
      <c r="HV139" s="449"/>
      <c r="HW139" s="449"/>
      <c r="HX139" s="449"/>
      <c r="HY139" s="449"/>
      <c r="HZ139" s="449"/>
      <c r="IA139" s="449"/>
      <c r="IB139" s="449"/>
      <c r="IC139" s="449"/>
      <c r="ID139" s="449"/>
      <c r="IE139" s="449"/>
      <c r="IF139" s="449"/>
      <c r="IG139" s="449"/>
      <c r="IH139" s="449"/>
      <c r="II139" s="449"/>
      <c r="IJ139" s="449"/>
      <c r="IK139" s="449"/>
      <c r="IL139" s="449"/>
      <c r="IM139" s="449"/>
      <c r="IN139" s="449"/>
      <c r="IO139" s="449"/>
      <c r="IP139" s="449"/>
      <c r="IQ139" s="449"/>
      <c r="IR139" s="449"/>
      <c r="IS139" s="449"/>
      <c r="IT139" s="449"/>
      <c r="IU139" s="449"/>
      <c r="IV139" s="449"/>
      <c r="IW139" s="449"/>
    </row>
    <row r="140" customFormat="false" ht="12.75" hidden="false" customHeight="false" outlineLevel="0" collapsed="false">
      <c r="A140" s="509"/>
      <c r="C140" s="449"/>
      <c r="D140" s="449"/>
      <c r="E140" s="469"/>
      <c r="F140" s="469"/>
      <c r="G140" s="469"/>
      <c r="H140" s="469"/>
      <c r="I140" s="469"/>
      <c r="J140" s="469"/>
      <c r="K140" s="469"/>
      <c r="L140" s="449"/>
      <c r="M140" s="449"/>
      <c r="N140" s="449"/>
      <c r="O140" s="449"/>
      <c r="P140" s="449"/>
      <c r="Q140" s="449"/>
      <c r="R140" s="449"/>
      <c r="S140" s="449"/>
      <c r="T140" s="449"/>
      <c r="U140" s="449"/>
      <c r="V140" s="449"/>
      <c r="W140" s="449"/>
      <c r="X140" s="449"/>
      <c r="Y140" s="449"/>
      <c r="Z140" s="449"/>
      <c r="AA140" s="449"/>
      <c r="AB140" s="449"/>
      <c r="AC140" s="449"/>
      <c r="AD140" s="449"/>
      <c r="AE140" s="449"/>
      <c r="AF140" s="449"/>
      <c r="AG140" s="449"/>
      <c r="AH140" s="449"/>
      <c r="AI140" s="449"/>
      <c r="AJ140" s="449"/>
      <c r="AK140" s="449"/>
      <c r="AL140" s="449"/>
      <c r="AM140" s="449"/>
      <c r="AN140" s="449"/>
      <c r="AO140" s="449"/>
      <c r="AP140" s="449"/>
      <c r="AQ140" s="449"/>
      <c r="AR140" s="449"/>
      <c r="AS140" s="449"/>
      <c r="AT140" s="449"/>
      <c r="AU140" s="449"/>
      <c r="AV140" s="449"/>
      <c r="AW140" s="449"/>
      <c r="AX140" s="449"/>
      <c r="AY140" s="449"/>
      <c r="AZ140" s="449"/>
      <c r="BA140" s="449"/>
      <c r="BB140" s="449"/>
      <c r="BC140" s="449"/>
      <c r="BD140" s="449"/>
      <c r="BE140" s="449"/>
      <c r="BF140" s="449"/>
      <c r="BG140" s="449"/>
      <c r="BH140" s="449"/>
      <c r="BI140" s="449"/>
      <c r="BJ140" s="449"/>
      <c r="BK140" s="449"/>
      <c r="BL140" s="449"/>
      <c r="BM140" s="449"/>
      <c r="BN140" s="449"/>
      <c r="BO140" s="449"/>
      <c r="BP140" s="449"/>
      <c r="BQ140" s="449"/>
      <c r="BR140" s="449"/>
      <c r="BS140" s="449"/>
      <c r="BT140" s="449"/>
      <c r="BU140" s="449"/>
      <c r="BV140" s="449"/>
      <c r="BW140" s="449"/>
      <c r="BX140" s="449"/>
      <c r="BY140" s="449"/>
      <c r="BZ140" s="449"/>
      <c r="CA140" s="449"/>
      <c r="CB140" s="449"/>
      <c r="CC140" s="449"/>
      <c r="CD140" s="449"/>
      <c r="CE140" s="449"/>
      <c r="CF140" s="449"/>
      <c r="CG140" s="449"/>
      <c r="CH140" s="449"/>
      <c r="CI140" s="449"/>
      <c r="CJ140" s="449"/>
      <c r="CK140" s="449"/>
      <c r="CL140" s="449"/>
      <c r="CM140" s="449"/>
      <c r="CN140" s="449"/>
      <c r="CO140" s="449"/>
      <c r="CP140" s="449"/>
      <c r="CQ140" s="449"/>
      <c r="CR140" s="449"/>
      <c r="CS140" s="449"/>
      <c r="CT140" s="449"/>
      <c r="CU140" s="449"/>
      <c r="CV140" s="449"/>
      <c r="CW140" s="449"/>
      <c r="CX140" s="449"/>
      <c r="CY140" s="449"/>
      <c r="CZ140" s="449"/>
      <c r="DA140" s="449"/>
      <c r="DB140" s="449"/>
      <c r="DC140" s="449"/>
      <c r="DD140" s="449"/>
      <c r="DE140" s="449"/>
      <c r="DF140" s="449"/>
      <c r="DG140" s="449"/>
      <c r="DH140" s="449"/>
      <c r="DI140" s="449"/>
      <c r="DJ140" s="449"/>
      <c r="DK140" s="449"/>
      <c r="DL140" s="449"/>
      <c r="DM140" s="449"/>
      <c r="DN140" s="449"/>
      <c r="DO140" s="449"/>
      <c r="DP140" s="449"/>
      <c r="DQ140" s="449"/>
      <c r="DR140" s="449"/>
      <c r="DS140" s="449"/>
      <c r="DT140" s="449"/>
      <c r="DU140" s="449"/>
      <c r="DV140" s="449"/>
      <c r="DW140" s="449"/>
      <c r="DX140" s="449"/>
      <c r="DY140" s="449"/>
      <c r="DZ140" s="449"/>
      <c r="EA140" s="449"/>
      <c r="EB140" s="449"/>
      <c r="EC140" s="449"/>
      <c r="ED140" s="449"/>
      <c r="EE140" s="449"/>
      <c r="EF140" s="449"/>
      <c r="EG140" s="449"/>
      <c r="EH140" s="449"/>
      <c r="EI140" s="449"/>
      <c r="EJ140" s="449"/>
      <c r="EK140" s="449"/>
      <c r="EL140" s="449"/>
      <c r="EM140" s="449"/>
      <c r="EN140" s="449"/>
      <c r="EO140" s="449"/>
      <c r="EP140" s="449"/>
      <c r="EQ140" s="449"/>
      <c r="ER140" s="449"/>
      <c r="ES140" s="449"/>
      <c r="ET140" s="449"/>
      <c r="EU140" s="449"/>
      <c r="EV140" s="449"/>
      <c r="EW140" s="449"/>
      <c r="EX140" s="449"/>
      <c r="EY140" s="449"/>
      <c r="EZ140" s="449"/>
      <c r="FA140" s="449"/>
      <c r="FB140" s="449"/>
      <c r="FC140" s="449"/>
      <c r="FD140" s="449"/>
      <c r="FE140" s="449"/>
      <c r="FF140" s="449"/>
      <c r="FG140" s="449"/>
      <c r="FH140" s="449"/>
      <c r="FI140" s="449"/>
      <c r="FJ140" s="449"/>
      <c r="FK140" s="449"/>
      <c r="FL140" s="449"/>
      <c r="FM140" s="449"/>
      <c r="FN140" s="449"/>
      <c r="FO140" s="449"/>
      <c r="FP140" s="449"/>
      <c r="FQ140" s="449"/>
      <c r="FR140" s="449"/>
      <c r="FS140" s="449"/>
      <c r="FT140" s="449"/>
      <c r="FU140" s="449"/>
      <c r="FV140" s="449"/>
      <c r="FW140" s="449"/>
      <c r="FX140" s="449"/>
      <c r="FY140" s="449"/>
      <c r="FZ140" s="449"/>
      <c r="GA140" s="449"/>
      <c r="GB140" s="449"/>
      <c r="GC140" s="449"/>
      <c r="GD140" s="449"/>
      <c r="GE140" s="449"/>
      <c r="GF140" s="449"/>
      <c r="GG140" s="449"/>
      <c r="GH140" s="449"/>
      <c r="GI140" s="449"/>
      <c r="GJ140" s="449"/>
      <c r="GK140" s="449"/>
      <c r="GL140" s="449"/>
      <c r="GM140" s="449"/>
      <c r="GN140" s="449"/>
      <c r="GO140" s="449"/>
      <c r="GP140" s="449"/>
      <c r="GQ140" s="449"/>
      <c r="GR140" s="449"/>
      <c r="GS140" s="449"/>
      <c r="GT140" s="449"/>
      <c r="GU140" s="449"/>
      <c r="GV140" s="449"/>
      <c r="GW140" s="449"/>
      <c r="GX140" s="449"/>
      <c r="GY140" s="449"/>
      <c r="GZ140" s="449"/>
      <c r="HA140" s="449"/>
      <c r="HB140" s="449"/>
      <c r="HC140" s="449"/>
      <c r="HD140" s="449"/>
      <c r="HE140" s="449"/>
      <c r="HF140" s="449"/>
      <c r="HG140" s="449"/>
      <c r="HH140" s="449"/>
      <c r="HI140" s="449"/>
      <c r="HJ140" s="449"/>
      <c r="HK140" s="449"/>
      <c r="HL140" s="449"/>
      <c r="HM140" s="449"/>
      <c r="HN140" s="449"/>
      <c r="HO140" s="449"/>
      <c r="HP140" s="449"/>
      <c r="HQ140" s="449"/>
      <c r="HR140" s="449"/>
      <c r="HS140" s="449"/>
      <c r="HT140" s="449"/>
      <c r="HU140" s="449"/>
      <c r="HV140" s="449"/>
      <c r="HW140" s="449"/>
      <c r="HX140" s="449"/>
      <c r="HY140" s="449"/>
      <c r="HZ140" s="449"/>
      <c r="IA140" s="449"/>
      <c r="IB140" s="449"/>
      <c r="IC140" s="449"/>
      <c r="ID140" s="449"/>
      <c r="IE140" s="449"/>
      <c r="IF140" s="449"/>
      <c r="IG140" s="449"/>
      <c r="IH140" s="449"/>
      <c r="II140" s="449"/>
      <c r="IJ140" s="449"/>
      <c r="IK140" s="449"/>
      <c r="IL140" s="449"/>
      <c r="IM140" s="449"/>
      <c r="IN140" s="449"/>
      <c r="IO140" s="449"/>
      <c r="IP140" s="449"/>
      <c r="IQ140" s="449"/>
      <c r="IR140" s="449"/>
      <c r="IS140" s="449"/>
      <c r="IT140" s="449"/>
      <c r="IU140" s="449"/>
      <c r="IV140" s="449"/>
      <c r="IW140" s="449"/>
    </row>
    <row r="141" customFormat="false" ht="12.75" hidden="false" customHeight="false" outlineLevel="0" collapsed="false">
      <c r="A141" s="509"/>
      <c r="C141" s="449"/>
      <c r="D141" s="449"/>
      <c r="E141" s="469"/>
      <c r="F141" s="469"/>
      <c r="G141" s="469"/>
      <c r="H141" s="469"/>
      <c r="I141" s="469"/>
      <c r="J141" s="469"/>
      <c r="K141" s="469"/>
      <c r="L141" s="449"/>
      <c r="M141" s="449"/>
      <c r="N141" s="449"/>
      <c r="O141" s="449"/>
      <c r="P141" s="449"/>
      <c r="Q141" s="449"/>
      <c r="R141" s="449"/>
      <c r="S141" s="449"/>
      <c r="T141" s="449"/>
      <c r="U141" s="449"/>
      <c r="V141" s="449"/>
      <c r="W141" s="449"/>
      <c r="X141" s="449"/>
      <c r="Y141" s="449"/>
      <c r="Z141" s="449"/>
      <c r="AA141" s="449"/>
      <c r="AB141" s="449"/>
      <c r="AC141" s="449"/>
      <c r="AD141" s="449"/>
      <c r="AE141" s="449"/>
      <c r="AF141" s="449"/>
      <c r="AG141" s="449"/>
      <c r="AH141" s="449"/>
      <c r="AI141" s="449"/>
      <c r="AJ141" s="449"/>
      <c r="AK141" s="449"/>
      <c r="AL141" s="449"/>
      <c r="AM141" s="449"/>
      <c r="AN141" s="449"/>
      <c r="AO141" s="449"/>
      <c r="AP141" s="449"/>
      <c r="AQ141" s="449"/>
      <c r="AR141" s="449"/>
      <c r="AS141" s="449"/>
      <c r="AT141" s="449"/>
      <c r="AU141" s="449"/>
      <c r="AV141" s="449"/>
      <c r="AW141" s="449"/>
      <c r="AX141" s="449"/>
      <c r="AY141" s="449"/>
      <c r="AZ141" s="449"/>
      <c r="BA141" s="449"/>
      <c r="BB141" s="449"/>
      <c r="BC141" s="449"/>
      <c r="BD141" s="449"/>
      <c r="BE141" s="449"/>
      <c r="BF141" s="449"/>
      <c r="BG141" s="449"/>
      <c r="BH141" s="449"/>
      <c r="BI141" s="449"/>
      <c r="BJ141" s="449"/>
      <c r="BK141" s="449"/>
      <c r="BL141" s="449"/>
      <c r="BM141" s="449"/>
      <c r="BN141" s="449"/>
      <c r="BO141" s="449"/>
      <c r="BP141" s="449"/>
      <c r="BQ141" s="449"/>
      <c r="BR141" s="449"/>
      <c r="BS141" s="449"/>
      <c r="BT141" s="449"/>
      <c r="BU141" s="449"/>
      <c r="BV141" s="449"/>
      <c r="BW141" s="449"/>
      <c r="BX141" s="449"/>
      <c r="BY141" s="449"/>
      <c r="BZ141" s="449"/>
      <c r="CA141" s="449"/>
      <c r="CB141" s="449"/>
      <c r="CC141" s="449"/>
      <c r="CD141" s="449"/>
      <c r="CE141" s="449"/>
      <c r="CF141" s="449"/>
      <c r="CG141" s="449"/>
      <c r="CH141" s="449"/>
      <c r="CI141" s="449"/>
      <c r="CJ141" s="449"/>
      <c r="CK141" s="449"/>
      <c r="CL141" s="449"/>
      <c r="CM141" s="449"/>
      <c r="CN141" s="449"/>
      <c r="CO141" s="449"/>
      <c r="CP141" s="449"/>
      <c r="CQ141" s="449"/>
      <c r="CR141" s="449"/>
      <c r="CS141" s="449"/>
      <c r="CT141" s="449"/>
      <c r="CU141" s="449"/>
      <c r="CV141" s="449"/>
      <c r="CW141" s="449"/>
      <c r="CX141" s="449"/>
      <c r="CY141" s="449"/>
      <c r="CZ141" s="449"/>
      <c r="DA141" s="449"/>
      <c r="DB141" s="449"/>
      <c r="DC141" s="449"/>
      <c r="DD141" s="449"/>
      <c r="DE141" s="449"/>
      <c r="DF141" s="449"/>
      <c r="DG141" s="449"/>
      <c r="DH141" s="449"/>
      <c r="DI141" s="449"/>
      <c r="DJ141" s="449"/>
      <c r="DK141" s="449"/>
      <c r="DL141" s="449"/>
      <c r="DM141" s="449"/>
      <c r="DN141" s="449"/>
      <c r="DO141" s="449"/>
      <c r="DP141" s="449"/>
      <c r="DQ141" s="449"/>
      <c r="DR141" s="449"/>
      <c r="DS141" s="449"/>
      <c r="DT141" s="449"/>
      <c r="DU141" s="449"/>
      <c r="DV141" s="449"/>
      <c r="DW141" s="449"/>
      <c r="DX141" s="449"/>
      <c r="DY141" s="449"/>
      <c r="DZ141" s="449"/>
      <c r="EA141" s="449"/>
      <c r="EB141" s="449"/>
      <c r="EC141" s="449"/>
      <c r="ED141" s="449"/>
      <c r="EE141" s="449"/>
      <c r="EF141" s="449"/>
      <c r="EG141" s="449"/>
      <c r="EH141" s="449"/>
      <c r="EI141" s="449"/>
      <c r="EJ141" s="449"/>
      <c r="EK141" s="449"/>
      <c r="EL141" s="449"/>
      <c r="EM141" s="449"/>
      <c r="EN141" s="449"/>
      <c r="EO141" s="449"/>
      <c r="EP141" s="449"/>
      <c r="EQ141" s="449"/>
      <c r="ER141" s="449"/>
      <c r="ES141" s="449"/>
      <c r="ET141" s="449"/>
      <c r="EU141" s="449"/>
      <c r="EV141" s="449"/>
      <c r="EW141" s="449"/>
      <c r="EX141" s="449"/>
      <c r="EY141" s="449"/>
      <c r="EZ141" s="449"/>
      <c r="FA141" s="449"/>
      <c r="FB141" s="449"/>
      <c r="FC141" s="449"/>
      <c r="FD141" s="449"/>
      <c r="FE141" s="449"/>
      <c r="FF141" s="449"/>
      <c r="FG141" s="449"/>
      <c r="FH141" s="449"/>
      <c r="FI141" s="449"/>
      <c r="FJ141" s="449"/>
      <c r="FK141" s="449"/>
      <c r="FL141" s="449"/>
      <c r="FM141" s="449"/>
      <c r="FN141" s="449"/>
      <c r="FO141" s="449"/>
      <c r="FP141" s="449"/>
      <c r="FQ141" s="449"/>
      <c r="FR141" s="449"/>
      <c r="FS141" s="449"/>
      <c r="FT141" s="449"/>
      <c r="FU141" s="449"/>
      <c r="FV141" s="449"/>
      <c r="FW141" s="449"/>
      <c r="FX141" s="449"/>
      <c r="FY141" s="449"/>
      <c r="FZ141" s="449"/>
      <c r="GA141" s="449"/>
      <c r="GB141" s="449"/>
      <c r="GC141" s="449"/>
      <c r="GD141" s="449"/>
      <c r="GE141" s="449"/>
      <c r="GF141" s="449"/>
      <c r="GG141" s="449"/>
      <c r="GH141" s="449"/>
      <c r="GI141" s="449"/>
      <c r="GJ141" s="449"/>
      <c r="GK141" s="449"/>
      <c r="GL141" s="449"/>
      <c r="GM141" s="449"/>
      <c r="GN141" s="449"/>
      <c r="GO141" s="449"/>
      <c r="GP141" s="449"/>
      <c r="GQ141" s="449"/>
      <c r="GR141" s="449"/>
      <c r="GS141" s="449"/>
      <c r="GT141" s="449"/>
      <c r="GU141" s="449"/>
      <c r="GV141" s="449"/>
      <c r="GW141" s="449"/>
      <c r="GX141" s="449"/>
      <c r="GY141" s="449"/>
      <c r="GZ141" s="449"/>
      <c r="HA141" s="449"/>
      <c r="HB141" s="449"/>
      <c r="HC141" s="449"/>
      <c r="HD141" s="449"/>
      <c r="HE141" s="449"/>
      <c r="HF141" s="449"/>
      <c r="HG141" s="449"/>
      <c r="HH141" s="449"/>
      <c r="HI141" s="449"/>
      <c r="HJ141" s="449"/>
      <c r="HK141" s="449"/>
      <c r="HL141" s="449"/>
      <c r="HM141" s="449"/>
      <c r="HN141" s="449"/>
      <c r="HO141" s="449"/>
      <c r="HP141" s="449"/>
      <c r="HQ141" s="449"/>
      <c r="HR141" s="449"/>
      <c r="HS141" s="449"/>
      <c r="HT141" s="449"/>
      <c r="HU141" s="449"/>
      <c r="HV141" s="449"/>
      <c r="HW141" s="449"/>
      <c r="HX141" s="449"/>
      <c r="HY141" s="449"/>
      <c r="HZ141" s="449"/>
      <c r="IA141" s="449"/>
      <c r="IB141" s="449"/>
      <c r="IC141" s="449"/>
      <c r="ID141" s="449"/>
      <c r="IE141" s="449"/>
      <c r="IF141" s="449"/>
      <c r="IG141" s="449"/>
      <c r="IH141" s="449"/>
      <c r="II141" s="449"/>
      <c r="IJ141" s="449"/>
      <c r="IK141" s="449"/>
      <c r="IL141" s="449"/>
      <c r="IM141" s="449"/>
      <c r="IN141" s="449"/>
      <c r="IO141" s="449"/>
      <c r="IP141" s="449"/>
      <c r="IQ141" s="449"/>
      <c r="IR141" s="449"/>
      <c r="IS141" s="449"/>
      <c r="IT141" s="449"/>
      <c r="IU141" s="449"/>
      <c r="IV141" s="449"/>
      <c r="IW141" s="449"/>
    </row>
    <row r="142" customFormat="false" ht="12.75" hidden="false" customHeight="false" outlineLevel="0" collapsed="false">
      <c r="A142" s="509"/>
      <c r="C142" s="449"/>
      <c r="D142" s="449"/>
      <c r="E142" s="469"/>
      <c r="F142" s="469"/>
      <c r="G142" s="469"/>
      <c r="H142" s="469"/>
      <c r="I142" s="469"/>
      <c r="J142" s="469"/>
      <c r="K142" s="469"/>
      <c r="L142" s="449"/>
      <c r="M142" s="449"/>
      <c r="N142" s="449"/>
      <c r="O142" s="449"/>
      <c r="P142" s="449"/>
      <c r="Q142" s="449"/>
      <c r="R142" s="449"/>
      <c r="S142" s="449"/>
      <c r="T142" s="449"/>
      <c r="U142" s="449"/>
      <c r="V142" s="449"/>
      <c r="W142" s="449"/>
      <c r="X142" s="449"/>
      <c r="Y142" s="449"/>
      <c r="Z142" s="449"/>
      <c r="AA142" s="449"/>
      <c r="AB142" s="449"/>
      <c r="AC142" s="449"/>
      <c r="AD142" s="449"/>
      <c r="AE142" s="449"/>
      <c r="AF142" s="449"/>
      <c r="AG142" s="449"/>
      <c r="AH142" s="449"/>
      <c r="AI142" s="449"/>
      <c r="AJ142" s="449"/>
      <c r="AK142" s="449"/>
      <c r="AL142" s="449"/>
      <c r="AM142" s="449"/>
      <c r="AN142" s="449"/>
      <c r="AO142" s="449"/>
      <c r="AP142" s="449"/>
      <c r="AQ142" s="449"/>
      <c r="AR142" s="449"/>
      <c r="AS142" s="449"/>
      <c r="AT142" s="449"/>
      <c r="AU142" s="449"/>
      <c r="AV142" s="449"/>
      <c r="AW142" s="449"/>
      <c r="AX142" s="449"/>
      <c r="AY142" s="449"/>
      <c r="AZ142" s="449"/>
      <c r="BA142" s="449"/>
      <c r="BB142" s="449"/>
      <c r="BC142" s="449"/>
      <c r="BD142" s="449"/>
      <c r="BE142" s="449"/>
      <c r="BF142" s="449"/>
      <c r="BG142" s="449"/>
      <c r="BH142" s="449"/>
      <c r="BI142" s="449"/>
      <c r="BJ142" s="449"/>
      <c r="BK142" s="449"/>
      <c r="BL142" s="449"/>
      <c r="BM142" s="449"/>
      <c r="BN142" s="449"/>
      <c r="BO142" s="449"/>
      <c r="BP142" s="449"/>
      <c r="BQ142" s="449"/>
      <c r="BR142" s="449"/>
      <c r="BS142" s="449"/>
      <c r="BT142" s="449"/>
      <c r="BU142" s="449"/>
      <c r="BV142" s="449"/>
      <c r="BW142" s="449"/>
      <c r="BX142" s="449"/>
      <c r="BY142" s="449"/>
      <c r="BZ142" s="449"/>
      <c r="CA142" s="449"/>
      <c r="CB142" s="449"/>
      <c r="CC142" s="449"/>
      <c r="CD142" s="449"/>
      <c r="CE142" s="449"/>
      <c r="CF142" s="449"/>
      <c r="CG142" s="449"/>
      <c r="CH142" s="449"/>
      <c r="CI142" s="449"/>
      <c r="CJ142" s="449"/>
      <c r="CK142" s="449"/>
      <c r="CL142" s="449"/>
      <c r="CM142" s="449"/>
      <c r="CN142" s="449"/>
      <c r="CO142" s="449"/>
      <c r="CP142" s="449"/>
      <c r="CQ142" s="449"/>
      <c r="CR142" s="449"/>
      <c r="CS142" s="449"/>
      <c r="CT142" s="449"/>
      <c r="CU142" s="449"/>
      <c r="CV142" s="449"/>
      <c r="CW142" s="449"/>
      <c r="CX142" s="449"/>
      <c r="CY142" s="449"/>
      <c r="CZ142" s="449"/>
      <c r="DA142" s="449"/>
      <c r="DB142" s="449"/>
      <c r="DC142" s="449"/>
      <c r="DD142" s="449"/>
      <c r="DE142" s="449"/>
      <c r="DF142" s="449"/>
      <c r="DG142" s="449"/>
      <c r="DH142" s="449"/>
      <c r="DI142" s="449"/>
      <c r="DJ142" s="449"/>
      <c r="DK142" s="449"/>
      <c r="DL142" s="449"/>
      <c r="DM142" s="449"/>
      <c r="DN142" s="449"/>
      <c r="DO142" s="449"/>
      <c r="DP142" s="449"/>
      <c r="DQ142" s="449"/>
      <c r="DR142" s="449"/>
      <c r="DS142" s="449"/>
      <c r="DT142" s="449"/>
      <c r="DU142" s="449"/>
      <c r="DV142" s="449"/>
      <c r="DW142" s="449"/>
      <c r="DX142" s="449"/>
      <c r="DY142" s="449"/>
      <c r="DZ142" s="449"/>
      <c r="EA142" s="449"/>
      <c r="EB142" s="449"/>
      <c r="EC142" s="449"/>
      <c r="ED142" s="449"/>
      <c r="EE142" s="449"/>
      <c r="EF142" s="449"/>
      <c r="EG142" s="449"/>
      <c r="EH142" s="449"/>
      <c r="EI142" s="449"/>
      <c r="EJ142" s="449"/>
      <c r="EK142" s="449"/>
      <c r="EL142" s="449"/>
      <c r="EM142" s="449"/>
      <c r="EN142" s="449"/>
      <c r="EO142" s="449"/>
      <c r="EP142" s="449"/>
      <c r="EQ142" s="449"/>
      <c r="ER142" s="449"/>
      <c r="ES142" s="449"/>
      <c r="ET142" s="449"/>
      <c r="EU142" s="449"/>
      <c r="EV142" s="449"/>
      <c r="EW142" s="449"/>
      <c r="EX142" s="449"/>
      <c r="EY142" s="449"/>
      <c r="EZ142" s="449"/>
      <c r="FA142" s="449"/>
      <c r="FB142" s="449"/>
      <c r="FC142" s="449"/>
      <c r="FD142" s="449"/>
      <c r="FE142" s="449"/>
      <c r="FF142" s="449"/>
      <c r="FG142" s="449"/>
      <c r="FH142" s="449"/>
      <c r="FI142" s="449"/>
      <c r="FJ142" s="449"/>
      <c r="FK142" s="449"/>
      <c r="FL142" s="449"/>
      <c r="FM142" s="449"/>
      <c r="FN142" s="449"/>
      <c r="FO142" s="449"/>
      <c r="FP142" s="449"/>
      <c r="FQ142" s="449"/>
      <c r="FR142" s="449"/>
      <c r="FS142" s="449"/>
      <c r="FT142" s="449"/>
      <c r="FU142" s="449"/>
      <c r="FV142" s="449"/>
      <c r="FW142" s="449"/>
      <c r="FX142" s="449"/>
      <c r="FY142" s="449"/>
      <c r="FZ142" s="449"/>
      <c r="GA142" s="449"/>
      <c r="GB142" s="449"/>
      <c r="GC142" s="449"/>
      <c r="GD142" s="449"/>
      <c r="GE142" s="449"/>
      <c r="GF142" s="449"/>
      <c r="GG142" s="449"/>
      <c r="GH142" s="449"/>
      <c r="GI142" s="449"/>
      <c r="GJ142" s="449"/>
      <c r="GK142" s="449"/>
      <c r="GL142" s="449"/>
      <c r="GM142" s="449"/>
      <c r="GN142" s="449"/>
      <c r="GO142" s="449"/>
      <c r="GP142" s="449"/>
      <c r="GQ142" s="449"/>
      <c r="GR142" s="449"/>
      <c r="GS142" s="449"/>
      <c r="GT142" s="449"/>
      <c r="GU142" s="449"/>
      <c r="GV142" s="449"/>
      <c r="GW142" s="449"/>
      <c r="GX142" s="449"/>
      <c r="GY142" s="449"/>
      <c r="GZ142" s="449"/>
      <c r="HA142" s="449"/>
      <c r="HB142" s="449"/>
      <c r="HC142" s="449"/>
      <c r="HD142" s="449"/>
      <c r="HE142" s="449"/>
      <c r="HF142" s="449"/>
      <c r="HG142" s="449"/>
      <c r="HH142" s="449"/>
      <c r="HI142" s="449"/>
      <c r="HJ142" s="449"/>
      <c r="HK142" s="449"/>
      <c r="HL142" s="449"/>
      <c r="HM142" s="449"/>
      <c r="HN142" s="449"/>
      <c r="HO142" s="449"/>
      <c r="HP142" s="449"/>
      <c r="HQ142" s="449"/>
      <c r="HR142" s="449"/>
      <c r="HS142" s="449"/>
      <c r="HT142" s="449"/>
      <c r="HU142" s="449"/>
      <c r="HV142" s="449"/>
      <c r="HW142" s="449"/>
      <c r="HX142" s="449"/>
      <c r="HY142" s="449"/>
      <c r="HZ142" s="449"/>
      <c r="IA142" s="449"/>
      <c r="IB142" s="449"/>
      <c r="IC142" s="449"/>
      <c r="ID142" s="449"/>
      <c r="IE142" s="449"/>
      <c r="IF142" s="449"/>
      <c r="IG142" s="449"/>
      <c r="IH142" s="449"/>
      <c r="II142" s="449"/>
      <c r="IJ142" s="449"/>
      <c r="IK142" s="449"/>
      <c r="IL142" s="449"/>
      <c r="IM142" s="449"/>
      <c r="IN142" s="449"/>
      <c r="IO142" s="449"/>
      <c r="IP142" s="449"/>
      <c r="IQ142" s="449"/>
      <c r="IR142" s="449"/>
      <c r="IS142" s="449"/>
      <c r="IT142" s="449"/>
      <c r="IU142" s="449"/>
      <c r="IV142" s="449"/>
      <c r="IW142" s="449"/>
    </row>
    <row r="143" customFormat="false" ht="12.75" hidden="false" customHeight="false" outlineLevel="0" collapsed="false">
      <c r="A143" s="509"/>
      <c r="C143" s="449"/>
      <c r="D143" s="449"/>
      <c r="E143" s="469"/>
      <c r="F143" s="469"/>
      <c r="G143" s="469"/>
      <c r="H143" s="469"/>
      <c r="I143" s="469"/>
      <c r="J143" s="469"/>
      <c r="K143" s="469"/>
      <c r="L143" s="449"/>
      <c r="M143" s="449"/>
      <c r="N143" s="449"/>
      <c r="O143" s="449"/>
      <c r="P143" s="449"/>
      <c r="Q143" s="449"/>
      <c r="R143" s="449"/>
      <c r="S143" s="449"/>
      <c r="T143" s="449"/>
      <c r="U143" s="449"/>
      <c r="V143" s="449"/>
      <c r="W143" s="449"/>
      <c r="X143" s="449"/>
      <c r="Y143" s="449"/>
      <c r="Z143" s="449"/>
      <c r="AA143" s="449"/>
      <c r="AB143" s="449"/>
      <c r="AC143" s="449"/>
      <c r="AD143" s="449"/>
      <c r="AE143" s="449"/>
      <c r="AF143" s="449"/>
      <c r="AG143" s="449"/>
      <c r="AH143" s="449"/>
      <c r="AI143" s="449"/>
      <c r="AJ143" s="449"/>
      <c r="AK143" s="449"/>
      <c r="AL143" s="449"/>
      <c r="AM143" s="449"/>
      <c r="AN143" s="449"/>
      <c r="AO143" s="449"/>
      <c r="AP143" s="449"/>
      <c r="AQ143" s="449"/>
      <c r="AR143" s="449"/>
      <c r="AS143" s="449"/>
      <c r="AT143" s="449"/>
      <c r="AU143" s="449"/>
      <c r="AV143" s="449"/>
      <c r="AW143" s="449"/>
      <c r="AX143" s="449"/>
      <c r="AY143" s="449"/>
      <c r="AZ143" s="449"/>
      <c r="BA143" s="449"/>
      <c r="BB143" s="449"/>
      <c r="BC143" s="449"/>
      <c r="BD143" s="449"/>
      <c r="BE143" s="449"/>
      <c r="BF143" s="449"/>
      <c r="BG143" s="449"/>
      <c r="BH143" s="449"/>
      <c r="BI143" s="449"/>
      <c r="BJ143" s="449"/>
      <c r="BK143" s="449"/>
      <c r="BL143" s="449"/>
      <c r="BM143" s="449"/>
      <c r="BN143" s="449"/>
      <c r="BO143" s="449"/>
      <c r="BP143" s="449"/>
      <c r="BQ143" s="449"/>
      <c r="BR143" s="449"/>
      <c r="BS143" s="449"/>
      <c r="BT143" s="449"/>
      <c r="BU143" s="449"/>
      <c r="BV143" s="449"/>
      <c r="BW143" s="449"/>
      <c r="BX143" s="449"/>
      <c r="BY143" s="449"/>
      <c r="BZ143" s="449"/>
      <c r="CA143" s="449"/>
      <c r="CB143" s="449"/>
      <c r="CC143" s="449"/>
      <c r="CD143" s="449"/>
      <c r="CE143" s="449"/>
      <c r="CF143" s="449"/>
      <c r="CG143" s="449"/>
      <c r="CH143" s="449"/>
      <c r="CI143" s="449"/>
      <c r="CJ143" s="449"/>
      <c r="CK143" s="449"/>
      <c r="CL143" s="449"/>
      <c r="CM143" s="449"/>
      <c r="CN143" s="449"/>
      <c r="CO143" s="449"/>
      <c r="CP143" s="449"/>
      <c r="CQ143" s="449"/>
      <c r="CR143" s="449"/>
      <c r="CS143" s="449"/>
      <c r="CT143" s="449"/>
      <c r="CU143" s="449"/>
      <c r="CV143" s="449"/>
      <c r="CW143" s="449"/>
      <c r="CX143" s="449"/>
      <c r="CY143" s="449"/>
      <c r="CZ143" s="449"/>
      <c r="DA143" s="449"/>
      <c r="DB143" s="449"/>
      <c r="DC143" s="449"/>
      <c r="DD143" s="449"/>
      <c r="DE143" s="449"/>
      <c r="DF143" s="449"/>
      <c r="DG143" s="449"/>
      <c r="DH143" s="449"/>
      <c r="DI143" s="449"/>
      <c r="DJ143" s="449"/>
      <c r="DK143" s="449"/>
      <c r="DL143" s="449"/>
      <c r="DM143" s="449"/>
      <c r="DN143" s="449"/>
      <c r="DO143" s="449"/>
      <c r="DP143" s="449"/>
      <c r="DQ143" s="449"/>
      <c r="DR143" s="449"/>
      <c r="DS143" s="449"/>
      <c r="DT143" s="449"/>
      <c r="DU143" s="449"/>
      <c r="DV143" s="449"/>
      <c r="DW143" s="449"/>
      <c r="DX143" s="449"/>
      <c r="DY143" s="449"/>
      <c r="DZ143" s="449"/>
      <c r="EA143" s="449"/>
      <c r="EB143" s="449"/>
      <c r="EC143" s="449"/>
      <c r="ED143" s="449"/>
      <c r="EE143" s="449"/>
      <c r="EF143" s="449"/>
      <c r="EG143" s="449"/>
      <c r="EH143" s="449"/>
      <c r="EI143" s="449"/>
      <c r="EJ143" s="449"/>
      <c r="EK143" s="449"/>
      <c r="EL143" s="449"/>
      <c r="EM143" s="449"/>
      <c r="EN143" s="449"/>
      <c r="EO143" s="449"/>
      <c r="EP143" s="449"/>
      <c r="EQ143" s="449"/>
      <c r="ER143" s="449"/>
      <c r="ES143" s="449"/>
      <c r="ET143" s="449"/>
      <c r="EU143" s="449"/>
      <c r="EV143" s="449"/>
      <c r="EW143" s="449"/>
      <c r="EX143" s="449"/>
      <c r="EY143" s="449"/>
      <c r="EZ143" s="449"/>
      <c r="FA143" s="449"/>
      <c r="FB143" s="449"/>
      <c r="FC143" s="449"/>
      <c r="FD143" s="449"/>
      <c r="FE143" s="449"/>
      <c r="FF143" s="449"/>
      <c r="FG143" s="449"/>
      <c r="FH143" s="449"/>
      <c r="FI143" s="449"/>
      <c r="FJ143" s="449"/>
      <c r="FK143" s="449"/>
      <c r="FL143" s="449"/>
      <c r="FM143" s="449"/>
      <c r="FN143" s="449"/>
      <c r="FO143" s="449"/>
      <c r="FP143" s="449"/>
      <c r="FQ143" s="449"/>
      <c r="FR143" s="449"/>
      <c r="FS143" s="449"/>
      <c r="FT143" s="449"/>
      <c r="FU143" s="449"/>
      <c r="FV143" s="449"/>
      <c r="FW143" s="449"/>
      <c r="FX143" s="449"/>
      <c r="FY143" s="449"/>
      <c r="FZ143" s="449"/>
      <c r="GA143" s="449"/>
      <c r="GB143" s="449"/>
      <c r="GC143" s="449"/>
      <c r="GD143" s="449"/>
      <c r="GE143" s="449"/>
      <c r="GF143" s="449"/>
      <c r="GG143" s="449"/>
      <c r="GH143" s="449"/>
      <c r="GI143" s="449"/>
      <c r="GJ143" s="449"/>
      <c r="GK143" s="449"/>
      <c r="GL143" s="449"/>
      <c r="GM143" s="449"/>
      <c r="GN143" s="449"/>
      <c r="GO143" s="449"/>
      <c r="GP143" s="449"/>
      <c r="GQ143" s="449"/>
      <c r="GR143" s="449"/>
      <c r="GS143" s="449"/>
      <c r="GT143" s="449"/>
      <c r="GU143" s="449"/>
      <c r="GV143" s="449"/>
      <c r="GW143" s="449"/>
      <c r="GX143" s="449"/>
      <c r="GY143" s="449"/>
      <c r="GZ143" s="449"/>
      <c r="HA143" s="449"/>
      <c r="HB143" s="449"/>
      <c r="HC143" s="449"/>
      <c r="HD143" s="449"/>
      <c r="HE143" s="449"/>
      <c r="HF143" s="449"/>
      <c r="HG143" s="449"/>
      <c r="HH143" s="449"/>
      <c r="HI143" s="449"/>
      <c r="HJ143" s="449"/>
      <c r="HK143" s="449"/>
      <c r="HL143" s="449"/>
      <c r="HM143" s="449"/>
      <c r="HN143" s="449"/>
      <c r="HO143" s="449"/>
      <c r="HP143" s="449"/>
      <c r="HQ143" s="449"/>
      <c r="HR143" s="449"/>
      <c r="HS143" s="449"/>
      <c r="HT143" s="449"/>
      <c r="HU143" s="449"/>
      <c r="HV143" s="449"/>
      <c r="HW143" s="449"/>
      <c r="HX143" s="449"/>
      <c r="HY143" s="449"/>
      <c r="HZ143" s="449"/>
      <c r="IA143" s="449"/>
      <c r="IB143" s="449"/>
      <c r="IC143" s="449"/>
      <c r="ID143" s="449"/>
      <c r="IE143" s="449"/>
      <c r="IF143" s="449"/>
      <c r="IG143" s="449"/>
      <c r="IH143" s="449"/>
      <c r="II143" s="449"/>
      <c r="IJ143" s="449"/>
      <c r="IK143" s="449"/>
      <c r="IL143" s="449"/>
      <c r="IM143" s="449"/>
      <c r="IN143" s="449"/>
      <c r="IO143" s="449"/>
      <c r="IP143" s="449"/>
      <c r="IQ143" s="449"/>
      <c r="IR143" s="449"/>
      <c r="IS143" s="449"/>
      <c r="IT143" s="449"/>
      <c r="IU143" s="449"/>
      <c r="IV143" s="449"/>
      <c r="IW143" s="449"/>
    </row>
    <row r="144" customFormat="false" ht="12.75" hidden="false" customHeight="false" outlineLevel="0" collapsed="false">
      <c r="A144" s="509"/>
      <c r="C144" s="449"/>
      <c r="D144" s="449"/>
      <c r="E144" s="469"/>
      <c r="F144" s="469"/>
      <c r="G144" s="469"/>
      <c r="H144" s="469"/>
      <c r="I144" s="469"/>
      <c r="J144" s="469"/>
      <c r="K144" s="469"/>
      <c r="L144" s="449"/>
      <c r="M144" s="449"/>
      <c r="N144" s="449"/>
      <c r="O144" s="449"/>
      <c r="P144" s="449"/>
      <c r="Q144" s="449"/>
      <c r="R144" s="449"/>
      <c r="S144" s="449"/>
      <c r="T144" s="449"/>
      <c r="U144" s="449"/>
      <c r="V144" s="449"/>
      <c r="W144" s="449"/>
      <c r="X144" s="449"/>
      <c r="Y144" s="449"/>
      <c r="Z144" s="449"/>
      <c r="AA144" s="449"/>
      <c r="AB144" s="449"/>
      <c r="AC144" s="449"/>
      <c r="AD144" s="449"/>
      <c r="AE144" s="449"/>
      <c r="AF144" s="449"/>
      <c r="AG144" s="449"/>
      <c r="AH144" s="449"/>
      <c r="AI144" s="449"/>
      <c r="AJ144" s="449"/>
      <c r="AK144" s="449"/>
      <c r="AL144" s="449"/>
      <c r="AM144" s="449"/>
      <c r="AN144" s="449"/>
      <c r="AO144" s="449"/>
      <c r="AP144" s="449"/>
      <c r="AQ144" s="449"/>
      <c r="AR144" s="449"/>
      <c r="AS144" s="449"/>
      <c r="AT144" s="449"/>
      <c r="AU144" s="449"/>
      <c r="AV144" s="449"/>
      <c r="AW144" s="449"/>
      <c r="AX144" s="449"/>
      <c r="AY144" s="449"/>
      <c r="AZ144" s="449"/>
      <c r="BA144" s="449"/>
      <c r="BB144" s="449"/>
      <c r="BC144" s="449"/>
      <c r="BD144" s="449"/>
      <c r="BE144" s="449"/>
      <c r="BF144" s="449"/>
      <c r="BG144" s="449"/>
      <c r="BH144" s="449"/>
      <c r="BI144" s="449"/>
      <c r="BJ144" s="449"/>
      <c r="BK144" s="449"/>
      <c r="BL144" s="449"/>
      <c r="BM144" s="449"/>
      <c r="BN144" s="449"/>
      <c r="BO144" s="449"/>
      <c r="BP144" s="449"/>
      <c r="BQ144" s="449"/>
      <c r="BR144" s="449"/>
      <c r="BS144" s="449"/>
      <c r="BT144" s="449"/>
      <c r="BU144" s="449"/>
      <c r="BV144" s="449"/>
      <c r="BW144" s="449"/>
      <c r="BX144" s="449"/>
      <c r="BY144" s="449"/>
      <c r="BZ144" s="449"/>
      <c r="CA144" s="449"/>
      <c r="CB144" s="449"/>
      <c r="CC144" s="449"/>
      <c r="CD144" s="449"/>
      <c r="CE144" s="449"/>
      <c r="CF144" s="449"/>
      <c r="CG144" s="449"/>
      <c r="CH144" s="449"/>
      <c r="CI144" s="449"/>
      <c r="CJ144" s="449"/>
      <c r="CK144" s="449"/>
      <c r="CL144" s="449"/>
      <c r="CM144" s="449"/>
      <c r="CN144" s="449"/>
      <c r="CO144" s="449"/>
      <c r="CP144" s="449"/>
      <c r="CQ144" s="449"/>
      <c r="CR144" s="449"/>
      <c r="CS144" s="449"/>
      <c r="CT144" s="449"/>
      <c r="CU144" s="449"/>
      <c r="CV144" s="449"/>
      <c r="CW144" s="449"/>
      <c r="CX144" s="449"/>
      <c r="CY144" s="449"/>
      <c r="CZ144" s="449"/>
      <c r="DA144" s="449"/>
      <c r="DB144" s="449"/>
      <c r="DC144" s="449"/>
      <c r="DD144" s="449"/>
      <c r="DE144" s="449"/>
      <c r="DF144" s="449"/>
      <c r="DG144" s="449"/>
      <c r="DH144" s="449"/>
      <c r="DI144" s="449"/>
      <c r="DJ144" s="449"/>
      <c r="DK144" s="449"/>
      <c r="DL144" s="449"/>
      <c r="DM144" s="449"/>
      <c r="DN144" s="449"/>
      <c r="DO144" s="449"/>
      <c r="DP144" s="449"/>
      <c r="DQ144" s="449"/>
      <c r="DR144" s="449"/>
      <c r="DS144" s="449"/>
      <c r="DT144" s="449"/>
      <c r="DU144" s="449"/>
      <c r="DV144" s="449"/>
      <c r="DW144" s="449"/>
      <c r="DX144" s="449"/>
      <c r="DY144" s="449"/>
      <c r="DZ144" s="449"/>
      <c r="EA144" s="449"/>
      <c r="EB144" s="449"/>
      <c r="EC144" s="449"/>
      <c r="ED144" s="449"/>
      <c r="EE144" s="449"/>
      <c r="EF144" s="449"/>
      <c r="EG144" s="449"/>
      <c r="EH144" s="449"/>
      <c r="EI144" s="449"/>
      <c r="EJ144" s="449"/>
      <c r="EK144" s="449"/>
      <c r="EL144" s="449"/>
      <c r="EM144" s="449"/>
      <c r="EN144" s="449"/>
      <c r="EO144" s="449"/>
      <c r="EP144" s="449"/>
      <c r="EQ144" s="449"/>
      <c r="ER144" s="449"/>
      <c r="ES144" s="449"/>
      <c r="ET144" s="449"/>
      <c r="EU144" s="449"/>
      <c r="EV144" s="449"/>
      <c r="EW144" s="449"/>
      <c r="EX144" s="449"/>
      <c r="EY144" s="449"/>
      <c r="EZ144" s="449"/>
      <c r="FA144" s="449"/>
      <c r="FB144" s="449"/>
      <c r="FC144" s="449"/>
      <c r="FD144" s="449"/>
      <c r="FE144" s="449"/>
      <c r="FF144" s="449"/>
      <c r="FG144" s="449"/>
      <c r="FH144" s="449"/>
      <c r="FI144" s="449"/>
      <c r="FJ144" s="449"/>
      <c r="FK144" s="449"/>
      <c r="FL144" s="449"/>
      <c r="FM144" s="449"/>
      <c r="FN144" s="449"/>
      <c r="FO144" s="449"/>
      <c r="FP144" s="449"/>
      <c r="FQ144" s="449"/>
      <c r="FR144" s="449"/>
      <c r="FS144" s="449"/>
      <c r="FT144" s="449"/>
      <c r="FU144" s="449"/>
      <c r="FV144" s="449"/>
      <c r="FW144" s="449"/>
      <c r="FX144" s="449"/>
      <c r="FY144" s="449"/>
      <c r="FZ144" s="449"/>
      <c r="GA144" s="449"/>
      <c r="GB144" s="449"/>
      <c r="GC144" s="449"/>
      <c r="GD144" s="449"/>
      <c r="GE144" s="449"/>
      <c r="GF144" s="449"/>
      <c r="GG144" s="449"/>
      <c r="GH144" s="449"/>
      <c r="GI144" s="449"/>
      <c r="GJ144" s="449"/>
      <c r="GK144" s="449"/>
      <c r="GL144" s="449"/>
      <c r="GM144" s="449"/>
      <c r="GN144" s="449"/>
      <c r="GO144" s="449"/>
      <c r="GP144" s="449"/>
      <c r="GQ144" s="449"/>
      <c r="GR144" s="449"/>
      <c r="GS144" s="449"/>
      <c r="GT144" s="449"/>
      <c r="GU144" s="449"/>
      <c r="GV144" s="449"/>
      <c r="GW144" s="449"/>
      <c r="GX144" s="449"/>
      <c r="GY144" s="449"/>
      <c r="GZ144" s="449"/>
      <c r="HA144" s="449"/>
      <c r="HB144" s="449"/>
      <c r="HC144" s="449"/>
      <c r="HD144" s="449"/>
      <c r="HE144" s="449"/>
      <c r="HF144" s="449"/>
      <c r="HG144" s="449"/>
      <c r="HH144" s="449"/>
      <c r="HI144" s="449"/>
      <c r="HJ144" s="449"/>
      <c r="HK144" s="449"/>
      <c r="HL144" s="449"/>
      <c r="HM144" s="449"/>
      <c r="HN144" s="449"/>
      <c r="HO144" s="449"/>
      <c r="HP144" s="449"/>
      <c r="HQ144" s="449"/>
      <c r="HR144" s="449"/>
      <c r="HS144" s="449"/>
      <c r="HT144" s="449"/>
      <c r="HU144" s="449"/>
      <c r="HV144" s="449"/>
      <c r="HW144" s="449"/>
      <c r="HX144" s="449"/>
      <c r="HY144" s="449"/>
      <c r="HZ144" s="449"/>
      <c r="IA144" s="449"/>
      <c r="IB144" s="449"/>
      <c r="IC144" s="449"/>
      <c r="ID144" s="449"/>
      <c r="IE144" s="449"/>
      <c r="IF144" s="449"/>
      <c r="IG144" s="449"/>
      <c r="IH144" s="449"/>
      <c r="II144" s="449"/>
      <c r="IJ144" s="449"/>
      <c r="IK144" s="449"/>
      <c r="IL144" s="449"/>
      <c r="IM144" s="449"/>
      <c r="IN144" s="449"/>
      <c r="IO144" s="449"/>
      <c r="IP144" s="449"/>
      <c r="IQ144" s="449"/>
      <c r="IR144" s="449"/>
      <c r="IS144" s="449"/>
      <c r="IT144" s="449"/>
      <c r="IU144" s="449"/>
      <c r="IV144" s="449"/>
      <c r="IW144" s="449"/>
    </row>
    <row r="145" customFormat="false" ht="12.75" hidden="false" customHeight="false" outlineLevel="0" collapsed="false">
      <c r="A145" s="509"/>
      <c r="C145" s="449"/>
      <c r="D145" s="449"/>
      <c r="E145" s="469"/>
      <c r="F145" s="469"/>
      <c r="G145" s="469"/>
      <c r="H145" s="469"/>
      <c r="I145" s="469"/>
      <c r="J145" s="469"/>
      <c r="K145" s="469"/>
      <c r="L145" s="449"/>
      <c r="M145" s="449"/>
      <c r="N145" s="449"/>
      <c r="O145" s="449"/>
      <c r="P145" s="449"/>
      <c r="Q145" s="449"/>
      <c r="R145" s="449"/>
      <c r="S145" s="449"/>
      <c r="T145" s="449"/>
      <c r="U145" s="449"/>
      <c r="V145" s="449"/>
      <c r="W145" s="449"/>
      <c r="X145" s="449"/>
      <c r="Y145" s="449"/>
      <c r="Z145" s="449"/>
      <c r="AA145" s="449"/>
      <c r="AB145" s="449"/>
      <c r="AC145" s="449"/>
      <c r="AD145" s="449"/>
      <c r="AE145" s="449"/>
      <c r="AF145" s="449"/>
      <c r="AG145" s="449"/>
      <c r="AH145" s="449"/>
      <c r="AI145" s="449"/>
      <c r="AJ145" s="449"/>
      <c r="AK145" s="449"/>
      <c r="AL145" s="449"/>
      <c r="AM145" s="449"/>
      <c r="AN145" s="449"/>
      <c r="AO145" s="449"/>
      <c r="AP145" s="449"/>
      <c r="AQ145" s="449"/>
      <c r="AR145" s="449"/>
      <c r="AS145" s="449"/>
      <c r="AT145" s="449"/>
      <c r="AU145" s="449"/>
      <c r="AV145" s="449"/>
      <c r="AW145" s="449"/>
      <c r="AX145" s="449"/>
      <c r="AY145" s="449"/>
      <c r="AZ145" s="449"/>
      <c r="BA145" s="449"/>
      <c r="BB145" s="449"/>
      <c r="BC145" s="449"/>
      <c r="BD145" s="449"/>
      <c r="BE145" s="449"/>
      <c r="BF145" s="449"/>
      <c r="BG145" s="449"/>
      <c r="BH145" s="449"/>
      <c r="BI145" s="449"/>
      <c r="BJ145" s="449"/>
      <c r="BK145" s="449"/>
      <c r="BL145" s="449"/>
      <c r="BM145" s="449"/>
      <c r="BN145" s="449"/>
      <c r="BO145" s="449"/>
      <c r="BP145" s="449"/>
      <c r="BQ145" s="449"/>
      <c r="BR145" s="449"/>
      <c r="BS145" s="449"/>
      <c r="BT145" s="449"/>
      <c r="BU145" s="449"/>
      <c r="BV145" s="449"/>
      <c r="BW145" s="449"/>
      <c r="BX145" s="449"/>
      <c r="BY145" s="449"/>
      <c r="BZ145" s="449"/>
      <c r="CA145" s="449"/>
      <c r="CB145" s="449"/>
      <c r="CC145" s="449"/>
      <c r="CD145" s="449"/>
      <c r="CE145" s="449"/>
      <c r="CF145" s="449"/>
      <c r="CG145" s="449"/>
      <c r="CH145" s="449"/>
      <c r="CI145" s="449"/>
      <c r="CJ145" s="449"/>
      <c r="CK145" s="449"/>
      <c r="CL145" s="449"/>
      <c r="CM145" s="449"/>
      <c r="CN145" s="449"/>
      <c r="CO145" s="449"/>
      <c r="CP145" s="449"/>
      <c r="CQ145" s="449"/>
      <c r="CR145" s="449"/>
      <c r="CS145" s="449"/>
      <c r="CT145" s="449"/>
      <c r="CU145" s="449"/>
      <c r="CV145" s="449"/>
      <c r="CW145" s="449"/>
      <c r="CX145" s="449"/>
      <c r="CY145" s="449"/>
      <c r="CZ145" s="449"/>
      <c r="DA145" s="449"/>
      <c r="DB145" s="449"/>
      <c r="DC145" s="449"/>
      <c r="DD145" s="449"/>
      <c r="DE145" s="449"/>
      <c r="DF145" s="449"/>
      <c r="DG145" s="449"/>
      <c r="DH145" s="449"/>
      <c r="DI145" s="449"/>
      <c r="DJ145" s="449"/>
      <c r="DK145" s="449"/>
      <c r="DL145" s="449"/>
      <c r="DM145" s="449"/>
      <c r="DN145" s="449"/>
      <c r="DO145" s="449"/>
      <c r="DP145" s="449"/>
      <c r="DQ145" s="449"/>
      <c r="DR145" s="449"/>
      <c r="DS145" s="449"/>
      <c r="DT145" s="449"/>
      <c r="DU145" s="449"/>
      <c r="DV145" s="449"/>
      <c r="DW145" s="449"/>
      <c r="DX145" s="449"/>
      <c r="DY145" s="449"/>
      <c r="DZ145" s="449"/>
      <c r="EA145" s="449"/>
      <c r="EB145" s="449"/>
      <c r="EC145" s="449"/>
      <c r="ED145" s="449"/>
      <c r="EE145" s="449"/>
      <c r="EF145" s="449"/>
      <c r="EG145" s="449"/>
      <c r="EH145" s="449"/>
      <c r="EI145" s="449"/>
      <c r="EJ145" s="449"/>
      <c r="EK145" s="449"/>
      <c r="EL145" s="449"/>
      <c r="EM145" s="449"/>
      <c r="EN145" s="449"/>
      <c r="EO145" s="449"/>
      <c r="EP145" s="449"/>
      <c r="EQ145" s="449"/>
      <c r="ER145" s="449"/>
      <c r="ES145" s="449"/>
      <c r="ET145" s="449"/>
      <c r="EU145" s="449"/>
      <c r="EV145" s="449"/>
      <c r="EW145" s="449"/>
      <c r="EX145" s="449"/>
      <c r="EY145" s="449"/>
      <c r="EZ145" s="449"/>
      <c r="FA145" s="449"/>
      <c r="FB145" s="449"/>
      <c r="FC145" s="449"/>
      <c r="FD145" s="449"/>
      <c r="FE145" s="449"/>
      <c r="FF145" s="449"/>
      <c r="FG145" s="449"/>
      <c r="FH145" s="449"/>
      <c r="FI145" s="449"/>
      <c r="FJ145" s="449"/>
      <c r="FK145" s="449"/>
      <c r="FL145" s="449"/>
      <c r="FM145" s="449"/>
      <c r="FN145" s="449"/>
      <c r="FO145" s="449"/>
      <c r="FP145" s="449"/>
      <c r="FQ145" s="449"/>
      <c r="FR145" s="449"/>
      <c r="FS145" s="449"/>
      <c r="FT145" s="449"/>
      <c r="FU145" s="449"/>
      <c r="FV145" s="449"/>
      <c r="FW145" s="449"/>
      <c r="FX145" s="449"/>
      <c r="FY145" s="449"/>
      <c r="FZ145" s="449"/>
      <c r="GA145" s="449"/>
      <c r="GB145" s="449"/>
      <c r="GC145" s="449"/>
      <c r="GD145" s="449"/>
      <c r="GE145" s="449"/>
      <c r="GF145" s="449"/>
      <c r="GG145" s="449"/>
      <c r="GH145" s="449"/>
      <c r="GI145" s="449"/>
      <c r="GJ145" s="449"/>
      <c r="GK145" s="449"/>
      <c r="GL145" s="449"/>
      <c r="GM145" s="449"/>
      <c r="GN145" s="449"/>
      <c r="GO145" s="449"/>
      <c r="GP145" s="449"/>
      <c r="GQ145" s="449"/>
      <c r="GR145" s="449"/>
      <c r="GS145" s="449"/>
      <c r="GT145" s="449"/>
      <c r="GU145" s="449"/>
      <c r="GV145" s="449"/>
      <c r="GW145" s="449"/>
      <c r="GX145" s="449"/>
      <c r="GY145" s="449"/>
      <c r="GZ145" s="449"/>
      <c r="HA145" s="449"/>
      <c r="HB145" s="449"/>
      <c r="HC145" s="449"/>
      <c r="HD145" s="449"/>
      <c r="HE145" s="449"/>
      <c r="HF145" s="449"/>
      <c r="HG145" s="449"/>
      <c r="HH145" s="449"/>
      <c r="HI145" s="449"/>
      <c r="HJ145" s="449"/>
      <c r="HK145" s="449"/>
      <c r="HL145" s="449"/>
      <c r="HM145" s="449"/>
      <c r="HN145" s="449"/>
      <c r="HO145" s="449"/>
      <c r="HP145" s="449"/>
      <c r="HQ145" s="449"/>
      <c r="HR145" s="449"/>
      <c r="HS145" s="449"/>
      <c r="HT145" s="449"/>
      <c r="HU145" s="449"/>
      <c r="HV145" s="449"/>
      <c r="HW145" s="449"/>
      <c r="HX145" s="449"/>
      <c r="HY145" s="449"/>
      <c r="HZ145" s="449"/>
      <c r="IA145" s="449"/>
      <c r="IB145" s="449"/>
      <c r="IC145" s="449"/>
      <c r="ID145" s="449"/>
      <c r="IE145" s="449"/>
      <c r="IF145" s="449"/>
      <c r="IG145" s="449"/>
      <c r="IH145" s="449"/>
      <c r="II145" s="449"/>
      <c r="IJ145" s="449"/>
      <c r="IK145" s="449"/>
      <c r="IL145" s="449"/>
      <c r="IM145" s="449"/>
      <c r="IN145" s="449"/>
      <c r="IO145" s="449"/>
      <c r="IP145" s="449"/>
      <c r="IQ145" s="449"/>
      <c r="IR145" s="449"/>
      <c r="IS145" s="449"/>
      <c r="IT145" s="449"/>
      <c r="IU145" s="449"/>
      <c r="IV145" s="449"/>
      <c r="IW145" s="44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&amp;L&amp;D&amp;CPage ___&amp;R&amp;F
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97"/>
  <sheetViews>
    <sheetView showFormulas="false" showGridLines="false" showRowColHeaders="true" showZeros="true" rightToLeft="false" tabSelected="false" showOutlineSymbols="true" defaultGridColor="true" view="normal" topLeftCell="J18" colorId="64" zoomScale="80" zoomScaleNormal="80" zoomScalePageLayoutView="100" workbookViewId="0">
      <selection pane="topLeft" activeCell="P25" activeCellId="0" sqref="P25"/>
    </sheetView>
  </sheetViews>
  <sheetFormatPr defaultColWidth="9.13671875" defaultRowHeight="12.75" customHeight="true" zeroHeight="false" outlineLevelRow="2" outlineLevelCol="0"/>
  <cols>
    <col collapsed="false" customWidth="true" hidden="false" outlineLevel="0" max="1" min="1" style="45" width="6.85"/>
    <col collapsed="false" customWidth="true" hidden="false" outlineLevel="0" max="2" min="2" style="522" width="42.99"/>
    <col collapsed="false" customWidth="true" hidden="false" outlineLevel="0" max="3" min="3" style="45" width="3.28"/>
    <col collapsed="false" customWidth="true" hidden="false" outlineLevel="0" max="4" min="4" style="45" width="15.13"/>
    <col collapsed="false" customWidth="true" hidden="false" outlineLevel="0" max="5" min="5" style="523" width="11.42"/>
    <col collapsed="false" customWidth="true" hidden="false" outlineLevel="0" max="6" min="6" style="524" width="11.56"/>
    <col collapsed="false" customWidth="true" hidden="false" outlineLevel="0" max="7" min="7" style="20" width="5.71"/>
    <col collapsed="false" customWidth="true" hidden="false" outlineLevel="0" max="8" min="8" style="45" width="54.41"/>
    <col collapsed="false" customWidth="true" hidden="false" outlineLevel="0" max="10" min="9" style="260" width="15.7"/>
    <col collapsed="false" customWidth="true" hidden="false" outlineLevel="0" max="11" min="11" style="45" width="14.41"/>
    <col collapsed="false" customWidth="true" hidden="false" outlineLevel="0" max="12" min="12" style="45" width="12.7"/>
    <col collapsed="false" customWidth="true" hidden="false" outlineLevel="0" max="13" min="13" style="45" width="2.56"/>
    <col collapsed="false" customWidth="true" hidden="false" outlineLevel="0" max="14" min="14" style="67" width="10.13"/>
    <col collapsed="false" customWidth="true" hidden="false" outlineLevel="0" max="15" min="15" style="67" width="3.42"/>
    <col collapsed="false" customWidth="true" hidden="false" outlineLevel="0" max="16" min="16" style="0" width="12.99"/>
    <col collapsed="false" customWidth="true" hidden="false" outlineLevel="0" max="17" min="17" style="0" width="9.06"/>
    <col collapsed="false" customWidth="true" hidden="false" outlineLevel="0" max="18" min="18" style="0" width="3.42"/>
    <col collapsed="false" customWidth="true" hidden="false" outlineLevel="0" max="19" min="19" style="0" width="13.7"/>
    <col collapsed="false" customWidth="true" hidden="false" outlineLevel="0" max="20" min="20" style="0" width="9.06"/>
    <col collapsed="false" customWidth="true" hidden="false" outlineLevel="0" max="21" min="21" style="0" width="3.42"/>
    <col collapsed="false" customWidth="true" hidden="false" outlineLevel="0" max="22" min="22" style="45" width="13.7"/>
    <col collapsed="false" customWidth="false" hidden="false" outlineLevel="0" max="257" min="23" style="45" width="9.14"/>
  </cols>
  <sheetData>
    <row r="1" customFormat="false" ht="26.25" hidden="false" customHeight="true" outlineLevel="0" collapsed="false">
      <c r="A1" s="525" t="str">
        <f aca="false">Summary!$A$1</f>
        <v>AES Corp, Dallas, TX (640 MW)</v>
      </c>
      <c r="B1" s="526"/>
      <c r="C1" s="527"/>
      <c r="D1" s="528"/>
      <c r="E1" s="529"/>
      <c r="F1" s="530"/>
      <c r="H1" s="531"/>
      <c r="I1" s="532"/>
      <c r="J1" s="532"/>
      <c r="K1" s="528"/>
      <c r="L1" s="528"/>
      <c r="M1" s="533"/>
      <c r="N1" s="534"/>
      <c r="O1" s="534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  <c r="AG1" s="533"/>
      <c r="AH1" s="533"/>
      <c r="AI1" s="533"/>
      <c r="AJ1" s="533"/>
      <c r="AK1" s="533"/>
      <c r="AL1" s="533"/>
      <c r="AM1" s="533"/>
      <c r="AN1" s="533"/>
      <c r="AO1" s="533"/>
      <c r="AP1" s="533"/>
      <c r="AQ1" s="533"/>
      <c r="AR1" s="533"/>
      <c r="AS1" s="533"/>
      <c r="AT1" s="533"/>
      <c r="AU1" s="533"/>
      <c r="AV1" s="533"/>
      <c r="AW1" s="533"/>
      <c r="AX1" s="533"/>
      <c r="AY1" s="533"/>
      <c r="AZ1" s="533"/>
      <c r="BA1" s="533"/>
      <c r="BB1" s="533"/>
      <c r="BC1" s="533"/>
      <c r="BD1" s="533"/>
      <c r="BE1" s="533"/>
      <c r="BF1" s="533"/>
      <c r="BG1" s="533"/>
      <c r="BH1" s="533"/>
      <c r="BI1" s="533"/>
      <c r="BJ1" s="533"/>
      <c r="BK1" s="533"/>
      <c r="BL1" s="533"/>
      <c r="BM1" s="533"/>
      <c r="BN1" s="533"/>
      <c r="BO1" s="533"/>
      <c r="BP1" s="533"/>
      <c r="BQ1" s="533"/>
      <c r="BR1" s="533"/>
      <c r="BS1" s="533"/>
      <c r="BT1" s="533"/>
      <c r="BU1" s="533"/>
      <c r="BV1" s="533"/>
      <c r="BW1" s="533"/>
      <c r="BX1" s="533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533"/>
      <c r="DG1" s="533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533"/>
      <c r="ER1" s="533"/>
      <c r="ES1" s="533"/>
      <c r="ET1" s="533"/>
      <c r="EU1" s="533"/>
      <c r="EV1" s="533"/>
      <c r="EW1" s="533"/>
      <c r="EX1" s="533"/>
      <c r="EY1" s="533"/>
      <c r="EZ1" s="533"/>
      <c r="FA1" s="533"/>
      <c r="FB1" s="533"/>
      <c r="FC1" s="533"/>
      <c r="FD1" s="533"/>
      <c r="FE1" s="533"/>
      <c r="FF1" s="533"/>
      <c r="FG1" s="533"/>
      <c r="FH1" s="533"/>
      <c r="FI1" s="533"/>
      <c r="FJ1" s="533"/>
      <c r="FK1" s="533"/>
      <c r="FL1" s="533"/>
      <c r="FM1" s="533"/>
      <c r="FN1" s="533"/>
      <c r="FO1" s="533"/>
      <c r="FP1" s="533"/>
      <c r="FQ1" s="533"/>
      <c r="FR1" s="533"/>
      <c r="FS1" s="533"/>
      <c r="FT1" s="533"/>
      <c r="FU1" s="533"/>
      <c r="FV1" s="533"/>
      <c r="FW1" s="533"/>
      <c r="FX1" s="533"/>
      <c r="FY1" s="533"/>
      <c r="FZ1" s="533"/>
      <c r="GA1" s="533"/>
      <c r="GB1" s="533"/>
      <c r="GC1" s="533"/>
      <c r="GD1" s="533"/>
      <c r="GE1" s="533"/>
      <c r="GF1" s="533"/>
      <c r="GG1" s="533"/>
      <c r="GH1" s="533"/>
      <c r="GI1" s="533"/>
      <c r="GJ1" s="533"/>
      <c r="GK1" s="533"/>
      <c r="GL1" s="533"/>
      <c r="GM1" s="533"/>
      <c r="GN1" s="533"/>
      <c r="GO1" s="533"/>
      <c r="GP1" s="533"/>
      <c r="GQ1" s="533"/>
      <c r="GR1" s="533"/>
      <c r="GS1" s="533"/>
      <c r="GT1" s="533"/>
      <c r="GU1" s="533"/>
      <c r="GV1" s="533"/>
      <c r="GW1" s="533"/>
      <c r="GX1" s="533"/>
      <c r="GY1" s="533"/>
      <c r="GZ1" s="533"/>
      <c r="HA1" s="533"/>
      <c r="HB1" s="533"/>
      <c r="HC1" s="533"/>
      <c r="HD1" s="533"/>
      <c r="HE1" s="533"/>
      <c r="HF1" s="533"/>
      <c r="HG1" s="533"/>
      <c r="HH1" s="533"/>
      <c r="HI1" s="533"/>
      <c r="HJ1" s="533"/>
      <c r="HK1" s="533"/>
      <c r="HL1" s="533"/>
      <c r="HM1" s="533"/>
      <c r="HN1" s="533"/>
      <c r="HO1" s="533"/>
      <c r="HP1" s="533"/>
      <c r="HQ1" s="533"/>
      <c r="HR1" s="533"/>
      <c r="HS1" s="533"/>
      <c r="HT1" s="533"/>
      <c r="HU1" s="533"/>
      <c r="HV1" s="533"/>
      <c r="HW1" s="533"/>
      <c r="HX1" s="533"/>
      <c r="HY1" s="533"/>
      <c r="HZ1" s="533"/>
      <c r="IA1" s="533"/>
      <c r="IB1" s="533"/>
      <c r="IC1" s="533"/>
      <c r="ID1" s="533"/>
      <c r="IE1" s="533"/>
      <c r="IF1" s="533"/>
      <c r="IG1" s="533"/>
      <c r="IH1" s="533"/>
      <c r="II1" s="533"/>
      <c r="IJ1" s="533"/>
      <c r="IK1" s="533"/>
      <c r="IL1" s="533"/>
      <c r="IM1" s="533"/>
      <c r="IN1" s="533"/>
      <c r="IO1" s="533"/>
      <c r="IP1" s="533"/>
      <c r="IQ1" s="533"/>
      <c r="IR1" s="533"/>
      <c r="IS1" s="533"/>
      <c r="IT1" s="533"/>
      <c r="IU1" s="533"/>
      <c r="IV1" s="533"/>
      <c r="IW1" s="533"/>
    </row>
    <row r="2" customFormat="false" ht="26.25" hidden="false" customHeight="true" outlineLevel="0" collapsed="false">
      <c r="A2" s="535" t="s">
        <v>962</v>
      </c>
      <c r="B2" s="536"/>
      <c r="C2" s="537"/>
      <c r="D2" s="528"/>
      <c r="E2" s="529"/>
      <c r="F2" s="530"/>
      <c r="H2" s="538"/>
      <c r="I2" s="532"/>
      <c r="J2" s="532"/>
      <c r="K2" s="528"/>
      <c r="L2" s="528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  <c r="AD2" s="533"/>
      <c r="AE2" s="533"/>
      <c r="AF2" s="533"/>
      <c r="AG2" s="533"/>
      <c r="AH2" s="533"/>
      <c r="AI2" s="533"/>
      <c r="AJ2" s="533"/>
      <c r="AK2" s="533"/>
      <c r="AL2" s="533"/>
      <c r="AM2" s="533"/>
      <c r="AN2" s="533"/>
      <c r="AO2" s="533"/>
      <c r="AP2" s="533"/>
      <c r="AQ2" s="533"/>
      <c r="AR2" s="533"/>
      <c r="AS2" s="533"/>
      <c r="AT2" s="533"/>
      <c r="AU2" s="533"/>
      <c r="AV2" s="533"/>
      <c r="AW2" s="533"/>
      <c r="AX2" s="533"/>
      <c r="AY2" s="533"/>
      <c r="AZ2" s="533"/>
      <c r="BA2" s="533"/>
      <c r="BB2" s="533"/>
      <c r="BC2" s="533"/>
      <c r="BD2" s="533"/>
      <c r="BE2" s="533"/>
      <c r="BF2" s="533"/>
      <c r="BG2" s="533"/>
      <c r="BH2" s="533"/>
      <c r="BI2" s="533"/>
      <c r="BJ2" s="533"/>
      <c r="BK2" s="533"/>
      <c r="BL2" s="533"/>
      <c r="BM2" s="533"/>
      <c r="BN2" s="533"/>
      <c r="BO2" s="533"/>
      <c r="BP2" s="533"/>
      <c r="BQ2" s="533"/>
      <c r="BR2" s="533"/>
      <c r="BS2" s="533"/>
      <c r="BT2" s="533"/>
      <c r="BU2" s="533"/>
      <c r="BV2" s="533"/>
      <c r="BW2" s="533"/>
      <c r="BX2" s="533"/>
      <c r="BY2" s="533"/>
      <c r="BZ2" s="533"/>
      <c r="CA2" s="533"/>
      <c r="CB2" s="533"/>
      <c r="CC2" s="533"/>
      <c r="CD2" s="533"/>
      <c r="CE2" s="533"/>
      <c r="CF2" s="533"/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533"/>
      <c r="DG2" s="533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533"/>
      <c r="ER2" s="533"/>
      <c r="ES2" s="533"/>
      <c r="ET2" s="533"/>
      <c r="EU2" s="533"/>
      <c r="EV2" s="533"/>
      <c r="EW2" s="533"/>
      <c r="EX2" s="533"/>
      <c r="EY2" s="533"/>
      <c r="EZ2" s="533"/>
      <c r="FA2" s="533"/>
      <c r="FB2" s="533"/>
      <c r="FC2" s="533"/>
      <c r="FD2" s="533"/>
      <c r="FE2" s="533"/>
      <c r="FF2" s="533"/>
      <c r="FG2" s="533"/>
      <c r="FH2" s="533"/>
      <c r="FI2" s="533"/>
      <c r="FJ2" s="533"/>
      <c r="FK2" s="533"/>
      <c r="FL2" s="533"/>
      <c r="FM2" s="533"/>
      <c r="FN2" s="533"/>
      <c r="FO2" s="533"/>
      <c r="FP2" s="533"/>
      <c r="FQ2" s="533"/>
      <c r="FR2" s="533"/>
      <c r="FS2" s="533"/>
      <c r="FT2" s="533"/>
      <c r="FU2" s="533"/>
      <c r="FV2" s="533"/>
      <c r="FW2" s="533"/>
      <c r="FX2" s="533"/>
      <c r="FY2" s="533"/>
      <c r="FZ2" s="533"/>
      <c r="GA2" s="533"/>
      <c r="GB2" s="533"/>
      <c r="GC2" s="533"/>
      <c r="GD2" s="533"/>
      <c r="GE2" s="533"/>
      <c r="GF2" s="533"/>
      <c r="GG2" s="533"/>
      <c r="GH2" s="533"/>
      <c r="GI2" s="533"/>
      <c r="GJ2" s="533"/>
      <c r="GK2" s="533"/>
      <c r="GL2" s="533"/>
      <c r="GM2" s="533"/>
      <c r="GN2" s="533"/>
      <c r="GO2" s="533"/>
      <c r="GP2" s="533"/>
      <c r="GQ2" s="533"/>
      <c r="GR2" s="533"/>
      <c r="GS2" s="533"/>
      <c r="GT2" s="533"/>
      <c r="GU2" s="533"/>
      <c r="GV2" s="533"/>
      <c r="GW2" s="533"/>
      <c r="GX2" s="533"/>
      <c r="GY2" s="533"/>
      <c r="GZ2" s="533"/>
      <c r="HA2" s="533"/>
      <c r="HB2" s="533"/>
      <c r="HC2" s="533"/>
      <c r="HD2" s="533"/>
      <c r="HE2" s="533"/>
      <c r="HF2" s="533"/>
      <c r="HG2" s="533"/>
      <c r="HH2" s="533"/>
      <c r="HI2" s="533"/>
      <c r="HJ2" s="533"/>
      <c r="HK2" s="533"/>
      <c r="HL2" s="533"/>
      <c r="HM2" s="533"/>
      <c r="HN2" s="533"/>
      <c r="HO2" s="533"/>
      <c r="HP2" s="533"/>
      <c r="HQ2" s="533"/>
      <c r="HR2" s="533"/>
      <c r="HS2" s="533"/>
      <c r="HT2" s="533"/>
      <c r="HU2" s="533"/>
      <c r="HV2" s="533"/>
      <c r="HW2" s="533"/>
      <c r="HX2" s="533"/>
      <c r="HY2" s="533"/>
      <c r="HZ2" s="533"/>
      <c r="IA2" s="533"/>
      <c r="IB2" s="533"/>
      <c r="IC2" s="533"/>
      <c r="ID2" s="533"/>
      <c r="IE2" s="533"/>
      <c r="IF2" s="533"/>
      <c r="IG2" s="533"/>
      <c r="IH2" s="533"/>
      <c r="II2" s="533"/>
      <c r="IJ2" s="533"/>
      <c r="IK2" s="533"/>
      <c r="IL2" s="533"/>
      <c r="IM2" s="533"/>
      <c r="IN2" s="533"/>
      <c r="IO2" s="533"/>
      <c r="IP2" s="533"/>
      <c r="IQ2" s="533"/>
      <c r="IR2" s="533"/>
      <c r="IS2" s="533"/>
      <c r="IT2" s="533"/>
      <c r="IU2" s="533"/>
      <c r="IV2" s="533"/>
      <c r="IW2" s="533"/>
    </row>
    <row r="3" customFormat="false" ht="15.75" hidden="false" customHeight="true" outlineLevel="0" collapsed="false">
      <c r="A3" s="535"/>
      <c r="B3" s="536"/>
      <c r="C3" s="537"/>
      <c r="D3" s="528"/>
      <c r="E3" s="529"/>
      <c r="F3" s="530"/>
      <c r="H3" s="538"/>
      <c r="I3" s="532"/>
      <c r="J3" s="532"/>
      <c r="K3" s="528"/>
      <c r="L3" s="528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  <c r="AD3" s="533"/>
      <c r="AE3" s="533"/>
      <c r="AF3" s="533"/>
      <c r="AG3" s="533"/>
      <c r="AH3" s="533"/>
      <c r="AI3" s="533"/>
      <c r="AJ3" s="533"/>
      <c r="AK3" s="533"/>
      <c r="AL3" s="533"/>
      <c r="AM3" s="533"/>
      <c r="AN3" s="533"/>
      <c r="AO3" s="533"/>
      <c r="AP3" s="533"/>
      <c r="AQ3" s="533"/>
      <c r="AR3" s="533"/>
      <c r="AS3" s="533"/>
      <c r="AT3" s="533"/>
      <c r="AU3" s="533"/>
      <c r="AV3" s="533"/>
      <c r="AW3" s="533"/>
      <c r="AX3" s="533"/>
      <c r="AY3" s="533"/>
      <c r="AZ3" s="533"/>
      <c r="BA3" s="533"/>
      <c r="BB3" s="533"/>
      <c r="BC3" s="533"/>
      <c r="BD3" s="533"/>
      <c r="BE3" s="533"/>
      <c r="BF3" s="533"/>
      <c r="BG3" s="533"/>
      <c r="BH3" s="533"/>
      <c r="BI3" s="533"/>
      <c r="BJ3" s="533"/>
      <c r="BK3" s="533"/>
      <c r="BL3" s="533"/>
      <c r="BM3" s="533"/>
      <c r="BN3" s="533"/>
      <c r="BO3" s="533"/>
      <c r="BP3" s="533"/>
      <c r="BQ3" s="533"/>
      <c r="BR3" s="533"/>
      <c r="BS3" s="533"/>
      <c r="BT3" s="533"/>
      <c r="BU3" s="533"/>
      <c r="BV3" s="533"/>
      <c r="BW3" s="533"/>
      <c r="BX3" s="533"/>
      <c r="BY3" s="533"/>
      <c r="BZ3" s="533"/>
      <c r="CA3" s="533"/>
      <c r="CB3" s="533"/>
      <c r="CC3" s="533"/>
      <c r="CD3" s="533"/>
      <c r="CE3" s="533"/>
      <c r="CF3" s="533"/>
      <c r="CG3" s="533"/>
      <c r="CH3" s="533"/>
      <c r="CI3" s="533"/>
      <c r="CJ3" s="533"/>
      <c r="CK3" s="533"/>
      <c r="CL3" s="533"/>
      <c r="CM3" s="533"/>
      <c r="CN3" s="533"/>
      <c r="CO3" s="533"/>
      <c r="CP3" s="533"/>
      <c r="CQ3" s="533"/>
      <c r="CR3" s="533"/>
      <c r="CS3" s="533"/>
      <c r="CT3" s="533"/>
      <c r="CU3" s="533"/>
      <c r="CV3" s="533"/>
      <c r="CW3" s="533"/>
      <c r="CX3" s="533"/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533"/>
      <c r="DJ3" s="533"/>
      <c r="DK3" s="533"/>
      <c r="DL3" s="533"/>
      <c r="DM3" s="533"/>
      <c r="DN3" s="533"/>
      <c r="DO3" s="533"/>
      <c r="DP3" s="533"/>
      <c r="DQ3" s="533"/>
      <c r="DR3" s="533"/>
      <c r="DS3" s="533"/>
      <c r="DT3" s="533"/>
      <c r="DU3" s="533"/>
      <c r="DV3" s="533"/>
      <c r="DW3" s="533"/>
      <c r="DX3" s="533"/>
      <c r="DY3" s="533"/>
      <c r="DZ3" s="533"/>
      <c r="EA3" s="533"/>
      <c r="EB3" s="533"/>
      <c r="EC3" s="533"/>
      <c r="ED3" s="533"/>
      <c r="EE3" s="533"/>
      <c r="EF3" s="533"/>
      <c r="EG3" s="533"/>
      <c r="EH3" s="533"/>
      <c r="EI3" s="533"/>
      <c r="EJ3" s="533"/>
      <c r="EK3" s="533"/>
      <c r="EL3" s="533"/>
      <c r="EM3" s="533"/>
      <c r="EN3" s="533"/>
      <c r="EO3" s="533"/>
      <c r="EP3" s="533"/>
      <c r="EQ3" s="533"/>
      <c r="ER3" s="533"/>
      <c r="ES3" s="533"/>
      <c r="ET3" s="533"/>
      <c r="EU3" s="533"/>
      <c r="EV3" s="533"/>
      <c r="EW3" s="533"/>
      <c r="EX3" s="533"/>
      <c r="EY3" s="533"/>
      <c r="EZ3" s="533"/>
      <c r="FA3" s="533"/>
      <c r="FB3" s="533"/>
      <c r="FC3" s="533"/>
      <c r="FD3" s="533"/>
      <c r="FE3" s="533"/>
      <c r="FF3" s="533"/>
      <c r="FG3" s="533"/>
      <c r="FH3" s="533"/>
      <c r="FI3" s="533"/>
      <c r="FJ3" s="533"/>
      <c r="FK3" s="533"/>
      <c r="FL3" s="533"/>
      <c r="FM3" s="533"/>
      <c r="FN3" s="533"/>
      <c r="FO3" s="533"/>
      <c r="FP3" s="533"/>
      <c r="FQ3" s="533"/>
      <c r="FR3" s="533"/>
      <c r="FS3" s="533"/>
      <c r="FT3" s="533"/>
      <c r="FU3" s="533"/>
      <c r="FV3" s="533"/>
      <c r="FW3" s="533"/>
      <c r="FX3" s="533"/>
      <c r="FY3" s="533"/>
      <c r="FZ3" s="533"/>
      <c r="GA3" s="533"/>
      <c r="GB3" s="533"/>
      <c r="GC3" s="533"/>
      <c r="GD3" s="533"/>
      <c r="GE3" s="533"/>
      <c r="GF3" s="533"/>
      <c r="GG3" s="533"/>
      <c r="GH3" s="533"/>
      <c r="GI3" s="533"/>
      <c r="GJ3" s="533"/>
      <c r="GK3" s="533"/>
      <c r="GL3" s="533"/>
      <c r="GM3" s="533"/>
      <c r="GN3" s="533"/>
      <c r="GO3" s="533"/>
      <c r="GP3" s="533"/>
      <c r="GQ3" s="533"/>
      <c r="GR3" s="533"/>
      <c r="GS3" s="533"/>
      <c r="GT3" s="533"/>
      <c r="GU3" s="533"/>
      <c r="GV3" s="533"/>
      <c r="GW3" s="533"/>
      <c r="GX3" s="533"/>
      <c r="GY3" s="533"/>
      <c r="GZ3" s="533"/>
      <c r="HA3" s="533"/>
      <c r="HB3" s="533"/>
      <c r="HC3" s="533"/>
      <c r="HD3" s="533"/>
      <c r="HE3" s="533"/>
      <c r="HF3" s="533"/>
      <c r="HG3" s="533"/>
      <c r="HH3" s="533"/>
      <c r="HI3" s="533"/>
      <c r="HJ3" s="533"/>
      <c r="HK3" s="533"/>
      <c r="HL3" s="533"/>
      <c r="HM3" s="533"/>
      <c r="HN3" s="533"/>
      <c r="HO3" s="533"/>
      <c r="HP3" s="533"/>
      <c r="HQ3" s="533"/>
      <c r="HR3" s="533"/>
      <c r="HS3" s="533"/>
      <c r="HT3" s="533"/>
      <c r="HU3" s="533"/>
      <c r="HV3" s="533"/>
      <c r="HW3" s="533"/>
      <c r="HX3" s="533"/>
      <c r="HY3" s="533"/>
      <c r="HZ3" s="533"/>
      <c r="IA3" s="533"/>
      <c r="IB3" s="533"/>
      <c r="IC3" s="533"/>
      <c r="ID3" s="533"/>
      <c r="IE3" s="533"/>
      <c r="IF3" s="533"/>
      <c r="IG3" s="533"/>
      <c r="IH3" s="533"/>
      <c r="II3" s="533"/>
      <c r="IJ3" s="533"/>
      <c r="IK3" s="533"/>
      <c r="IL3" s="533"/>
      <c r="IM3" s="533"/>
      <c r="IN3" s="533"/>
      <c r="IO3" s="533"/>
      <c r="IP3" s="533"/>
      <c r="IQ3" s="533"/>
      <c r="IR3" s="533"/>
      <c r="IS3" s="533"/>
      <c r="IT3" s="533"/>
      <c r="IU3" s="533"/>
      <c r="IV3" s="533"/>
      <c r="IW3" s="533"/>
    </row>
    <row r="4" customFormat="false" ht="15.75" hidden="false" customHeight="true" outlineLevel="0" collapsed="false">
      <c r="A4" s="533"/>
      <c r="B4" s="536"/>
      <c r="C4" s="537"/>
      <c r="D4" s="528"/>
      <c r="E4" s="529"/>
      <c r="F4" s="530"/>
      <c r="H4" s="538"/>
      <c r="I4" s="532"/>
      <c r="J4" s="532"/>
      <c r="K4" s="528"/>
      <c r="L4" s="528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3"/>
      <c r="AF4" s="533"/>
      <c r="AG4" s="533"/>
      <c r="AH4" s="533"/>
      <c r="AI4" s="533"/>
      <c r="AJ4" s="533"/>
      <c r="AK4" s="533"/>
      <c r="AL4" s="533"/>
      <c r="AM4" s="533"/>
      <c r="AN4" s="533"/>
      <c r="AO4" s="533"/>
      <c r="AP4" s="533"/>
      <c r="AQ4" s="533"/>
      <c r="AR4" s="533"/>
      <c r="AS4" s="533"/>
      <c r="AT4" s="533"/>
      <c r="AU4" s="533"/>
      <c r="AV4" s="533"/>
      <c r="AW4" s="533"/>
      <c r="AX4" s="533"/>
      <c r="AY4" s="533"/>
      <c r="AZ4" s="533"/>
      <c r="BA4" s="533"/>
      <c r="BB4" s="533"/>
      <c r="BC4" s="533"/>
      <c r="BD4" s="533"/>
      <c r="BE4" s="533"/>
      <c r="BF4" s="533"/>
      <c r="BG4" s="533"/>
      <c r="BH4" s="533"/>
      <c r="BI4" s="533"/>
      <c r="BJ4" s="533"/>
      <c r="BK4" s="533"/>
      <c r="BL4" s="533"/>
      <c r="BM4" s="533"/>
      <c r="BN4" s="533"/>
      <c r="BO4" s="533"/>
      <c r="BP4" s="533"/>
      <c r="BQ4" s="533"/>
      <c r="BR4" s="533"/>
      <c r="BS4" s="533"/>
      <c r="BT4" s="533"/>
      <c r="BU4" s="533"/>
      <c r="BV4" s="533"/>
      <c r="BW4" s="533"/>
      <c r="BX4" s="533"/>
      <c r="BY4" s="533"/>
      <c r="BZ4" s="533"/>
      <c r="CA4" s="533"/>
      <c r="CB4" s="533"/>
      <c r="CC4" s="533"/>
      <c r="CD4" s="533"/>
      <c r="CE4" s="533"/>
      <c r="CF4" s="533"/>
      <c r="CG4" s="533"/>
      <c r="CH4" s="533"/>
      <c r="CI4" s="533"/>
      <c r="CJ4" s="533"/>
      <c r="CK4" s="533"/>
      <c r="CL4" s="533"/>
      <c r="CM4" s="533"/>
      <c r="CN4" s="533"/>
      <c r="CO4" s="533"/>
      <c r="CP4" s="533"/>
      <c r="CQ4" s="533"/>
      <c r="CR4" s="533"/>
      <c r="CS4" s="533"/>
      <c r="CT4" s="533"/>
      <c r="CU4" s="533"/>
      <c r="CV4" s="533"/>
      <c r="CW4" s="533"/>
      <c r="CX4" s="533"/>
      <c r="CY4" s="533"/>
      <c r="CZ4" s="533"/>
      <c r="DA4" s="533"/>
      <c r="DB4" s="533"/>
      <c r="DC4" s="533"/>
      <c r="DD4" s="533"/>
      <c r="DE4" s="533"/>
      <c r="DF4" s="533"/>
      <c r="DG4" s="533"/>
      <c r="DH4" s="533"/>
      <c r="DI4" s="533"/>
      <c r="DJ4" s="533"/>
      <c r="DK4" s="533"/>
      <c r="DL4" s="533"/>
      <c r="DM4" s="533"/>
      <c r="DN4" s="533"/>
      <c r="DO4" s="533"/>
      <c r="DP4" s="533"/>
      <c r="DQ4" s="533"/>
      <c r="DR4" s="533"/>
      <c r="DS4" s="533"/>
      <c r="DT4" s="533"/>
      <c r="DU4" s="533"/>
      <c r="DV4" s="533"/>
      <c r="DW4" s="533"/>
      <c r="DX4" s="533"/>
      <c r="DY4" s="533"/>
      <c r="DZ4" s="533"/>
      <c r="EA4" s="533"/>
      <c r="EB4" s="533"/>
      <c r="EC4" s="533"/>
      <c r="ED4" s="533"/>
      <c r="EE4" s="533"/>
      <c r="EF4" s="533"/>
      <c r="EG4" s="533"/>
      <c r="EH4" s="533"/>
      <c r="EI4" s="533"/>
      <c r="EJ4" s="533"/>
      <c r="EK4" s="533"/>
      <c r="EL4" s="533"/>
      <c r="EM4" s="533"/>
      <c r="EN4" s="533"/>
      <c r="EO4" s="533"/>
      <c r="EP4" s="533"/>
      <c r="EQ4" s="533"/>
      <c r="ER4" s="533"/>
      <c r="ES4" s="533"/>
      <c r="ET4" s="533"/>
      <c r="EU4" s="533"/>
      <c r="EV4" s="533"/>
      <c r="EW4" s="533"/>
      <c r="EX4" s="533"/>
      <c r="EY4" s="533"/>
      <c r="EZ4" s="533"/>
      <c r="FA4" s="533"/>
      <c r="FB4" s="533"/>
      <c r="FC4" s="533"/>
      <c r="FD4" s="533"/>
      <c r="FE4" s="533"/>
      <c r="FF4" s="533"/>
      <c r="FG4" s="533"/>
      <c r="FH4" s="533"/>
      <c r="FI4" s="533"/>
      <c r="FJ4" s="533"/>
      <c r="FK4" s="533"/>
      <c r="FL4" s="533"/>
      <c r="FM4" s="533"/>
      <c r="FN4" s="533"/>
      <c r="FO4" s="533"/>
      <c r="FP4" s="533"/>
      <c r="FQ4" s="533"/>
      <c r="FR4" s="533"/>
      <c r="FS4" s="533"/>
      <c r="FT4" s="533"/>
      <c r="FU4" s="533"/>
      <c r="FV4" s="533"/>
      <c r="FW4" s="533"/>
      <c r="FX4" s="533"/>
      <c r="FY4" s="533"/>
      <c r="FZ4" s="533"/>
      <c r="GA4" s="533"/>
      <c r="GB4" s="533"/>
      <c r="GC4" s="533"/>
      <c r="GD4" s="533"/>
      <c r="GE4" s="533"/>
      <c r="GF4" s="533"/>
      <c r="GG4" s="533"/>
      <c r="GH4" s="533"/>
      <c r="GI4" s="533"/>
      <c r="GJ4" s="533"/>
      <c r="GK4" s="533"/>
      <c r="GL4" s="533"/>
      <c r="GM4" s="533"/>
      <c r="GN4" s="533"/>
      <c r="GO4" s="533"/>
      <c r="GP4" s="533"/>
      <c r="GQ4" s="533"/>
      <c r="GR4" s="533"/>
      <c r="GS4" s="533"/>
      <c r="GT4" s="533"/>
      <c r="GU4" s="533"/>
      <c r="GV4" s="533"/>
      <c r="GW4" s="533"/>
      <c r="GX4" s="533"/>
      <c r="GY4" s="533"/>
      <c r="GZ4" s="533"/>
      <c r="HA4" s="533"/>
      <c r="HB4" s="533"/>
      <c r="HC4" s="533"/>
      <c r="HD4" s="533"/>
      <c r="HE4" s="533"/>
      <c r="HF4" s="533"/>
      <c r="HG4" s="533"/>
      <c r="HH4" s="533"/>
      <c r="HI4" s="533"/>
      <c r="HJ4" s="533"/>
      <c r="HK4" s="533"/>
      <c r="HL4" s="533"/>
      <c r="HM4" s="533"/>
      <c r="HN4" s="533"/>
      <c r="HO4" s="533"/>
      <c r="HP4" s="533"/>
      <c r="HQ4" s="533"/>
      <c r="HR4" s="533"/>
      <c r="HS4" s="533"/>
      <c r="HT4" s="533"/>
      <c r="HU4" s="533"/>
      <c r="HV4" s="533"/>
      <c r="HW4" s="533"/>
      <c r="HX4" s="533"/>
      <c r="HY4" s="533"/>
      <c r="HZ4" s="533"/>
      <c r="IA4" s="533"/>
      <c r="IB4" s="533"/>
      <c r="IC4" s="533"/>
      <c r="ID4" s="533"/>
      <c r="IE4" s="533"/>
      <c r="IF4" s="533"/>
      <c r="IG4" s="533"/>
      <c r="IH4" s="533"/>
      <c r="II4" s="533"/>
      <c r="IJ4" s="533"/>
      <c r="IK4" s="533"/>
      <c r="IL4" s="533"/>
      <c r="IM4" s="533"/>
      <c r="IN4" s="533"/>
      <c r="IO4" s="533"/>
      <c r="IP4" s="533"/>
      <c r="IQ4" s="533"/>
      <c r="IR4" s="533"/>
      <c r="IS4" s="533"/>
      <c r="IT4" s="533"/>
      <c r="IU4" s="533"/>
      <c r="IV4" s="533"/>
      <c r="IW4" s="533"/>
    </row>
    <row r="5" customFormat="false" ht="15.75" hidden="false" customHeight="true" outlineLevel="0" collapsed="false">
      <c r="A5" s="533"/>
      <c r="B5" s="539" t="s">
        <v>963</v>
      </c>
      <c r="C5" s="540"/>
      <c r="D5" s="541" t="str">
        <f aca="false">$P$7</f>
        <v>GE 7FA</v>
      </c>
      <c r="E5" s="541" t="str">
        <f aca="false">$S$7</f>
        <v>None</v>
      </c>
      <c r="F5" s="542" t="str">
        <f aca="false">$V$7</f>
        <v>None</v>
      </c>
      <c r="G5" s="408"/>
      <c r="H5" s="538"/>
      <c r="I5" s="532"/>
      <c r="J5" s="532"/>
      <c r="K5" s="528"/>
      <c r="L5" s="528"/>
      <c r="M5" s="533"/>
      <c r="N5" s="533"/>
      <c r="O5" s="533"/>
      <c r="P5" s="533"/>
      <c r="Q5" s="533"/>
      <c r="R5" s="533"/>
      <c r="S5" s="533"/>
      <c r="T5" s="533"/>
      <c r="U5" s="533"/>
      <c r="V5" s="533"/>
      <c r="W5" s="533"/>
      <c r="X5" s="533"/>
      <c r="Y5" s="533"/>
      <c r="Z5" s="533"/>
      <c r="AA5" s="533"/>
      <c r="AB5" s="533"/>
      <c r="AC5" s="533"/>
      <c r="AD5" s="533"/>
      <c r="AE5" s="533"/>
      <c r="AF5" s="533"/>
      <c r="AG5" s="533"/>
      <c r="AH5" s="533"/>
      <c r="AI5" s="533"/>
      <c r="AJ5" s="533"/>
      <c r="AK5" s="533"/>
      <c r="AL5" s="533"/>
      <c r="AM5" s="533"/>
      <c r="AN5" s="533"/>
      <c r="AO5" s="533"/>
      <c r="AP5" s="533"/>
      <c r="AQ5" s="533"/>
      <c r="AR5" s="533"/>
      <c r="AS5" s="533"/>
      <c r="AT5" s="533"/>
      <c r="AU5" s="533"/>
      <c r="AV5" s="533"/>
      <c r="AW5" s="533"/>
      <c r="AX5" s="533"/>
      <c r="AY5" s="533"/>
      <c r="AZ5" s="533"/>
      <c r="BA5" s="533"/>
      <c r="BB5" s="533"/>
      <c r="BC5" s="533"/>
      <c r="BD5" s="533"/>
      <c r="BE5" s="533"/>
      <c r="BF5" s="533"/>
      <c r="BG5" s="533"/>
      <c r="BH5" s="533"/>
      <c r="BI5" s="533"/>
      <c r="BJ5" s="533"/>
      <c r="BK5" s="533"/>
      <c r="BL5" s="533"/>
      <c r="BM5" s="533"/>
      <c r="BN5" s="533"/>
      <c r="BO5" s="533"/>
      <c r="BP5" s="533"/>
      <c r="BQ5" s="533"/>
      <c r="BR5" s="533"/>
      <c r="BS5" s="533"/>
      <c r="BT5" s="533"/>
      <c r="BU5" s="533"/>
      <c r="BV5" s="533"/>
      <c r="BW5" s="533"/>
      <c r="BX5" s="533"/>
      <c r="BY5" s="533"/>
      <c r="BZ5" s="533"/>
      <c r="CA5" s="533"/>
      <c r="CB5" s="533"/>
      <c r="CC5" s="533"/>
      <c r="CD5" s="533"/>
      <c r="CE5" s="533"/>
      <c r="CF5" s="533"/>
      <c r="CG5" s="533"/>
      <c r="CH5" s="533"/>
      <c r="CI5" s="533"/>
      <c r="CJ5" s="533"/>
      <c r="CK5" s="533"/>
      <c r="CL5" s="533"/>
      <c r="CM5" s="533"/>
      <c r="CN5" s="533"/>
      <c r="CO5" s="533"/>
      <c r="CP5" s="533"/>
      <c r="CQ5" s="533"/>
      <c r="CR5" s="533"/>
      <c r="CS5" s="533"/>
      <c r="CT5" s="533"/>
      <c r="CU5" s="533"/>
      <c r="CV5" s="533"/>
      <c r="CW5" s="533"/>
      <c r="CX5" s="533"/>
      <c r="CY5" s="533"/>
      <c r="CZ5" s="533"/>
      <c r="DA5" s="533"/>
      <c r="DB5" s="533"/>
      <c r="DC5" s="533"/>
      <c r="DD5" s="533"/>
      <c r="DE5" s="533"/>
      <c r="DF5" s="533"/>
      <c r="DG5" s="533"/>
      <c r="DH5" s="533"/>
      <c r="DI5" s="533"/>
      <c r="DJ5" s="533"/>
      <c r="DK5" s="533"/>
      <c r="DL5" s="533"/>
      <c r="DM5" s="533"/>
      <c r="DN5" s="533"/>
      <c r="DO5" s="533"/>
      <c r="DP5" s="533"/>
      <c r="DQ5" s="533"/>
      <c r="DR5" s="533"/>
      <c r="DS5" s="533"/>
      <c r="DT5" s="533"/>
      <c r="DU5" s="533"/>
      <c r="DV5" s="533"/>
      <c r="DW5" s="533"/>
      <c r="DX5" s="533"/>
      <c r="DY5" s="533"/>
      <c r="DZ5" s="533"/>
      <c r="EA5" s="533"/>
      <c r="EB5" s="533"/>
      <c r="EC5" s="533"/>
      <c r="ED5" s="533"/>
      <c r="EE5" s="533"/>
      <c r="EF5" s="533"/>
      <c r="EG5" s="533"/>
      <c r="EH5" s="533"/>
      <c r="EI5" s="533"/>
      <c r="EJ5" s="533"/>
      <c r="EK5" s="533"/>
      <c r="EL5" s="533"/>
      <c r="EM5" s="533"/>
      <c r="EN5" s="533"/>
      <c r="EO5" s="533"/>
      <c r="EP5" s="533"/>
      <c r="EQ5" s="533"/>
      <c r="ER5" s="533"/>
      <c r="ES5" s="533"/>
      <c r="ET5" s="533"/>
      <c r="EU5" s="533"/>
      <c r="EV5" s="533"/>
      <c r="EW5" s="533"/>
      <c r="EX5" s="533"/>
      <c r="EY5" s="533"/>
      <c r="EZ5" s="533"/>
      <c r="FA5" s="533"/>
      <c r="FB5" s="533"/>
      <c r="FC5" s="533"/>
      <c r="FD5" s="533"/>
      <c r="FE5" s="533"/>
      <c r="FF5" s="533"/>
      <c r="FG5" s="533"/>
      <c r="FH5" s="533"/>
      <c r="FI5" s="533"/>
      <c r="FJ5" s="533"/>
      <c r="FK5" s="533"/>
      <c r="FL5" s="533"/>
      <c r="FM5" s="533"/>
      <c r="FN5" s="533"/>
      <c r="FO5" s="533"/>
      <c r="FP5" s="533"/>
      <c r="FQ5" s="533"/>
      <c r="FR5" s="533"/>
      <c r="FS5" s="533"/>
      <c r="FT5" s="533"/>
      <c r="FU5" s="533"/>
      <c r="FV5" s="533"/>
      <c r="FW5" s="533"/>
      <c r="FX5" s="533"/>
      <c r="FY5" s="533"/>
      <c r="FZ5" s="533"/>
      <c r="GA5" s="533"/>
      <c r="GB5" s="533"/>
      <c r="GC5" s="533"/>
      <c r="GD5" s="533"/>
      <c r="GE5" s="533"/>
      <c r="GF5" s="533"/>
      <c r="GG5" s="533"/>
      <c r="GH5" s="533"/>
      <c r="GI5" s="533"/>
      <c r="GJ5" s="533"/>
      <c r="GK5" s="533"/>
      <c r="GL5" s="533"/>
      <c r="GM5" s="533"/>
      <c r="GN5" s="533"/>
      <c r="GO5" s="533"/>
      <c r="GP5" s="533"/>
      <c r="GQ5" s="533"/>
      <c r="GR5" s="533"/>
      <c r="GS5" s="533"/>
      <c r="GT5" s="533"/>
      <c r="GU5" s="533"/>
      <c r="GV5" s="533"/>
      <c r="GW5" s="533"/>
      <c r="GX5" s="533"/>
      <c r="GY5" s="533"/>
      <c r="GZ5" s="533"/>
      <c r="HA5" s="533"/>
      <c r="HB5" s="533"/>
      <c r="HC5" s="533"/>
      <c r="HD5" s="533"/>
      <c r="HE5" s="533"/>
      <c r="HF5" s="533"/>
      <c r="HG5" s="533"/>
      <c r="HH5" s="533"/>
      <c r="HI5" s="533"/>
      <c r="HJ5" s="533"/>
      <c r="HK5" s="533"/>
      <c r="HL5" s="533"/>
      <c r="HM5" s="533"/>
      <c r="HN5" s="533"/>
      <c r="HO5" s="533"/>
      <c r="HP5" s="533"/>
      <c r="HQ5" s="533"/>
      <c r="HR5" s="533"/>
      <c r="HS5" s="533"/>
      <c r="HT5" s="533"/>
      <c r="HU5" s="533"/>
      <c r="HV5" s="533"/>
      <c r="HW5" s="533"/>
      <c r="HX5" s="533"/>
      <c r="HY5" s="533"/>
      <c r="HZ5" s="533"/>
      <c r="IA5" s="533"/>
      <c r="IB5" s="533"/>
      <c r="IC5" s="533"/>
      <c r="ID5" s="533"/>
      <c r="IE5" s="533"/>
      <c r="IF5" s="533"/>
      <c r="IG5" s="533"/>
      <c r="IH5" s="533"/>
      <c r="II5" s="533"/>
      <c r="IJ5" s="533"/>
      <c r="IK5" s="533"/>
      <c r="IL5" s="533"/>
      <c r="IM5" s="533"/>
      <c r="IN5" s="533"/>
      <c r="IO5" s="533"/>
      <c r="IP5" s="533"/>
      <c r="IQ5" s="533"/>
      <c r="IR5" s="533"/>
      <c r="IS5" s="533"/>
      <c r="IT5" s="533"/>
      <c r="IU5" s="533"/>
      <c r="IV5" s="533"/>
      <c r="IW5" s="533"/>
    </row>
    <row r="6" customFormat="false" ht="15" hidden="false" customHeight="true" outlineLevel="0" collapsed="false">
      <c r="A6" s="543"/>
      <c r="B6" s="536"/>
      <c r="C6" s="537"/>
      <c r="D6" s="528"/>
      <c r="E6" s="529"/>
      <c r="F6" s="530"/>
      <c r="H6" s="538"/>
      <c r="I6" s="532"/>
      <c r="J6" s="532"/>
      <c r="K6" s="528"/>
      <c r="L6" s="528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  <c r="AC6" s="533"/>
      <c r="AD6" s="533"/>
      <c r="AE6" s="533"/>
      <c r="AF6" s="533"/>
      <c r="AG6" s="533"/>
      <c r="AH6" s="533"/>
      <c r="AI6" s="533"/>
      <c r="AJ6" s="533"/>
      <c r="AK6" s="533"/>
      <c r="AL6" s="533"/>
      <c r="AM6" s="533"/>
      <c r="AN6" s="533"/>
      <c r="AO6" s="533"/>
      <c r="AP6" s="533"/>
      <c r="AQ6" s="533"/>
      <c r="AR6" s="533"/>
      <c r="AS6" s="533"/>
      <c r="AT6" s="533"/>
      <c r="AU6" s="533"/>
      <c r="AV6" s="533"/>
      <c r="AW6" s="533"/>
      <c r="AX6" s="533"/>
      <c r="AY6" s="533"/>
      <c r="AZ6" s="533"/>
      <c r="BA6" s="533"/>
      <c r="BB6" s="533"/>
      <c r="BC6" s="533"/>
      <c r="BD6" s="533"/>
      <c r="BE6" s="533"/>
      <c r="BF6" s="533"/>
      <c r="BG6" s="533"/>
      <c r="BH6" s="533"/>
      <c r="BI6" s="533"/>
      <c r="BJ6" s="533"/>
      <c r="BK6" s="533"/>
      <c r="BL6" s="533"/>
      <c r="BM6" s="533"/>
      <c r="BN6" s="533"/>
      <c r="BO6" s="533"/>
      <c r="BP6" s="533"/>
      <c r="BQ6" s="533"/>
      <c r="BR6" s="533"/>
      <c r="BS6" s="533"/>
      <c r="BT6" s="533"/>
      <c r="BU6" s="533"/>
      <c r="BV6" s="533"/>
      <c r="BW6" s="533"/>
      <c r="BX6" s="533"/>
      <c r="BY6" s="533"/>
      <c r="BZ6" s="533"/>
      <c r="CA6" s="533"/>
      <c r="CB6" s="533"/>
      <c r="CC6" s="533"/>
      <c r="CD6" s="533"/>
      <c r="CE6" s="533"/>
      <c r="CF6" s="533"/>
      <c r="CG6" s="533"/>
      <c r="CH6" s="533"/>
      <c r="CI6" s="533"/>
      <c r="CJ6" s="533"/>
      <c r="CK6" s="533"/>
      <c r="CL6" s="533"/>
      <c r="CM6" s="533"/>
      <c r="CN6" s="533"/>
      <c r="CO6" s="533"/>
      <c r="CP6" s="533"/>
      <c r="CQ6" s="533"/>
      <c r="CR6" s="533"/>
      <c r="CS6" s="533"/>
      <c r="CT6" s="533"/>
      <c r="CU6" s="533"/>
      <c r="CV6" s="533"/>
      <c r="CW6" s="533"/>
      <c r="CX6" s="533"/>
      <c r="CY6" s="533"/>
      <c r="CZ6" s="533"/>
      <c r="DA6" s="533"/>
      <c r="DB6" s="533"/>
      <c r="DC6" s="533"/>
      <c r="DD6" s="533"/>
      <c r="DE6" s="533"/>
      <c r="DF6" s="533"/>
      <c r="DG6" s="533"/>
      <c r="DH6" s="533"/>
      <c r="DI6" s="533"/>
      <c r="DJ6" s="533"/>
      <c r="DK6" s="533"/>
      <c r="DL6" s="533"/>
      <c r="DM6" s="533"/>
      <c r="DN6" s="533"/>
      <c r="DO6" s="533"/>
      <c r="DP6" s="533"/>
      <c r="DQ6" s="533"/>
      <c r="DR6" s="533"/>
      <c r="DS6" s="533"/>
      <c r="DT6" s="533"/>
      <c r="DU6" s="533"/>
      <c r="DV6" s="533"/>
      <c r="DW6" s="533"/>
      <c r="DX6" s="533"/>
      <c r="DY6" s="533"/>
      <c r="DZ6" s="533"/>
      <c r="EA6" s="533"/>
      <c r="EB6" s="533"/>
      <c r="EC6" s="533"/>
      <c r="ED6" s="533"/>
      <c r="EE6" s="533"/>
      <c r="EF6" s="533"/>
      <c r="EG6" s="533"/>
      <c r="EH6" s="533"/>
      <c r="EI6" s="533"/>
      <c r="EJ6" s="533"/>
      <c r="EK6" s="533"/>
      <c r="EL6" s="533"/>
      <c r="EM6" s="533"/>
      <c r="EN6" s="533"/>
      <c r="EO6" s="533"/>
      <c r="EP6" s="533"/>
      <c r="EQ6" s="533"/>
      <c r="ER6" s="533"/>
      <c r="ES6" s="533"/>
      <c r="ET6" s="533"/>
      <c r="EU6" s="533"/>
      <c r="EV6" s="533"/>
      <c r="EW6" s="533"/>
      <c r="EX6" s="533"/>
      <c r="EY6" s="533"/>
      <c r="EZ6" s="533"/>
      <c r="FA6" s="533"/>
      <c r="FB6" s="533"/>
      <c r="FC6" s="533"/>
      <c r="FD6" s="533"/>
      <c r="FE6" s="533"/>
      <c r="FF6" s="533"/>
      <c r="FG6" s="533"/>
      <c r="FH6" s="533"/>
      <c r="FI6" s="533"/>
      <c r="FJ6" s="533"/>
      <c r="FK6" s="533"/>
      <c r="FL6" s="533"/>
      <c r="FM6" s="533"/>
      <c r="FN6" s="533"/>
      <c r="FO6" s="533"/>
      <c r="FP6" s="533"/>
      <c r="FQ6" s="533"/>
      <c r="FR6" s="533"/>
      <c r="FS6" s="533"/>
      <c r="FT6" s="533"/>
      <c r="FU6" s="533"/>
      <c r="FV6" s="533"/>
      <c r="FW6" s="533"/>
      <c r="FX6" s="533"/>
      <c r="FY6" s="533"/>
      <c r="FZ6" s="533"/>
      <c r="GA6" s="533"/>
      <c r="GB6" s="533"/>
      <c r="GC6" s="533"/>
      <c r="GD6" s="533"/>
      <c r="GE6" s="533"/>
      <c r="GF6" s="533"/>
      <c r="GG6" s="533"/>
      <c r="GH6" s="533"/>
      <c r="GI6" s="533"/>
      <c r="GJ6" s="533"/>
      <c r="GK6" s="533"/>
      <c r="GL6" s="533"/>
      <c r="GM6" s="533"/>
      <c r="GN6" s="533"/>
      <c r="GO6" s="533"/>
      <c r="GP6" s="533"/>
      <c r="GQ6" s="533"/>
      <c r="GR6" s="533"/>
      <c r="GS6" s="533"/>
      <c r="GT6" s="533"/>
      <c r="GU6" s="533"/>
      <c r="GV6" s="533"/>
      <c r="GW6" s="533"/>
      <c r="GX6" s="533"/>
      <c r="GY6" s="533"/>
      <c r="GZ6" s="533"/>
      <c r="HA6" s="533"/>
      <c r="HB6" s="533"/>
      <c r="HC6" s="533"/>
      <c r="HD6" s="533"/>
      <c r="HE6" s="533"/>
      <c r="HF6" s="533"/>
      <c r="HG6" s="533"/>
      <c r="HH6" s="533"/>
      <c r="HI6" s="533"/>
      <c r="HJ6" s="533"/>
      <c r="HK6" s="533"/>
      <c r="HL6" s="533"/>
      <c r="HM6" s="533"/>
      <c r="HN6" s="533"/>
      <c r="HO6" s="533"/>
      <c r="HP6" s="533"/>
      <c r="HQ6" s="533"/>
      <c r="HR6" s="533"/>
      <c r="HS6" s="533"/>
      <c r="HT6" s="533"/>
      <c r="HU6" s="533"/>
      <c r="HV6" s="533"/>
      <c r="HW6" s="533"/>
      <c r="HX6" s="533"/>
      <c r="HY6" s="533"/>
      <c r="HZ6" s="533"/>
      <c r="IA6" s="533"/>
      <c r="IB6" s="533"/>
      <c r="IC6" s="533"/>
      <c r="ID6" s="533"/>
      <c r="IE6" s="533"/>
      <c r="IF6" s="533"/>
      <c r="IG6" s="533"/>
      <c r="IH6" s="533"/>
      <c r="II6" s="533"/>
      <c r="IJ6" s="533"/>
      <c r="IK6" s="533"/>
      <c r="IL6" s="533"/>
      <c r="IM6" s="533"/>
      <c r="IN6" s="533"/>
      <c r="IO6" s="533"/>
      <c r="IP6" s="533"/>
      <c r="IQ6" s="533"/>
      <c r="IR6" s="533"/>
      <c r="IS6" s="533"/>
      <c r="IT6" s="533"/>
      <c r="IU6" s="533"/>
      <c r="IV6" s="533"/>
      <c r="IW6" s="533"/>
    </row>
    <row r="7" customFormat="false" ht="23.25" hidden="false" customHeight="true" outlineLevel="0" collapsed="false">
      <c r="A7" s="544" t="s">
        <v>405</v>
      </c>
      <c r="B7" s="545"/>
      <c r="C7" s="546"/>
      <c r="D7" s="283" t="s">
        <v>964</v>
      </c>
      <c r="E7" s="547" t="s">
        <v>965</v>
      </c>
      <c r="F7" s="548" t="s">
        <v>966</v>
      </c>
      <c r="G7" s="17"/>
      <c r="H7" s="544" t="s">
        <v>406</v>
      </c>
      <c r="I7" s="549" t="s">
        <v>967</v>
      </c>
      <c r="J7" s="549" t="s">
        <v>968</v>
      </c>
      <c r="K7" s="283" t="s">
        <v>451</v>
      </c>
      <c r="L7" s="283" t="s">
        <v>969</v>
      </c>
      <c r="M7" s="66"/>
      <c r="N7" s="550"/>
      <c r="O7" s="551" t="n">
        <v>3</v>
      </c>
      <c r="P7" s="66" t="str">
        <f aca="false">INDEX(P8:P22,O7,1)</f>
        <v>GE 7FA</v>
      </c>
      <c r="Q7" s="66"/>
      <c r="R7" s="551" t="n">
        <v>6</v>
      </c>
      <c r="S7" s="66" t="str">
        <f aca="false">INDEX(S8:S22,R7,1)</f>
        <v>None</v>
      </c>
      <c r="T7" s="66"/>
      <c r="U7" s="551" t="n">
        <v>6</v>
      </c>
      <c r="V7" s="66" t="str">
        <f aca="false">INDEX(V8:V22,U7,1)</f>
        <v>None</v>
      </c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</row>
    <row r="8" customFormat="false" ht="12.75" hidden="false" customHeight="false" outlineLevel="1" collapsed="false">
      <c r="A8" s="552" t="s">
        <v>970</v>
      </c>
      <c r="B8" s="553"/>
      <c r="C8" s="553"/>
      <c r="D8" s="554"/>
      <c r="E8" s="555"/>
      <c r="F8" s="556"/>
      <c r="H8" s="557"/>
      <c r="I8" s="558" t="n">
        <f aca="false">IF(D12=0,0,I12/$D$12)</f>
        <v>1</v>
      </c>
      <c r="J8" s="558" t="n">
        <f aca="false">1-I8</f>
        <v>0</v>
      </c>
      <c r="K8" s="559" t="n">
        <f aca="false">IF(D12=0,0,K12/D12)</f>
        <v>1</v>
      </c>
      <c r="L8" s="560" t="n">
        <f aca="false">1-K8</f>
        <v>0</v>
      </c>
      <c r="M8" s="561"/>
      <c r="N8" s="561"/>
      <c r="O8" s="562" t="n">
        <v>1</v>
      </c>
      <c r="P8" s="563" t="str">
        <f aca="false">'Plant Configuration'!$E$5</f>
        <v> GE LM6000</v>
      </c>
      <c r="Q8" s="561"/>
      <c r="R8" s="562" t="n">
        <v>1</v>
      </c>
      <c r="S8" s="563" t="str">
        <f aca="false">'Plant Configuration'!$E$5</f>
        <v> GE LM6000</v>
      </c>
      <c r="T8" s="561"/>
      <c r="U8" s="562" t="n">
        <v>1</v>
      </c>
      <c r="V8" s="563" t="str">
        <f aca="false">'Plant Configuration'!$E$5</f>
        <v> GE LM6000</v>
      </c>
      <c r="W8" s="561"/>
      <c r="X8" s="561"/>
      <c r="Y8" s="561"/>
      <c r="Z8" s="561"/>
      <c r="AA8" s="561"/>
      <c r="AB8" s="561"/>
      <c r="AC8" s="561"/>
      <c r="AD8" s="561"/>
      <c r="AE8" s="561"/>
      <c r="AF8" s="561"/>
      <c r="AG8" s="561"/>
      <c r="AH8" s="561"/>
      <c r="AI8" s="561"/>
      <c r="AJ8" s="561"/>
      <c r="AK8" s="561"/>
      <c r="AL8" s="561"/>
      <c r="AM8" s="561"/>
      <c r="AN8" s="561"/>
      <c r="AO8" s="561"/>
      <c r="AP8" s="561"/>
      <c r="AQ8" s="561"/>
      <c r="AR8" s="561"/>
      <c r="AS8" s="561"/>
      <c r="AT8" s="561"/>
      <c r="AU8" s="561"/>
      <c r="AV8" s="561"/>
      <c r="AW8" s="561"/>
      <c r="AX8" s="561"/>
      <c r="AY8" s="561"/>
      <c r="AZ8" s="561"/>
      <c r="BA8" s="561"/>
      <c r="BB8" s="561"/>
      <c r="BC8" s="561"/>
      <c r="BD8" s="561"/>
      <c r="BE8" s="561"/>
      <c r="BF8" s="561"/>
      <c r="BG8" s="561"/>
      <c r="BH8" s="561"/>
      <c r="BI8" s="561"/>
      <c r="BJ8" s="561"/>
      <c r="BK8" s="561"/>
      <c r="BL8" s="561"/>
      <c r="BM8" s="561"/>
      <c r="BN8" s="561"/>
      <c r="BO8" s="561"/>
      <c r="BP8" s="561"/>
      <c r="BQ8" s="561"/>
      <c r="BR8" s="561"/>
      <c r="BS8" s="561"/>
      <c r="BT8" s="561"/>
      <c r="BU8" s="561"/>
      <c r="BV8" s="561"/>
      <c r="BW8" s="561"/>
      <c r="BX8" s="561"/>
      <c r="BY8" s="561"/>
      <c r="BZ8" s="561"/>
      <c r="CA8" s="561"/>
      <c r="CB8" s="561"/>
      <c r="CC8" s="561"/>
      <c r="CD8" s="561"/>
      <c r="CE8" s="561"/>
      <c r="CF8" s="561"/>
      <c r="CG8" s="561"/>
      <c r="CH8" s="561"/>
      <c r="CI8" s="561"/>
      <c r="CJ8" s="561"/>
      <c r="CK8" s="561"/>
      <c r="CL8" s="561"/>
      <c r="CM8" s="561"/>
      <c r="CN8" s="561"/>
      <c r="CO8" s="561"/>
      <c r="CP8" s="561"/>
      <c r="CQ8" s="561"/>
      <c r="CR8" s="561"/>
      <c r="CS8" s="561"/>
      <c r="CT8" s="561"/>
      <c r="CU8" s="561"/>
      <c r="CV8" s="561"/>
      <c r="CW8" s="561"/>
      <c r="CX8" s="561"/>
      <c r="CY8" s="561"/>
      <c r="CZ8" s="561"/>
      <c r="DA8" s="561"/>
      <c r="DB8" s="561"/>
      <c r="DC8" s="561"/>
      <c r="DD8" s="561"/>
      <c r="DE8" s="561"/>
      <c r="DF8" s="561"/>
      <c r="DG8" s="561"/>
      <c r="DH8" s="561"/>
      <c r="DI8" s="561"/>
      <c r="DJ8" s="561"/>
      <c r="DK8" s="561"/>
      <c r="DL8" s="561"/>
      <c r="DM8" s="561"/>
      <c r="DN8" s="561"/>
      <c r="DO8" s="561"/>
      <c r="DP8" s="561"/>
      <c r="DQ8" s="561"/>
      <c r="DR8" s="561"/>
      <c r="DS8" s="561"/>
      <c r="DT8" s="561"/>
      <c r="DU8" s="561"/>
      <c r="DV8" s="561"/>
      <c r="DW8" s="561"/>
      <c r="DX8" s="561"/>
      <c r="DY8" s="561"/>
      <c r="DZ8" s="561"/>
      <c r="EA8" s="561"/>
      <c r="EB8" s="561"/>
      <c r="EC8" s="561"/>
      <c r="ED8" s="561"/>
      <c r="EE8" s="561"/>
      <c r="EF8" s="561"/>
      <c r="EG8" s="561"/>
      <c r="EH8" s="561"/>
      <c r="EI8" s="561"/>
      <c r="EJ8" s="561"/>
      <c r="EK8" s="561"/>
      <c r="EL8" s="561"/>
      <c r="EM8" s="561"/>
      <c r="EN8" s="561"/>
      <c r="EO8" s="561"/>
      <c r="EP8" s="561"/>
      <c r="EQ8" s="561"/>
      <c r="ER8" s="561"/>
      <c r="ES8" s="561"/>
      <c r="ET8" s="561"/>
      <c r="EU8" s="561"/>
      <c r="EV8" s="561"/>
      <c r="EW8" s="561"/>
      <c r="EX8" s="561"/>
      <c r="EY8" s="561"/>
      <c r="EZ8" s="561"/>
      <c r="FA8" s="561"/>
      <c r="FB8" s="561"/>
      <c r="FC8" s="561"/>
      <c r="FD8" s="561"/>
      <c r="FE8" s="561"/>
      <c r="FF8" s="561"/>
      <c r="FG8" s="561"/>
      <c r="FH8" s="561"/>
      <c r="FI8" s="561"/>
      <c r="FJ8" s="561"/>
      <c r="FK8" s="561"/>
      <c r="FL8" s="561"/>
      <c r="FM8" s="561"/>
      <c r="FN8" s="561"/>
      <c r="FO8" s="561"/>
      <c r="FP8" s="561"/>
      <c r="FQ8" s="561"/>
      <c r="FR8" s="561"/>
      <c r="FS8" s="561"/>
      <c r="FT8" s="561"/>
      <c r="FU8" s="561"/>
      <c r="FV8" s="561"/>
      <c r="FW8" s="561"/>
      <c r="FX8" s="561"/>
      <c r="FY8" s="561"/>
      <c r="FZ8" s="561"/>
      <c r="GA8" s="561"/>
      <c r="GB8" s="561"/>
      <c r="GC8" s="561"/>
      <c r="GD8" s="561"/>
      <c r="GE8" s="561"/>
      <c r="GF8" s="561"/>
      <c r="GG8" s="561"/>
      <c r="GH8" s="561"/>
      <c r="GI8" s="561"/>
      <c r="GJ8" s="561"/>
      <c r="GK8" s="561"/>
      <c r="GL8" s="561"/>
      <c r="GM8" s="561"/>
      <c r="GN8" s="561"/>
      <c r="GO8" s="561"/>
      <c r="GP8" s="561"/>
      <c r="GQ8" s="561"/>
      <c r="GR8" s="561"/>
      <c r="GS8" s="561"/>
      <c r="GT8" s="561"/>
      <c r="GU8" s="561"/>
      <c r="GV8" s="561"/>
      <c r="GW8" s="561"/>
      <c r="GX8" s="561"/>
      <c r="GY8" s="561"/>
      <c r="GZ8" s="561"/>
      <c r="HA8" s="561"/>
      <c r="HB8" s="561"/>
      <c r="HC8" s="561"/>
      <c r="HD8" s="561"/>
      <c r="HE8" s="561"/>
      <c r="HF8" s="561"/>
      <c r="HG8" s="561"/>
      <c r="HH8" s="561"/>
      <c r="HI8" s="561"/>
      <c r="HJ8" s="561"/>
      <c r="HK8" s="561"/>
      <c r="HL8" s="561"/>
      <c r="HM8" s="561"/>
      <c r="HN8" s="561"/>
      <c r="HO8" s="561"/>
      <c r="HP8" s="561"/>
      <c r="HQ8" s="561"/>
      <c r="HR8" s="561"/>
      <c r="HS8" s="561"/>
      <c r="HT8" s="561"/>
      <c r="HU8" s="561"/>
      <c r="HV8" s="561"/>
      <c r="HW8" s="561"/>
      <c r="HX8" s="561"/>
      <c r="HY8" s="561"/>
      <c r="HZ8" s="561"/>
      <c r="IA8" s="561"/>
      <c r="IB8" s="561"/>
      <c r="IC8" s="561"/>
      <c r="ID8" s="561"/>
      <c r="IE8" s="561"/>
      <c r="IF8" s="561"/>
      <c r="IG8" s="561"/>
      <c r="IH8" s="561"/>
      <c r="II8" s="561"/>
      <c r="IJ8" s="561"/>
      <c r="IK8" s="561"/>
      <c r="IL8" s="561"/>
      <c r="IM8" s="561"/>
      <c r="IN8" s="561"/>
      <c r="IO8" s="561"/>
      <c r="IP8" s="561"/>
      <c r="IQ8" s="561"/>
      <c r="IR8" s="561"/>
      <c r="IS8" s="561"/>
      <c r="IT8" s="561"/>
      <c r="IU8" s="561"/>
      <c r="IV8" s="561"/>
      <c r="IW8" s="561"/>
    </row>
    <row r="9" customFormat="false" ht="12.75" hidden="false" customHeight="false" outlineLevel="2" collapsed="false">
      <c r="B9" s="564" t="s">
        <v>971</v>
      </c>
      <c r="C9" s="565"/>
      <c r="D9" s="306" t="n">
        <f aca="false">Plant_Staff!L47/1000</f>
        <v>0</v>
      </c>
      <c r="E9" s="342" t="n">
        <v>0</v>
      </c>
      <c r="F9" s="566" t="n">
        <v>0</v>
      </c>
      <c r="H9" s="316" t="s">
        <v>154</v>
      </c>
      <c r="I9" s="567" t="n">
        <f aca="false">D9-J9</f>
        <v>0</v>
      </c>
      <c r="J9" s="567" t="n">
        <f aca="false">E9*D9</f>
        <v>0</v>
      </c>
      <c r="K9" s="317" t="n">
        <f aca="false">F9*D9</f>
        <v>0</v>
      </c>
      <c r="L9" s="317" t="n">
        <f aca="false">D9-K9</f>
        <v>0</v>
      </c>
      <c r="N9" s="45"/>
      <c r="O9" s="316" t="n">
        <f aca="false">O8+1</f>
        <v>2</v>
      </c>
      <c r="P9" s="568" t="str">
        <f aca="false">'Plant Configuration'!$F$5</f>
        <v>GE 7EA</v>
      </c>
      <c r="R9" s="316" t="n">
        <f aca="false">R8+1</f>
        <v>2</v>
      </c>
      <c r="S9" s="568" t="str">
        <f aca="false">'Plant Configuration'!$F$5</f>
        <v>GE 7EA</v>
      </c>
      <c r="U9" s="316" t="n">
        <f aca="false">U8+1</f>
        <v>2</v>
      </c>
      <c r="V9" s="568" t="str">
        <f aca="false">'Plant Configuration'!$F$5</f>
        <v>GE 7EA</v>
      </c>
    </row>
    <row r="10" customFormat="false" ht="12.75" hidden="false" customHeight="false" outlineLevel="2" collapsed="false">
      <c r="B10" s="564" t="s">
        <v>972</v>
      </c>
      <c r="C10" s="565"/>
      <c r="D10" s="306" t="n">
        <f aca="false">Plant_Staff!M47/1000</f>
        <v>1451.918666</v>
      </c>
      <c r="E10" s="342" t="n">
        <v>0</v>
      </c>
      <c r="F10" s="566" t="n">
        <v>1</v>
      </c>
      <c r="H10" s="316" t="s">
        <v>154</v>
      </c>
      <c r="I10" s="567" t="n">
        <f aca="false">D10-J10</f>
        <v>1451.918666</v>
      </c>
      <c r="J10" s="567" t="n">
        <f aca="false">E10*D10</f>
        <v>0</v>
      </c>
      <c r="K10" s="317" t="n">
        <f aca="false">F10*D10</f>
        <v>1451.918666</v>
      </c>
      <c r="L10" s="317" t="n">
        <f aca="false">D10-K10</f>
        <v>0</v>
      </c>
      <c r="N10" s="45"/>
      <c r="O10" s="316" t="n">
        <f aca="false">O9+1</f>
        <v>3</v>
      </c>
      <c r="P10" s="568" t="str">
        <f aca="false">'Plant Configuration'!$G$5</f>
        <v>GE 7FA</v>
      </c>
      <c r="R10" s="316" t="n">
        <f aca="false">R9+1</f>
        <v>3</v>
      </c>
      <c r="S10" s="568" t="str">
        <f aca="false">'Plant Configuration'!$G$5</f>
        <v>GE 7FA</v>
      </c>
      <c r="U10" s="316" t="n">
        <f aca="false">U9+1</f>
        <v>3</v>
      </c>
      <c r="V10" s="568" t="str">
        <f aca="false">'Plant Configuration'!$G$5</f>
        <v>GE 7FA</v>
      </c>
    </row>
    <row r="11" customFormat="false" ht="12.75" hidden="false" customHeight="false" outlineLevel="2" collapsed="false">
      <c r="A11" s="316"/>
      <c r="B11" s="569"/>
      <c r="C11" s="565"/>
      <c r="D11" s="306"/>
      <c r="E11" s="342"/>
      <c r="F11" s="566"/>
      <c r="H11" s="316"/>
      <c r="I11" s="567" t="n">
        <f aca="false">D11-J11</f>
        <v>0</v>
      </c>
      <c r="J11" s="567" t="n">
        <f aca="false">E11*D11</f>
        <v>0</v>
      </c>
      <c r="K11" s="317" t="n">
        <f aca="false">F11*D11</f>
        <v>0</v>
      </c>
      <c r="L11" s="317" t="n">
        <f aca="false">D11-K11</f>
        <v>0</v>
      </c>
      <c r="N11" s="45"/>
      <c r="O11" s="316" t="n">
        <f aca="false">O10+1</f>
        <v>4</v>
      </c>
      <c r="P11" s="568" t="str">
        <f aca="false">'Plant Configuration'!$H$5</f>
        <v>W501D5</v>
      </c>
      <c r="R11" s="316" t="n">
        <f aca="false">R10+1</f>
        <v>4</v>
      </c>
      <c r="S11" s="568" t="str">
        <f aca="false">'Plant Configuration'!$H$5</f>
        <v>W501D5</v>
      </c>
      <c r="U11" s="316" t="n">
        <f aca="false">U10+1</f>
        <v>4</v>
      </c>
      <c r="V11" s="568" t="str">
        <f aca="false">'Plant Configuration'!$H$5</f>
        <v>W501D5</v>
      </c>
    </row>
    <row r="12" customFormat="false" ht="12.75" hidden="false" customHeight="false" outlineLevel="1" collapsed="false">
      <c r="A12" s="316"/>
      <c r="B12" s="570" t="s">
        <v>431</v>
      </c>
      <c r="C12" s="561"/>
      <c r="D12" s="571" t="n">
        <f aca="false">SUBTOTAL(9,D9:D11)</f>
        <v>1451.918666</v>
      </c>
      <c r="E12" s="572"/>
      <c r="F12" s="573"/>
      <c r="H12" s="316" t="s">
        <v>973</v>
      </c>
      <c r="I12" s="571" t="n">
        <f aca="false">SUBTOTAL(9,I9:I11)</f>
        <v>1451.918666</v>
      </c>
      <c r="J12" s="571" t="n">
        <f aca="false">SUBTOTAL(9,J9:J11)</f>
        <v>0</v>
      </c>
      <c r="K12" s="571" t="n">
        <f aca="false">SUBTOTAL(9,K9:K11)</f>
        <v>1451.918666</v>
      </c>
      <c r="L12" s="571" t="n">
        <f aca="false">SUBTOTAL(9,L9:L11)</f>
        <v>0</v>
      </c>
      <c r="M12" s="561"/>
      <c r="N12" s="561"/>
      <c r="O12" s="316" t="n">
        <f aca="false">O11+1</f>
        <v>5</v>
      </c>
      <c r="P12" s="568" t="str">
        <f aca="false">'Plant Configuration'!$I$5</f>
        <v>W501D5A</v>
      </c>
      <c r="Q12" s="561"/>
      <c r="R12" s="316" t="n">
        <f aca="false">R11+1</f>
        <v>5</v>
      </c>
      <c r="S12" s="568" t="str">
        <f aca="false">'Plant Configuration'!$I$5</f>
        <v>W501D5A</v>
      </c>
      <c r="T12" s="561"/>
      <c r="U12" s="316" t="n">
        <f aca="false">U11+1</f>
        <v>5</v>
      </c>
      <c r="V12" s="568" t="str">
        <f aca="false">'Plant Configuration'!$I$5</f>
        <v>W501D5A</v>
      </c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  <c r="CB12" s="561"/>
      <c r="CC12" s="561"/>
      <c r="CD12" s="561"/>
      <c r="CE12" s="561"/>
      <c r="CF12" s="561"/>
      <c r="CG12" s="561"/>
      <c r="CH12" s="561"/>
      <c r="CI12" s="561"/>
      <c r="CJ12" s="561"/>
      <c r="CK12" s="561"/>
      <c r="CL12" s="561"/>
      <c r="CM12" s="561"/>
      <c r="CN12" s="561"/>
      <c r="CO12" s="561"/>
      <c r="CP12" s="561"/>
      <c r="CQ12" s="561"/>
      <c r="CR12" s="561"/>
      <c r="CS12" s="561"/>
      <c r="CT12" s="561"/>
      <c r="CU12" s="561"/>
      <c r="CV12" s="561"/>
      <c r="CW12" s="561"/>
      <c r="CX12" s="561"/>
      <c r="CY12" s="561"/>
      <c r="CZ12" s="561"/>
      <c r="DA12" s="561"/>
      <c r="DB12" s="561"/>
      <c r="DC12" s="561"/>
      <c r="DD12" s="561"/>
      <c r="DE12" s="561"/>
      <c r="DF12" s="561"/>
      <c r="DG12" s="561"/>
      <c r="DH12" s="561"/>
      <c r="DI12" s="561"/>
      <c r="DJ12" s="561"/>
      <c r="DK12" s="561"/>
      <c r="DL12" s="561"/>
      <c r="DM12" s="561"/>
      <c r="DN12" s="561"/>
      <c r="DO12" s="561"/>
      <c r="DP12" s="561"/>
      <c r="DQ12" s="561"/>
      <c r="DR12" s="561"/>
      <c r="DS12" s="561"/>
      <c r="DT12" s="561"/>
      <c r="DU12" s="561"/>
      <c r="DV12" s="561"/>
      <c r="DW12" s="561"/>
      <c r="DX12" s="561"/>
      <c r="DY12" s="561"/>
      <c r="DZ12" s="561"/>
      <c r="EA12" s="561"/>
      <c r="EB12" s="561"/>
      <c r="EC12" s="561"/>
      <c r="ED12" s="561"/>
      <c r="EE12" s="561"/>
      <c r="EF12" s="561"/>
      <c r="EG12" s="561"/>
      <c r="EH12" s="561"/>
      <c r="EI12" s="561"/>
      <c r="EJ12" s="561"/>
      <c r="EK12" s="561"/>
      <c r="EL12" s="561"/>
      <c r="EM12" s="561"/>
      <c r="EN12" s="561"/>
      <c r="EO12" s="561"/>
      <c r="EP12" s="561"/>
      <c r="EQ12" s="561"/>
      <c r="ER12" s="561"/>
      <c r="ES12" s="561"/>
      <c r="ET12" s="561"/>
      <c r="EU12" s="561"/>
      <c r="EV12" s="561"/>
      <c r="EW12" s="561"/>
      <c r="EX12" s="561"/>
      <c r="EY12" s="561"/>
      <c r="EZ12" s="561"/>
      <c r="FA12" s="561"/>
      <c r="FB12" s="561"/>
      <c r="FC12" s="561"/>
      <c r="FD12" s="561"/>
      <c r="FE12" s="561"/>
      <c r="FF12" s="561"/>
      <c r="FG12" s="561"/>
      <c r="FH12" s="561"/>
      <c r="FI12" s="561"/>
      <c r="FJ12" s="561"/>
      <c r="FK12" s="561"/>
      <c r="FL12" s="561"/>
      <c r="FM12" s="561"/>
      <c r="FN12" s="561"/>
      <c r="FO12" s="561"/>
      <c r="FP12" s="561"/>
      <c r="FQ12" s="561"/>
      <c r="FR12" s="561"/>
      <c r="FS12" s="561"/>
      <c r="FT12" s="561"/>
      <c r="FU12" s="561"/>
      <c r="FV12" s="561"/>
      <c r="FW12" s="561"/>
      <c r="FX12" s="561"/>
      <c r="FY12" s="561"/>
      <c r="FZ12" s="561"/>
      <c r="GA12" s="561"/>
      <c r="GB12" s="561"/>
      <c r="GC12" s="561"/>
      <c r="GD12" s="561"/>
      <c r="GE12" s="561"/>
      <c r="GF12" s="561"/>
      <c r="GG12" s="561"/>
      <c r="GH12" s="561"/>
      <c r="GI12" s="561"/>
      <c r="GJ12" s="561"/>
      <c r="GK12" s="561"/>
      <c r="GL12" s="561"/>
      <c r="GM12" s="561"/>
      <c r="GN12" s="561"/>
      <c r="GO12" s="561"/>
      <c r="GP12" s="561"/>
      <c r="GQ12" s="561"/>
      <c r="GR12" s="561"/>
      <c r="GS12" s="561"/>
      <c r="GT12" s="561"/>
      <c r="GU12" s="561"/>
      <c r="GV12" s="561"/>
      <c r="GW12" s="561"/>
      <c r="GX12" s="561"/>
      <c r="GY12" s="561"/>
      <c r="GZ12" s="561"/>
      <c r="HA12" s="561"/>
      <c r="HB12" s="561"/>
      <c r="HC12" s="561"/>
      <c r="HD12" s="561"/>
      <c r="HE12" s="561"/>
      <c r="HF12" s="561"/>
      <c r="HG12" s="561"/>
      <c r="HH12" s="561"/>
      <c r="HI12" s="561"/>
      <c r="HJ12" s="561"/>
      <c r="HK12" s="561"/>
      <c r="HL12" s="561"/>
      <c r="HM12" s="561"/>
      <c r="HN12" s="561"/>
      <c r="HO12" s="561"/>
      <c r="HP12" s="561"/>
      <c r="HQ12" s="561"/>
      <c r="HR12" s="561"/>
      <c r="HS12" s="561"/>
      <c r="HT12" s="561"/>
      <c r="HU12" s="561"/>
      <c r="HV12" s="561"/>
      <c r="HW12" s="561"/>
      <c r="HX12" s="561"/>
      <c r="HY12" s="561"/>
      <c r="HZ12" s="561"/>
      <c r="IA12" s="561"/>
      <c r="IB12" s="561"/>
      <c r="IC12" s="561"/>
      <c r="ID12" s="561"/>
      <c r="IE12" s="561"/>
      <c r="IF12" s="561"/>
      <c r="IG12" s="561"/>
      <c r="IH12" s="561"/>
      <c r="II12" s="561"/>
      <c r="IJ12" s="561"/>
      <c r="IK12" s="561"/>
      <c r="IL12" s="561"/>
      <c r="IM12" s="561"/>
      <c r="IN12" s="561"/>
      <c r="IO12" s="561"/>
      <c r="IP12" s="561"/>
      <c r="IQ12" s="561"/>
      <c r="IR12" s="561"/>
      <c r="IS12" s="561"/>
      <c r="IT12" s="561"/>
      <c r="IU12" s="561"/>
      <c r="IV12" s="561"/>
      <c r="IW12" s="561"/>
    </row>
    <row r="13" customFormat="false" ht="12.75" hidden="false" customHeight="false" outlineLevel="1" collapsed="false">
      <c r="A13" s="574" t="s">
        <v>179</v>
      </c>
      <c r="B13" s="575"/>
      <c r="C13" s="576"/>
      <c r="D13" s="554"/>
      <c r="E13" s="555"/>
      <c r="F13" s="556"/>
      <c r="H13" s="577"/>
      <c r="I13" s="558" t="n">
        <f aca="false">IF(D22=0,0,I22/D22)</f>
        <v>1</v>
      </c>
      <c r="J13" s="558" t="n">
        <f aca="false">1-I13</f>
        <v>0</v>
      </c>
      <c r="K13" s="559" t="n">
        <f aca="false">IF(D22=0,0,K22/D22)</f>
        <v>1</v>
      </c>
      <c r="L13" s="559" t="n">
        <f aca="false">1-K13</f>
        <v>0</v>
      </c>
      <c r="M13" s="561"/>
      <c r="N13" s="561"/>
      <c r="O13" s="316" t="n">
        <f aca="false">O12+1</f>
        <v>6</v>
      </c>
      <c r="P13" s="568" t="str">
        <f aca="false">'Plant Configuration'!$J$5</f>
        <v>None</v>
      </c>
      <c r="Q13" s="561"/>
      <c r="R13" s="316" t="n">
        <f aca="false">R12+1</f>
        <v>6</v>
      </c>
      <c r="S13" s="568" t="str">
        <f aca="false">'Plant Configuration'!$J$5</f>
        <v>None</v>
      </c>
      <c r="T13" s="561"/>
      <c r="U13" s="316" t="n">
        <f aca="false">U12+1</f>
        <v>6</v>
      </c>
      <c r="V13" s="568" t="str">
        <f aca="false">'Plant Configuration'!$J$5</f>
        <v>None</v>
      </c>
      <c r="W13" s="561"/>
      <c r="X13" s="561"/>
      <c r="Y13" s="561"/>
      <c r="Z13" s="561"/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561"/>
      <c r="BB13" s="561"/>
      <c r="BC13" s="561"/>
      <c r="BD13" s="561"/>
      <c r="BE13" s="561"/>
      <c r="BF13" s="561"/>
      <c r="BG13" s="561"/>
      <c r="BH13" s="561"/>
      <c r="BI13" s="561"/>
      <c r="BJ13" s="561"/>
      <c r="BK13" s="561"/>
      <c r="BL13" s="561"/>
      <c r="BM13" s="561"/>
      <c r="BN13" s="561"/>
      <c r="BO13" s="561"/>
      <c r="BP13" s="561"/>
      <c r="BQ13" s="561"/>
      <c r="BR13" s="561"/>
      <c r="BS13" s="561"/>
      <c r="BT13" s="561"/>
      <c r="BU13" s="561"/>
      <c r="BV13" s="561"/>
      <c r="BW13" s="561"/>
      <c r="BX13" s="561"/>
      <c r="BY13" s="561"/>
      <c r="BZ13" s="561"/>
      <c r="CA13" s="561"/>
      <c r="CB13" s="561"/>
      <c r="CC13" s="561"/>
      <c r="CD13" s="561"/>
      <c r="CE13" s="561"/>
      <c r="CF13" s="561"/>
      <c r="CG13" s="561"/>
      <c r="CH13" s="561"/>
      <c r="CI13" s="561"/>
      <c r="CJ13" s="561"/>
      <c r="CK13" s="561"/>
      <c r="CL13" s="561"/>
      <c r="CM13" s="561"/>
      <c r="CN13" s="561"/>
      <c r="CO13" s="561"/>
      <c r="CP13" s="561"/>
      <c r="CQ13" s="561"/>
      <c r="CR13" s="561"/>
      <c r="CS13" s="561"/>
      <c r="CT13" s="561"/>
      <c r="CU13" s="561"/>
      <c r="CV13" s="561"/>
      <c r="CW13" s="561"/>
      <c r="CX13" s="561"/>
      <c r="CY13" s="561"/>
      <c r="CZ13" s="561"/>
      <c r="DA13" s="561"/>
      <c r="DB13" s="561"/>
      <c r="DC13" s="561"/>
      <c r="DD13" s="561"/>
      <c r="DE13" s="561"/>
      <c r="DF13" s="561"/>
      <c r="DG13" s="561"/>
      <c r="DH13" s="561"/>
      <c r="DI13" s="561"/>
      <c r="DJ13" s="561"/>
      <c r="DK13" s="561"/>
      <c r="DL13" s="561"/>
      <c r="DM13" s="561"/>
      <c r="DN13" s="561"/>
      <c r="DO13" s="561"/>
      <c r="DP13" s="561"/>
      <c r="DQ13" s="561"/>
      <c r="DR13" s="561"/>
      <c r="DS13" s="561"/>
      <c r="DT13" s="561"/>
      <c r="DU13" s="561"/>
      <c r="DV13" s="561"/>
      <c r="DW13" s="561"/>
      <c r="DX13" s="561"/>
      <c r="DY13" s="561"/>
      <c r="DZ13" s="561"/>
      <c r="EA13" s="561"/>
      <c r="EB13" s="561"/>
      <c r="EC13" s="561"/>
      <c r="ED13" s="561"/>
      <c r="EE13" s="561"/>
      <c r="EF13" s="561"/>
      <c r="EG13" s="561"/>
      <c r="EH13" s="561"/>
      <c r="EI13" s="561"/>
      <c r="EJ13" s="561"/>
      <c r="EK13" s="561"/>
      <c r="EL13" s="561"/>
      <c r="EM13" s="561"/>
      <c r="EN13" s="561"/>
      <c r="EO13" s="561"/>
      <c r="EP13" s="561"/>
      <c r="EQ13" s="561"/>
      <c r="ER13" s="561"/>
      <c r="ES13" s="561"/>
      <c r="ET13" s="561"/>
      <c r="EU13" s="561"/>
      <c r="EV13" s="561"/>
      <c r="EW13" s="561"/>
      <c r="EX13" s="561"/>
      <c r="EY13" s="561"/>
      <c r="EZ13" s="561"/>
      <c r="FA13" s="561"/>
      <c r="FB13" s="561"/>
      <c r="FC13" s="561"/>
      <c r="FD13" s="561"/>
      <c r="FE13" s="561"/>
      <c r="FF13" s="561"/>
      <c r="FG13" s="561"/>
      <c r="FH13" s="561"/>
      <c r="FI13" s="561"/>
      <c r="FJ13" s="561"/>
      <c r="FK13" s="561"/>
      <c r="FL13" s="561"/>
      <c r="FM13" s="561"/>
      <c r="FN13" s="561"/>
      <c r="FO13" s="561"/>
      <c r="FP13" s="561"/>
      <c r="FQ13" s="561"/>
      <c r="FR13" s="561"/>
      <c r="FS13" s="561"/>
      <c r="FT13" s="561"/>
      <c r="FU13" s="561"/>
      <c r="FV13" s="561"/>
      <c r="FW13" s="561"/>
      <c r="FX13" s="561"/>
      <c r="FY13" s="561"/>
      <c r="FZ13" s="561"/>
      <c r="GA13" s="561"/>
      <c r="GB13" s="561"/>
      <c r="GC13" s="561"/>
      <c r="GD13" s="561"/>
      <c r="GE13" s="561"/>
      <c r="GF13" s="561"/>
      <c r="GG13" s="561"/>
      <c r="GH13" s="561"/>
      <c r="GI13" s="561"/>
      <c r="GJ13" s="561"/>
      <c r="GK13" s="561"/>
      <c r="GL13" s="561"/>
      <c r="GM13" s="561"/>
      <c r="GN13" s="561"/>
      <c r="GO13" s="561"/>
      <c r="GP13" s="561"/>
      <c r="GQ13" s="561"/>
      <c r="GR13" s="561"/>
      <c r="GS13" s="561"/>
      <c r="GT13" s="561"/>
      <c r="GU13" s="561"/>
      <c r="GV13" s="561"/>
      <c r="GW13" s="561"/>
      <c r="GX13" s="561"/>
      <c r="GY13" s="561"/>
      <c r="GZ13" s="561"/>
      <c r="HA13" s="561"/>
      <c r="HB13" s="561"/>
      <c r="HC13" s="561"/>
      <c r="HD13" s="561"/>
      <c r="HE13" s="561"/>
      <c r="HF13" s="561"/>
      <c r="HG13" s="561"/>
      <c r="HH13" s="561"/>
      <c r="HI13" s="561"/>
      <c r="HJ13" s="561"/>
      <c r="HK13" s="561"/>
      <c r="HL13" s="561"/>
      <c r="HM13" s="561"/>
      <c r="HN13" s="561"/>
      <c r="HO13" s="561"/>
      <c r="HP13" s="561"/>
      <c r="HQ13" s="561"/>
      <c r="HR13" s="561"/>
      <c r="HS13" s="561"/>
      <c r="HT13" s="561"/>
      <c r="HU13" s="561"/>
      <c r="HV13" s="561"/>
      <c r="HW13" s="561"/>
      <c r="HX13" s="561"/>
      <c r="HY13" s="561"/>
      <c r="HZ13" s="561"/>
      <c r="IA13" s="561"/>
      <c r="IB13" s="561"/>
      <c r="IC13" s="561"/>
      <c r="ID13" s="561"/>
      <c r="IE13" s="561"/>
      <c r="IF13" s="561"/>
      <c r="IG13" s="561"/>
      <c r="IH13" s="561"/>
      <c r="II13" s="561"/>
      <c r="IJ13" s="561"/>
      <c r="IK13" s="561"/>
      <c r="IL13" s="561"/>
      <c r="IM13" s="561"/>
      <c r="IN13" s="561"/>
      <c r="IO13" s="561"/>
      <c r="IP13" s="561"/>
      <c r="IQ13" s="561"/>
      <c r="IR13" s="561"/>
      <c r="IS13" s="561"/>
      <c r="IT13" s="561"/>
      <c r="IU13" s="561"/>
      <c r="IV13" s="561"/>
      <c r="IW13" s="561"/>
    </row>
    <row r="14" customFormat="false" ht="12.75" hidden="false" customHeight="false" outlineLevel="2" collapsed="false">
      <c r="A14" s="316"/>
      <c r="B14" s="569" t="str">
        <f aca="false">'Plant Configuration'!C53</f>
        <v>Travel Expenses/Overtime Meals</v>
      </c>
      <c r="C14" s="44"/>
      <c r="D14" s="578" t="n">
        <f aca="false">IF($O$7=6,0,HLOOKUP($D$5,Plant_Configuration,'Plant Configuration'!A53,FALSE()))+IF($R$7=6,0,HLOOKUP($E$5,Plant_Configuration,'Plant Configuration'!A53,FALSE()))+IF($U$7=6,0,HLOOKUP($F$5,Plant_Configuration,'Plant Configuration'!A53,FALSE()))</f>
        <v>4500</v>
      </c>
      <c r="E14" s="342" t="n">
        <v>0</v>
      </c>
      <c r="F14" s="566" t="n">
        <v>1</v>
      </c>
      <c r="H14" s="316" t="s">
        <v>974</v>
      </c>
      <c r="I14" s="567" t="n">
        <f aca="false">D14-J14</f>
        <v>4500</v>
      </c>
      <c r="J14" s="567" t="n">
        <f aca="false">E14*D14</f>
        <v>0</v>
      </c>
      <c r="K14" s="317" t="n">
        <f aca="false">F14*D14</f>
        <v>4500</v>
      </c>
      <c r="L14" s="317" t="n">
        <f aca="false">D14-K14</f>
        <v>0</v>
      </c>
      <c r="N14" s="45"/>
      <c r="O14" s="316" t="n">
        <f aca="false">O13+1</f>
        <v>7</v>
      </c>
      <c r="P14" s="568" t="str">
        <f aca="false">'Plant Configuration'!$K$5</f>
        <v>GE 6B</v>
      </c>
      <c r="R14" s="316" t="n">
        <f aca="false">R13+1</f>
        <v>7</v>
      </c>
      <c r="S14" s="568" t="str">
        <f aca="false">'Plant Configuration'!$K$5</f>
        <v>GE 6B</v>
      </c>
      <c r="U14" s="316" t="n">
        <f aca="false">U13+1</f>
        <v>7</v>
      </c>
      <c r="V14" s="568" t="str">
        <f aca="false">'Plant Configuration'!$K$5</f>
        <v>GE 6B</v>
      </c>
    </row>
    <row r="15" customFormat="false" ht="12.75" hidden="false" customHeight="false" outlineLevel="2" collapsed="false">
      <c r="A15" s="316"/>
      <c r="B15" s="569" t="str">
        <f aca="false">'Plant Configuration'!C54</f>
        <v>Conferences/Training</v>
      </c>
      <c r="C15" s="44"/>
      <c r="D15" s="578" t="n">
        <f aca="false">IF($O$7=6,0,HLOOKUP($D$5,Plant_Configuration,'Plant Configuration'!A54,FALSE()))+IF($R$7=6,0,HLOOKUP($E$5,Plant_Configuration,'Plant Configuration'!A54,FALSE()))+IF($U$7=6,0,HLOOKUP($F$5,Plant_Configuration,'Plant Configuration'!A54,FALSE()))</f>
        <v>5727.27272727273</v>
      </c>
      <c r="E15" s="342" t="n">
        <v>0</v>
      </c>
      <c r="F15" s="566" t="n">
        <v>1</v>
      </c>
      <c r="H15" s="316" t="s">
        <v>975</v>
      </c>
      <c r="I15" s="567" t="n">
        <f aca="false">D15-J15</f>
        <v>5727.27272727273</v>
      </c>
      <c r="J15" s="567" t="n">
        <f aca="false">E15*D15</f>
        <v>0</v>
      </c>
      <c r="K15" s="317" t="n">
        <f aca="false">F15*D15</f>
        <v>5727.27272727273</v>
      </c>
      <c r="L15" s="317" t="n">
        <f aca="false">D15-K15</f>
        <v>0</v>
      </c>
      <c r="N15" s="45"/>
      <c r="O15" s="316" t="n">
        <f aca="false">O14+1</f>
        <v>8</v>
      </c>
      <c r="P15" s="568" t="str">
        <f aca="false">'Plant Configuration'!$L$5</f>
        <v>BOILERS</v>
      </c>
      <c r="R15" s="316" t="n">
        <f aca="false">R14+1</f>
        <v>8</v>
      </c>
      <c r="S15" s="568" t="str">
        <f aca="false">'Plant Configuration'!$L$5</f>
        <v>BOILERS</v>
      </c>
      <c r="U15" s="316" t="n">
        <f aca="false">U14+1</f>
        <v>8</v>
      </c>
      <c r="V15" s="568" t="str">
        <f aca="false">'Plant Configuration'!$L$5</f>
        <v>BOILERS</v>
      </c>
    </row>
    <row r="16" customFormat="false" ht="12.75" hidden="false" customHeight="false" outlineLevel="2" collapsed="false">
      <c r="A16" s="316"/>
      <c r="B16" s="569" t="str">
        <f aca="false">'Plant Configuration'!C55</f>
        <v>Employees Expense</v>
      </c>
      <c r="C16" s="44"/>
      <c r="D16" s="578" t="n">
        <f aca="false">IF($O$7=6,0,HLOOKUP($D$5,Plant_Configuration,'Plant Configuration'!A55,FALSE()))+IF($R$7=6,0,HLOOKUP($E$5,Plant_Configuration,'Plant Configuration'!A55,FALSE()))+IF($U$7=6,0,HLOOKUP($F$5,Plant_Configuration,'Plant Configuration'!A55,FALSE()))</f>
        <v>3409.09090909091</v>
      </c>
      <c r="E16" s="342" t="n">
        <v>0</v>
      </c>
      <c r="F16" s="566" t="n">
        <v>1</v>
      </c>
      <c r="H16" s="316" t="s">
        <v>976</v>
      </c>
      <c r="I16" s="567" t="n">
        <f aca="false">D16-J16</f>
        <v>3409.09090909091</v>
      </c>
      <c r="J16" s="567" t="n">
        <f aca="false">E16*D16</f>
        <v>0</v>
      </c>
      <c r="K16" s="317" t="n">
        <f aca="false">F16*D16</f>
        <v>3409.09090909091</v>
      </c>
      <c r="L16" s="317" t="n">
        <f aca="false">D16-K16</f>
        <v>0</v>
      </c>
      <c r="N16" s="45"/>
      <c r="O16" s="316" t="n">
        <f aca="false">O15+1</f>
        <v>9</v>
      </c>
      <c r="P16" s="568" t="n">
        <f aca="false">'Plant Configuration'!$N$5</f>
        <v>0</v>
      </c>
      <c r="R16" s="316" t="n">
        <f aca="false">R15+1</f>
        <v>9</v>
      </c>
      <c r="S16" s="568" t="n">
        <f aca="false">'Plant Configuration'!$N$5</f>
        <v>0</v>
      </c>
      <c r="U16" s="316" t="n">
        <f aca="false">U15+1</f>
        <v>9</v>
      </c>
      <c r="V16" s="568" t="n">
        <f aca="false">'Plant Configuration'!$N$5</f>
        <v>0</v>
      </c>
    </row>
    <row r="17" customFormat="false" ht="12.75" hidden="false" customHeight="false" outlineLevel="2" collapsed="false">
      <c r="A17" s="316"/>
      <c r="B17" s="569" t="str">
        <f aca="false">'Plant Configuration'!C56</f>
        <v>Interviews/Relocations</v>
      </c>
      <c r="C17" s="44"/>
      <c r="D17" s="578" t="n">
        <f aca="false">IF($O$7=6,0,HLOOKUP($D$5,Plant_Configuration,'Plant Configuration'!A56,FALSE()))+IF($R$7=6,0,HLOOKUP($E$5,Plant_Configuration,'Plant Configuration'!A56,FALSE()))+IF($U$7=6,0,HLOOKUP($F$5,Plant_Configuration,'Plant Configuration'!A56,FALSE()))</f>
        <v>3750</v>
      </c>
      <c r="E17" s="342" t="n">
        <v>0</v>
      </c>
      <c r="F17" s="566" t="n">
        <v>1</v>
      </c>
      <c r="H17" s="316"/>
      <c r="I17" s="567" t="n">
        <f aca="false">D17-J17</f>
        <v>3750</v>
      </c>
      <c r="J17" s="567" t="n">
        <f aca="false">E17*D17</f>
        <v>0</v>
      </c>
      <c r="K17" s="317" t="n">
        <f aca="false">F17*D17</f>
        <v>3750</v>
      </c>
      <c r="L17" s="317" t="n">
        <f aca="false">D17-K17</f>
        <v>0</v>
      </c>
      <c r="N17" s="45"/>
      <c r="O17" s="316" t="n">
        <f aca="false">O16+1</f>
        <v>10</v>
      </c>
      <c r="P17" s="568" t="n">
        <f aca="false">'Plant Configuration'!$O$5</f>
        <v>0</v>
      </c>
      <c r="R17" s="316" t="n">
        <f aca="false">R16+1</f>
        <v>10</v>
      </c>
      <c r="S17" s="568" t="n">
        <f aca="false">'Plant Configuration'!$O$5</f>
        <v>0</v>
      </c>
      <c r="U17" s="316" t="n">
        <f aca="false">U16+1</f>
        <v>10</v>
      </c>
      <c r="V17" s="568" t="n">
        <f aca="false">'Plant Configuration'!$O$5</f>
        <v>0</v>
      </c>
    </row>
    <row r="18" customFormat="false" ht="12.75" hidden="false" customHeight="false" outlineLevel="2" collapsed="false">
      <c r="A18" s="316"/>
      <c r="B18" s="569" t="str">
        <f aca="false">'Plant Configuration'!C57</f>
        <v>Professional Dues</v>
      </c>
      <c r="C18" s="44"/>
      <c r="D18" s="578" t="n">
        <f aca="false">IF($O$7=6,0,HLOOKUP($D$5,Plant_Configuration,'Plant Configuration'!A57,FALSE()))+IF($R$7=6,0,HLOOKUP($E$5,Plant_Configuration,'Plant Configuration'!A57,FALSE()))+IF($U$7=6,0,HLOOKUP($F$5,Plant_Configuration,'Plant Configuration'!A57,FALSE()))</f>
        <v>4500</v>
      </c>
      <c r="E18" s="342" t="n">
        <v>0</v>
      </c>
      <c r="F18" s="566" t="n">
        <v>1</v>
      </c>
      <c r="H18" s="316" t="s">
        <v>977</v>
      </c>
      <c r="I18" s="567" t="n">
        <f aca="false">D18-J18</f>
        <v>4500</v>
      </c>
      <c r="J18" s="567" t="n">
        <f aca="false">E18*D18</f>
        <v>0</v>
      </c>
      <c r="K18" s="317" t="n">
        <f aca="false">F18*D18</f>
        <v>4500</v>
      </c>
      <c r="L18" s="317" t="n">
        <f aca="false">D18-K18</f>
        <v>0</v>
      </c>
      <c r="N18" s="45"/>
      <c r="O18" s="316" t="n">
        <f aca="false">O17+1</f>
        <v>11</v>
      </c>
      <c r="P18" s="568" t="n">
        <f aca="false">'Plant Configuration'!$P$5</f>
        <v>0</v>
      </c>
      <c r="R18" s="316" t="n">
        <f aca="false">R17+1</f>
        <v>11</v>
      </c>
      <c r="S18" s="568" t="n">
        <f aca="false">'Plant Configuration'!$P$5</f>
        <v>0</v>
      </c>
      <c r="U18" s="316" t="n">
        <f aca="false">U17+1</f>
        <v>11</v>
      </c>
      <c r="V18" s="568" t="n">
        <f aca="false">'Plant Configuration'!$P$5</f>
        <v>0</v>
      </c>
    </row>
    <row r="19" customFormat="false" ht="12.75" hidden="false" customHeight="false" outlineLevel="2" collapsed="false">
      <c r="A19" s="316"/>
      <c r="B19" s="569" t="str">
        <f aca="false">'Plant Configuration'!C58</f>
        <v>Entertainment Expense</v>
      </c>
      <c r="C19" s="44"/>
      <c r="D19" s="578" t="n">
        <f aca="false">IF($O$7=6,0,HLOOKUP($D$5,Plant_Configuration,'Plant Configuration'!A58,FALSE()))+IF($R$7=6,0,HLOOKUP($E$5,Plant_Configuration,'Plant Configuration'!A58,FALSE()))+IF($U$7=6,0,HLOOKUP($F$5,Plant_Configuration,'Plant Configuration'!A58,FALSE()))</f>
        <v>763.636363636364</v>
      </c>
      <c r="E19" s="342" t="n">
        <v>0</v>
      </c>
      <c r="F19" s="566" t="n">
        <v>1</v>
      </c>
      <c r="H19" s="316" t="s">
        <v>978</v>
      </c>
      <c r="I19" s="567" t="n">
        <f aca="false">D19-J19</f>
        <v>763.636363636364</v>
      </c>
      <c r="J19" s="567" t="n">
        <f aca="false">E19*D19</f>
        <v>0</v>
      </c>
      <c r="K19" s="317" t="n">
        <f aca="false">F19*D19</f>
        <v>763.636363636364</v>
      </c>
      <c r="L19" s="317" t="n">
        <f aca="false">D19-K19</f>
        <v>0</v>
      </c>
      <c r="N19" s="45"/>
      <c r="O19" s="316" t="n">
        <f aca="false">O18+1</f>
        <v>12</v>
      </c>
      <c r="P19" s="568" t="n">
        <f aca="false">'Plant Configuration'!$Q$5</f>
        <v>0</v>
      </c>
      <c r="R19" s="316" t="n">
        <f aca="false">R18+1</f>
        <v>12</v>
      </c>
      <c r="S19" s="568" t="n">
        <f aca="false">'Plant Configuration'!$Q$5</f>
        <v>0</v>
      </c>
      <c r="U19" s="316" t="n">
        <f aca="false">U18+1</f>
        <v>12</v>
      </c>
      <c r="V19" s="568" t="n">
        <f aca="false">'Plant Configuration'!$Q$5</f>
        <v>0</v>
      </c>
    </row>
    <row r="20" customFormat="false" ht="12.75" hidden="false" customHeight="false" outlineLevel="2" collapsed="false">
      <c r="A20" s="316"/>
      <c r="B20" s="569" t="str">
        <f aca="false">'Plant Configuration'!C59</f>
        <v>Daily Meal Allowance</v>
      </c>
      <c r="C20" s="44"/>
      <c r="D20" s="578" t="n">
        <f aca="false">IF($O$7=6,0,HLOOKUP($D$5,Plant_Configuration,'Plant Configuration'!A59,FALSE()))+IF($R$7=6,0,HLOOKUP($E$5,Plant_Configuration,'Plant Configuration'!A59,FALSE()))+IF($U$7=6,0,HLOOKUP($F$5,Plant_Configuration,'Plant Configuration'!A59,FALSE()))</f>
        <v>0</v>
      </c>
      <c r="E20" s="342" t="n">
        <v>0</v>
      </c>
      <c r="F20" s="566" t="n">
        <v>1</v>
      </c>
      <c r="H20" s="316" t="s">
        <v>979</v>
      </c>
      <c r="I20" s="567" t="n">
        <f aca="false">D20-J20</f>
        <v>0</v>
      </c>
      <c r="J20" s="567" t="n">
        <f aca="false">E20*D20</f>
        <v>0</v>
      </c>
      <c r="K20" s="317" t="n">
        <f aca="false">F20*D20</f>
        <v>0</v>
      </c>
      <c r="L20" s="317" t="n">
        <f aca="false">D20-K20</f>
        <v>0</v>
      </c>
      <c r="N20" s="45"/>
      <c r="O20" s="316" t="n">
        <f aca="false">O19+1</f>
        <v>13</v>
      </c>
      <c r="P20" s="568" t="n">
        <f aca="false">'Plant Configuration'!$R$5</f>
        <v>0</v>
      </c>
      <c r="R20" s="316" t="n">
        <f aca="false">R19+1</f>
        <v>13</v>
      </c>
      <c r="S20" s="568" t="n">
        <f aca="false">'Plant Configuration'!$R$5</f>
        <v>0</v>
      </c>
      <c r="U20" s="316" t="n">
        <f aca="false">U19+1</f>
        <v>13</v>
      </c>
      <c r="V20" s="568" t="n">
        <f aca="false">'Plant Configuration'!$R$5</f>
        <v>0</v>
      </c>
    </row>
    <row r="21" customFormat="false" ht="12.75" hidden="false" customHeight="false" outlineLevel="2" collapsed="false">
      <c r="A21" s="316"/>
      <c r="B21" s="569" t="str">
        <f aca="false">'Plant Configuration'!C60</f>
        <v>Other</v>
      </c>
      <c r="C21" s="44"/>
      <c r="D21" s="578" t="n">
        <f aca="false">IF($O$7=6,0,HLOOKUP($D$5,Plant_Configuration,'Plant Configuration'!A60,FALSE()))+IF($R$7=6,0,HLOOKUP($E$5,Plant_Configuration,'Plant Configuration'!A60,FALSE()))+IF($U$7=6,0,HLOOKUP($F$5,Plant_Configuration,'Plant Configuration'!A60,FALSE()))</f>
        <v>0</v>
      </c>
      <c r="E21" s="342" t="n">
        <v>0</v>
      </c>
      <c r="F21" s="566"/>
      <c r="H21" s="316"/>
      <c r="I21" s="567" t="n">
        <f aca="false">D21-J21</f>
        <v>0</v>
      </c>
      <c r="J21" s="567" t="n">
        <f aca="false">E21*D21</f>
        <v>0</v>
      </c>
      <c r="K21" s="317"/>
      <c r="L21" s="317"/>
      <c r="N21" s="45"/>
      <c r="O21" s="316" t="n">
        <f aca="false">O20+1</f>
        <v>14</v>
      </c>
      <c r="P21" s="568" t="n">
        <f aca="false">'Plant Configuration'!$S$5</f>
        <v>0</v>
      </c>
      <c r="R21" s="316" t="n">
        <f aca="false">R20+1</f>
        <v>14</v>
      </c>
      <c r="S21" s="568" t="n">
        <f aca="false">'Plant Configuration'!$S$5</f>
        <v>0</v>
      </c>
      <c r="U21" s="316" t="n">
        <f aca="false">U20+1</f>
        <v>14</v>
      </c>
      <c r="V21" s="568" t="n">
        <f aca="false">'Plant Configuration'!$S$5</f>
        <v>0</v>
      </c>
    </row>
    <row r="22" customFormat="false" ht="13.5" hidden="false" customHeight="false" outlineLevel="1" collapsed="false">
      <c r="A22" s="579"/>
      <c r="B22" s="570" t="s">
        <v>431</v>
      </c>
      <c r="C22" s="0"/>
      <c r="D22" s="571" t="n">
        <f aca="false">SUBTOTAL(9,D14:D20)</f>
        <v>22650</v>
      </c>
      <c r="E22" s="572"/>
      <c r="F22" s="573"/>
      <c r="H22" s="316" t="s">
        <v>980</v>
      </c>
      <c r="I22" s="571" t="n">
        <f aca="false">SUBTOTAL(9,I14:I20)</f>
        <v>22650</v>
      </c>
      <c r="J22" s="571" t="n">
        <f aca="false">SUBTOTAL(9,J14:J20)</f>
        <v>0</v>
      </c>
      <c r="K22" s="571" t="n">
        <f aca="false">SUBTOTAL(9,K14:K20)</f>
        <v>22650</v>
      </c>
      <c r="L22" s="571" t="n">
        <f aca="false">SUBTOTAL(9,L14:L20)</f>
        <v>0</v>
      </c>
      <c r="M22" s="561"/>
      <c r="N22" s="561"/>
      <c r="O22" s="580" t="n">
        <f aca="false">O21+1</f>
        <v>15</v>
      </c>
      <c r="P22" s="581" t="n">
        <f aca="false">'Plant Configuration'!$T$5</f>
        <v>0</v>
      </c>
      <c r="Q22" s="561"/>
      <c r="R22" s="580" t="n">
        <f aca="false">R21+1</f>
        <v>15</v>
      </c>
      <c r="S22" s="581" t="n">
        <f aca="false">'Plant Configuration'!$T$5</f>
        <v>0</v>
      </c>
      <c r="T22" s="561"/>
      <c r="U22" s="580" t="n">
        <f aca="false">U21+1</f>
        <v>15</v>
      </c>
      <c r="V22" s="581" t="n">
        <f aca="false">'Plant Configuration'!$T$5</f>
        <v>0</v>
      </c>
      <c r="W22" s="561"/>
      <c r="X22" s="561"/>
      <c r="Y22" s="561"/>
      <c r="Z22" s="561"/>
      <c r="AA22" s="561"/>
      <c r="AB22" s="561"/>
      <c r="AC22" s="561"/>
      <c r="AD22" s="561"/>
      <c r="AE22" s="561"/>
      <c r="AF22" s="561"/>
      <c r="AG22" s="561"/>
      <c r="AH22" s="561"/>
      <c r="AI22" s="561"/>
      <c r="AJ22" s="561"/>
      <c r="AK22" s="561"/>
      <c r="AL22" s="561"/>
      <c r="AM22" s="561"/>
      <c r="AN22" s="561"/>
      <c r="AO22" s="561"/>
      <c r="AP22" s="561"/>
      <c r="AQ22" s="561"/>
      <c r="AR22" s="561"/>
      <c r="AS22" s="561"/>
      <c r="AT22" s="561"/>
      <c r="AU22" s="561"/>
      <c r="AV22" s="561"/>
      <c r="AW22" s="561"/>
      <c r="AX22" s="561"/>
      <c r="AY22" s="561"/>
      <c r="AZ22" s="561"/>
      <c r="BA22" s="561"/>
      <c r="BB22" s="561"/>
      <c r="BC22" s="561"/>
      <c r="BD22" s="561"/>
      <c r="BE22" s="561"/>
      <c r="BF22" s="561"/>
      <c r="BG22" s="561"/>
      <c r="BH22" s="561"/>
      <c r="BI22" s="561"/>
      <c r="BJ22" s="561"/>
      <c r="BK22" s="561"/>
      <c r="BL22" s="561"/>
      <c r="BM22" s="561"/>
      <c r="BN22" s="561"/>
      <c r="BO22" s="561"/>
      <c r="BP22" s="561"/>
      <c r="BQ22" s="561"/>
      <c r="BR22" s="561"/>
      <c r="BS22" s="561"/>
      <c r="BT22" s="561"/>
      <c r="BU22" s="561"/>
      <c r="BV22" s="561"/>
      <c r="BW22" s="561"/>
      <c r="BX22" s="561"/>
      <c r="BY22" s="561"/>
      <c r="BZ22" s="561"/>
      <c r="CA22" s="561"/>
      <c r="CB22" s="561"/>
      <c r="CC22" s="561"/>
      <c r="CD22" s="561"/>
      <c r="CE22" s="561"/>
      <c r="CF22" s="561"/>
      <c r="CG22" s="561"/>
      <c r="CH22" s="561"/>
      <c r="CI22" s="561"/>
      <c r="CJ22" s="561"/>
      <c r="CK22" s="561"/>
      <c r="CL22" s="561"/>
      <c r="CM22" s="561"/>
      <c r="CN22" s="561"/>
      <c r="CO22" s="561"/>
      <c r="CP22" s="561"/>
      <c r="CQ22" s="561"/>
      <c r="CR22" s="561"/>
      <c r="CS22" s="561"/>
      <c r="CT22" s="561"/>
      <c r="CU22" s="561"/>
      <c r="CV22" s="561"/>
      <c r="CW22" s="561"/>
      <c r="CX22" s="561"/>
      <c r="CY22" s="561"/>
      <c r="CZ22" s="561"/>
      <c r="DA22" s="561"/>
      <c r="DB22" s="561"/>
      <c r="DC22" s="561"/>
      <c r="DD22" s="561"/>
      <c r="DE22" s="561"/>
      <c r="DF22" s="561"/>
      <c r="DG22" s="561"/>
      <c r="DH22" s="561"/>
      <c r="DI22" s="561"/>
      <c r="DJ22" s="561"/>
      <c r="DK22" s="561"/>
      <c r="DL22" s="561"/>
      <c r="DM22" s="561"/>
      <c r="DN22" s="561"/>
      <c r="DO22" s="561"/>
      <c r="DP22" s="561"/>
      <c r="DQ22" s="561"/>
      <c r="DR22" s="561"/>
      <c r="DS22" s="561"/>
      <c r="DT22" s="561"/>
      <c r="DU22" s="561"/>
      <c r="DV22" s="561"/>
      <c r="DW22" s="561"/>
      <c r="DX22" s="561"/>
      <c r="DY22" s="561"/>
      <c r="DZ22" s="561"/>
      <c r="EA22" s="561"/>
      <c r="EB22" s="561"/>
      <c r="EC22" s="561"/>
      <c r="ED22" s="561"/>
      <c r="EE22" s="561"/>
      <c r="EF22" s="561"/>
      <c r="EG22" s="561"/>
      <c r="EH22" s="561"/>
      <c r="EI22" s="561"/>
      <c r="EJ22" s="561"/>
      <c r="EK22" s="561"/>
      <c r="EL22" s="561"/>
      <c r="EM22" s="561"/>
      <c r="EN22" s="561"/>
      <c r="EO22" s="561"/>
      <c r="EP22" s="561"/>
      <c r="EQ22" s="561"/>
      <c r="ER22" s="561"/>
      <c r="ES22" s="561"/>
      <c r="ET22" s="561"/>
      <c r="EU22" s="561"/>
      <c r="EV22" s="561"/>
      <c r="EW22" s="561"/>
      <c r="EX22" s="561"/>
      <c r="EY22" s="561"/>
      <c r="EZ22" s="561"/>
      <c r="FA22" s="561"/>
      <c r="FB22" s="561"/>
      <c r="FC22" s="561"/>
      <c r="FD22" s="561"/>
      <c r="FE22" s="561"/>
      <c r="FF22" s="561"/>
      <c r="FG22" s="561"/>
      <c r="FH22" s="561"/>
      <c r="FI22" s="561"/>
      <c r="FJ22" s="561"/>
      <c r="FK22" s="561"/>
      <c r="FL22" s="561"/>
      <c r="FM22" s="561"/>
      <c r="FN22" s="561"/>
      <c r="FO22" s="561"/>
      <c r="FP22" s="561"/>
      <c r="FQ22" s="561"/>
      <c r="FR22" s="561"/>
      <c r="FS22" s="561"/>
      <c r="FT22" s="561"/>
      <c r="FU22" s="561"/>
      <c r="FV22" s="561"/>
      <c r="FW22" s="561"/>
      <c r="FX22" s="561"/>
      <c r="FY22" s="561"/>
      <c r="FZ22" s="561"/>
      <c r="GA22" s="561"/>
      <c r="GB22" s="561"/>
      <c r="GC22" s="561"/>
      <c r="GD22" s="561"/>
      <c r="GE22" s="561"/>
      <c r="GF22" s="561"/>
      <c r="GG22" s="561"/>
      <c r="GH22" s="561"/>
      <c r="GI22" s="561"/>
      <c r="GJ22" s="561"/>
      <c r="GK22" s="561"/>
      <c r="GL22" s="561"/>
      <c r="GM22" s="561"/>
      <c r="GN22" s="561"/>
      <c r="GO22" s="561"/>
      <c r="GP22" s="561"/>
      <c r="GQ22" s="561"/>
      <c r="GR22" s="561"/>
      <c r="GS22" s="561"/>
      <c r="GT22" s="561"/>
      <c r="GU22" s="561"/>
      <c r="GV22" s="561"/>
      <c r="GW22" s="561"/>
      <c r="GX22" s="561"/>
      <c r="GY22" s="561"/>
      <c r="GZ22" s="561"/>
      <c r="HA22" s="561"/>
      <c r="HB22" s="561"/>
      <c r="HC22" s="561"/>
      <c r="HD22" s="561"/>
      <c r="HE22" s="561"/>
      <c r="HF22" s="561"/>
      <c r="HG22" s="561"/>
      <c r="HH22" s="561"/>
      <c r="HI22" s="561"/>
      <c r="HJ22" s="561"/>
      <c r="HK22" s="561"/>
      <c r="HL22" s="561"/>
      <c r="HM22" s="561"/>
      <c r="HN22" s="561"/>
      <c r="HO22" s="561"/>
      <c r="HP22" s="561"/>
      <c r="HQ22" s="561"/>
      <c r="HR22" s="561"/>
      <c r="HS22" s="561"/>
      <c r="HT22" s="561"/>
      <c r="HU22" s="561"/>
      <c r="HV22" s="561"/>
      <c r="HW22" s="561"/>
      <c r="HX22" s="561"/>
      <c r="HY22" s="561"/>
      <c r="HZ22" s="561"/>
      <c r="IA22" s="561"/>
      <c r="IB22" s="561"/>
      <c r="IC22" s="561"/>
      <c r="ID22" s="561"/>
      <c r="IE22" s="561"/>
      <c r="IF22" s="561"/>
      <c r="IG22" s="561"/>
      <c r="IH22" s="561"/>
      <c r="II22" s="561"/>
      <c r="IJ22" s="561"/>
      <c r="IK22" s="561"/>
      <c r="IL22" s="561"/>
      <c r="IM22" s="561"/>
      <c r="IN22" s="561"/>
      <c r="IO22" s="561"/>
      <c r="IP22" s="561"/>
      <c r="IQ22" s="561"/>
      <c r="IR22" s="561"/>
      <c r="IS22" s="561"/>
      <c r="IT22" s="561"/>
      <c r="IU22" s="561"/>
      <c r="IV22" s="561"/>
      <c r="IW22" s="561"/>
    </row>
    <row r="23" customFormat="false" ht="12.75" hidden="false" customHeight="false" outlineLevel="1" collapsed="false">
      <c r="A23" s="574" t="s">
        <v>981</v>
      </c>
      <c r="B23" s="575"/>
      <c r="C23" s="576"/>
      <c r="D23" s="554"/>
      <c r="E23" s="555"/>
      <c r="F23" s="556"/>
      <c r="H23" s="577"/>
      <c r="I23" s="558" t="n">
        <f aca="false">IF(D26&lt;&gt;0,I26/D26,0)</f>
        <v>0</v>
      </c>
      <c r="J23" s="558" t="n">
        <f aca="false">1-I23</f>
        <v>1</v>
      </c>
      <c r="K23" s="559" t="n">
        <f aca="false">IF(D26&lt;&gt;0,K26/D26,0)</f>
        <v>0</v>
      </c>
      <c r="L23" s="559" t="n">
        <f aca="false">1-K23</f>
        <v>1</v>
      </c>
      <c r="M23" s="561"/>
      <c r="N23" s="561"/>
      <c r="O23" s="561"/>
      <c r="P23" s="561"/>
      <c r="Q23" s="561"/>
      <c r="R23" s="561"/>
      <c r="S23" s="561"/>
      <c r="T23" s="561"/>
      <c r="U23" s="561"/>
      <c r="V23" s="561"/>
      <c r="W23" s="561"/>
      <c r="X23" s="561"/>
      <c r="Y23" s="561"/>
      <c r="Z23" s="561"/>
      <c r="AA23" s="561"/>
      <c r="AB23" s="561"/>
      <c r="AC23" s="561"/>
      <c r="AD23" s="561"/>
      <c r="AE23" s="561"/>
      <c r="AF23" s="561"/>
      <c r="AG23" s="561"/>
      <c r="AH23" s="561"/>
      <c r="AI23" s="561"/>
      <c r="AJ23" s="561"/>
      <c r="AK23" s="561"/>
      <c r="AL23" s="561"/>
      <c r="AM23" s="561"/>
      <c r="AN23" s="561"/>
      <c r="AO23" s="561"/>
      <c r="AP23" s="561"/>
      <c r="AQ23" s="561"/>
      <c r="AR23" s="561"/>
      <c r="AS23" s="561"/>
      <c r="AT23" s="561"/>
      <c r="AU23" s="561"/>
      <c r="AV23" s="561"/>
      <c r="AW23" s="561"/>
      <c r="AX23" s="561"/>
      <c r="AY23" s="561"/>
      <c r="AZ23" s="561"/>
      <c r="BA23" s="561"/>
      <c r="BB23" s="561"/>
      <c r="BC23" s="561"/>
      <c r="BD23" s="561"/>
      <c r="BE23" s="561"/>
      <c r="BF23" s="561"/>
      <c r="BG23" s="561"/>
      <c r="BH23" s="561"/>
      <c r="BI23" s="561"/>
      <c r="BJ23" s="561"/>
      <c r="BK23" s="561"/>
      <c r="BL23" s="561"/>
      <c r="BM23" s="561"/>
      <c r="BN23" s="561"/>
      <c r="BO23" s="561"/>
      <c r="BP23" s="561"/>
      <c r="BQ23" s="561"/>
      <c r="BR23" s="561"/>
      <c r="BS23" s="561"/>
      <c r="BT23" s="561"/>
      <c r="BU23" s="561"/>
      <c r="BV23" s="561"/>
      <c r="BW23" s="561"/>
      <c r="BX23" s="561"/>
      <c r="BY23" s="561"/>
      <c r="BZ23" s="561"/>
      <c r="CA23" s="561"/>
      <c r="CB23" s="561"/>
      <c r="CC23" s="561"/>
      <c r="CD23" s="561"/>
      <c r="CE23" s="561"/>
      <c r="CF23" s="561"/>
      <c r="CG23" s="561"/>
      <c r="CH23" s="561"/>
      <c r="CI23" s="561"/>
      <c r="CJ23" s="561"/>
      <c r="CK23" s="561"/>
      <c r="CL23" s="561"/>
      <c r="CM23" s="561"/>
      <c r="CN23" s="561"/>
      <c r="CO23" s="561"/>
      <c r="CP23" s="561"/>
      <c r="CQ23" s="561"/>
      <c r="CR23" s="561"/>
      <c r="CS23" s="561"/>
      <c r="CT23" s="561"/>
      <c r="CU23" s="561"/>
      <c r="CV23" s="561"/>
      <c r="CW23" s="561"/>
      <c r="CX23" s="561"/>
      <c r="CY23" s="561"/>
      <c r="CZ23" s="561"/>
      <c r="DA23" s="561"/>
      <c r="DB23" s="561"/>
      <c r="DC23" s="561"/>
      <c r="DD23" s="561"/>
      <c r="DE23" s="561"/>
      <c r="DF23" s="561"/>
      <c r="DG23" s="561"/>
      <c r="DH23" s="561"/>
      <c r="DI23" s="561"/>
      <c r="DJ23" s="561"/>
      <c r="DK23" s="561"/>
      <c r="DL23" s="561"/>
      <c r="DM23" s="561"/>
      <c r="DN23" s="561"/>
      <c r="DO23" s="561"/>
      <c r="DP23" s="561"/>
      <c r="DQ23" s="561"/>
      <c r="DR23" s="561"/>
      <c r="DS23" s="561"/>
      <c r="DT23" s="561"/>
      <c r="DU23" s="561"/>
      <c r="DV23" s="561"/>
      <c r="DW23" s="561"/>
      <c r="DX23" s="561"/>
      <c r="DY23" s="561"/>
      <c r="DZ23" s="561"/>
      <c r="EA23" s="561"/>
      <c r="EB23" s="561"/>
      <c r="EC23" s="561"/>
      <c r="ED23" s="561"/>
      <c r="EE23" s="561"/>
      <c r="EF23" s="561"/>
      <c r="EG23" s="561"/>
      <c r="EH23" s="561"/>
      <c r="EI23" s="561"/>
      <c r="EJ23" s="561"/>
      <c r="EK23" s="561"/>
      <c r="EL23" s="561"/>
      <c r="EM23" s="561"/>
      <c r="EN23" s="561"/>
      <c r="EO23" s="561"/>
      <c r="EP23" s="561"/>
      <c r="EQ23" s="561"/>
      <c r="ER23" s="561"/>
      <c r="ES23" s="561"/>
      <c r="ET23" s="561"/>
      <c r="EU23" s="561"/>
      <c r="EV23" s="561"/>
      <c r="EW23" s="561"/>
      <c r="EX23" s="561"/>
      <c r="EY23" s="561"/>
      <c r="EZ23" s="561"/>
      <c r="FA23" s="561"/>
      <c r="FB23" s="561"/>
      <c r="FC23" s="561"/>
      <c r="FD23" s="561"/>
      <c r="FE23" s="561"/>
      <c r="FF23" s="561"/>
      <c r="FG23" s="561"/>
      <c r="FH23" s="561"/>
      <c r="FI23" s="561"/>
      <c r="FJ23" s="561"/>
      <c r="FK23" s="561"/>
      <c r="FL23" s="561"/>
      <c r="FM23" s="561"/>
      <c r="FN23" s="561"/>
      <c r="FO23" s="561"/>
      <c r="FP23" s="561"/>
      <c r="FQ23" s="561"/>
      <c r="FR23" s="561"/>
      <c r="FS23" s="561"/>
      <c r="FT23" s="561"/>
      <c r="FU23" s="561"/>
      <c r="FV23" s="561"/>
      <c r="FW23" s="561"/>
      <c r="FX23" s="561"/>
      <c r="FY23" s="561"/>
      <c r="FZ23" s="561"/>
      <c r="GA23" s="561"/>
      <c r="GB23" s="561"/>
      <c r="GC23" s="561"/>
      <c r="GD23" s="561"/>
      <c r="GE23" s="561"/>
      <c r="GF23" s="561"/>
      <c r="GG23" s="561"/>
      <c r="GH23" s="561"/>
      <c r="GI23" s="561"/>
      <c r="GJ23" s="561"/>
      <c r="GK23" s="561"/>
      <c r="GL23" s="561"/>
      <c r="GM23" s="561"/>
      <c r="GN23" s="561"/>
      <c r="GO23" s="561"/>
      <c r="GP23" s="561"/>
      <c r="GQ23" s="561"/>
      <c r="GR23" s="561"/>
      <c r="GS23" s="561"/>
      <c r="GT23" s="561"/>
      <c r="GU23" s="561"/>
      <c r="GV23" s="561"/>
      <c r="GW23" s="561"/>
      <c r="GX23" s="561"/>
      <c r="GY23" s="561"/>
      <c r="GZ23" s="561"/>
      <c r="HA23" s="561"/>
      <c r="HB23" s="561"/>
      <c r="HC23" s="561"/>
      <c r="HD23" s="561"/>
      <c r="HE23" s="561"/>
      <c r="HF23" s="561"/>
      <c r="HG23" s="561"/>
      <c r="HH23" s="561"/>
      <c r="HI23" s="561"/>
      <c r="HJ23" s="561"/>
      <c r="HK23" s="561"/>
      <c r="HL23" s="561"/>
      <c r="HM23" s="561"/>
      <c r="HN23" s="561"/>
      <c r="HO23" s="561"/>
      <c r="HP23" s="561"/>
      <c r="HQ23" s="561"/>
      <c r="HR23" s="561"/>
      <c r="HS23" s="561"/>
      <c r="HT23" s="561"/>
      <c r="HU23" s="561"/>
      <c r="HV23" s="561"/>
      <c r="HW23" s="561"/>
      <c r="HX23" s="561"/>
      <c r="HY23" s="561"/>
      <c r="HZ23" s="561"/>
      <c r="IA23" s="561"/>
      <c r="IB23" s="561"/>
      <c r="IC23" s="561"/>
      <c r="ID23" s="561"/>
      <c r="IE23" s="561"/>
      <c r="IF23" s="561"/>
      <c r="IG23" s="561"/>
      <c r="IH23" s="561"/>
      <c r="II23" s="561"/>
      <c r="IJ23" s="561"/>
      <c r="IK23" s="561"/>
      <c r="IL23" s="561"/>
      <c r="IM23" s="561"/>
      <c r="IN23" s="561"/>
      <c r="IO23" s="561"/>
      <c r="IP23" s="561"/>
      <c r="IQ23" s="561"/>
      <c r="IR23" s="561"/>
      <c r="IS23" s="561"/>
      <c r="IT23" s="561"/>
      <c r="IU23" s="561"/>
      <c r="IV23" s="561"/>
      <c r="IW23" s="561"/>
    </row>
    <row r="24" customFormat="false" ht="12.75" hidden="false" customHeight="false" outlineLevel="1" collapsed="false">
      <c r="A24" s="316"/>
      <c r="B24" s="569" t="str">
        <f aca="false">'Plant Configuration'!C63</f>
        <v>Contract Labor</v>
      </c>
      <c r="C24" s="44"/>
      <c r="D24" s="578" t="n">
        <f aca="false">IF($O$7=6,0,HLOOKUP($D$5,Plant_Configuration,'Plant Configuration'!A63,FALSE()))+IF($R$7=6,0,HLOOKUP($E$5,Plant_Configuration,'Plant Configuration'!A63,FALSE()))+IF($U$7=6,0,HLOOKUP($F$5,Plant_Configuration,'Plant Configuration'!A63,FALSE()))</f>
        <v>0</v>
      </c>
      <c r="E24" s="342" t="n">
        <v>0</v>
      </c>
      <c r="F24" s="566" t="n">
        <v>1</v>
      </c>
      <c r="H24" s="316" t="s">
        <v>982</v>
      </c>
      <c r="I24" s="567" t="n">
        <f aca="false">D24-J24</f>
        <v>0</v>
      </c>
      <c r="J24" s="567" t="n">
        <f aca="false">E24*D24</f>
        <v>0</v>
      </c>
      <c r="K24" s="317" t="n">
        <f aca="false">F24*D24</f>
        <v>0</v>
      </c>
      <c r="L24" s="317" t="n">
        <f aca="false">D24-K24</f>
        <v>0</v>
      </c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1"/>
      <c r="Y24" s="561"/>
      <c r="Z24" s="561"/>
      <c r="AA24" s="561"/>
      <c r="AB24" s="561"/>
      <c r="AC24" s="561"/>
      <c r="AD24" s="561"/>
      <c r="AE24" s="561"/>
      <c r="AF24" s="561"/>
      <c r="AG24" s="561"/>
      <c r="AH24" s="561"/>
      <c r="AI24" s="561"/>
      <c r="AJ24" s="561"/>
      <c r="AK24" s="561"/>
      <c r="AL24" s="561"/>
      <c r="AM24" s="561"/>
      <c r="AN24" s="561"/>
      <c r="AO24" s="561"/>
      <c r="AP24" s="561"/>
      <c r="AQ24" s="561"/>
      <c r="AR24" s="561"/>
      <c r="AS24" s="561"/>
      <c r="AT24" s="561"/>
      <c r="AU24" s="561"/>
      <c r="AV24" s="561"/>
      <c r="AW24" s="561"/>
      <c r="AX24" s="561"/>
      <c r="AY24" s="561"/>
      <c r="AZ24" s="561"/>
      <c r="BA24" s="561"/>
      <c r="BB24" s="561"/>
      <c r="BC24" s="561"/>
      <c r="BD24" s="561"/>
      <c r="BE24" s="561"/>
      <c r="BF24" s="561"/>
      <c r="BG24" s="561"/>
      <c r="BH24" s="561"/>
      <c r="BI24" s="561"/>
      <c r="BJ24" s="561"/>
      <c r="BK24" s="561"/>
      <c r="BL24" s="561"/>
      <c r="BM24" s="561"/>
      <c r="BN24" s="561"/>
      <c r="BO24" s="561"/>
      <c r="BP24" s="561"/>
      <c r="BQ24" s="561"/>
      <c r="BR24" s="561"/>
      <c r="BS24" s="561"/>
      <c r="BT24" s="561"/>
      <c r="BU24" s="561"/>
      <c r="BV24" s="561"/>
      <c r="BW24" s="561"/>
      <c r="BX24" s="561"/>
      <c r="BY24" s="561"/>
      <c r="BZ24" s="561"/>
      <c r="CA24" s="561"/>
      <c r="CB24" s="561"/>
      <c r="CC24" s="561"/>
      <c r="CD24" s="561"/>
      <c r="CE24" s="561"/>
      <c r="CF24" s="561"/>
      <c r="CG24" s="561"/>
      <c r="CH24" s="561"/>
      <c r="CI24" s="561"/>
      <c r="CJ24" s="561"/>
      <c r="CK24" s="561"/>
      <c r="CL24" s="561"/>
      <c r="CM24" s="561"/>
      <c r="CN24" s="561"/>
      <c r="CO24" s="561"/>
      <c r="CP24" s="561"/>
      <c r="CQ24" s="561"/>
      <c r="CR24" s="561"/>
      <c r="CS24" s="561"/>
      <c r="CT24" s="561"/>
      <c r="CU24" s="561"/>
      <c r="CV24" s="561"/>
      <c r="CW24" s="561"/>
      <c r="CX24" s="561"/>
      <c r="CY24" s="561"/>
      <c r="CZ24" s="561"/>
      <c r="DA24" s="561"/>
      <c r="DB24" s="561"/>
      <c r="DC24" s="561"/>
      <c r="DD24" s="561"/>
      <c r="DE24" s="561"/>
      <c r="DF24" s="561"/>
      <c r="DG24" s="561"/>
      <c r="DH24" s="561"/>
      <c r="DI24" s="561"/>
      <c r="DJ24" s="561"/>
      <c r="DK24" s="561"/>
      <c r="DL24" s="561"/>
      <c r="DM24" s="561"/>
      <c r="DN24" s="561"/>
      <c r="DO24" s="561"/>
      <c r="DP24" s="561"/>
      <c r="DQ24" s="561"/>
      <c r="DR24" s="561"/>
      <c r="DS24" s="561"/>
      <c r="DT24" s="561"/>
      <c r="DU24" s="561"/>
      <c r="DV24" s="561"/>
      <c r="DW24" s="561"/>
      <c r="DX24" s="561"/>
      <c r="DY24" s="561"/>
      <c r="DZ24" s="561"/>
      <c r="EA24" s="561"/>
      <c r="EB24" s="561"/>
      <c r="EC24" s="561"/>
      <c r="ED24" s="561"/>
      <c r="EE24" s="561"/>
      <c r="EF24" s="561"/>
      <c r="EG24" s="561"/>
      <c r="EH24" s="561"/>
      <c r="EI24" s="561"/>
      <c r="EJ24" s="561"/>
      <c r="EK24" s="561"/>
      <c r="EL24" s="561"/>
      <c r="EM24" s="561"/>
      <c r="EN24" s="561"/>
      <c r="EO24" s="561"/>
      <c r="EP24" s="561"/>
      <c r="EQ24" s="561"/>
      <c r="ER24" s="561"/>
      <c r="ES24" s="561"/>
      <c r="ET24" s="561"/>
      <c r="EU24" s="561"/>
      <c r="EV24" s="561"/>
      <c r="EW24" s="561"/>
      <c r="EX24" s="561"/>
      <c r="EY24" s="561"/>
      <c r="EZ24" s="561"/>
      <c r="FA24" s="561"/>
      <c r="FB24" s="561"/>
      <c r="FC24" s="561"/>
      <c r="FD24" s="561"/>
      <c r="FE24" s="561"/>
      <c r="FF24" s="561"/>
      <c r="FG24" s="561"/>
      <c r="FH24" s="561"/>
      <c r="FI24" s="561"/>
      <c r="FJ24" s="561"/>
      <c r="FK24" s="561"/>
      <c r="FL24" s="561"/>
      <c r="FM24" s="561"/>
      <c r="FN24" s="561"/>
      <c r="FO24" s="561"/>
      <c r="FP24" s="561"/>
      <c r="FQ24" s="561"/>
      <c r="FR24" s="561"/>
      <c r="FS24" s="561"/>
      <c r="FT24" s="561"/>
      <c r="FU24" s="561"/>
      <c r="FV24" s="561"/>
      <c r="FW24" s="561"/>
      <c r="FX24" s="561"/>
      <c r="FY24" s="561"/>
      <c r="FZ24" s="561"/>
      <c r="GA24" s="561"/>
      <c r="GB24" s="561"/>
      <c r="GC24" s="561"/>
      <c r="GD24" s="561"/>
      <c r="GE24" s="561"/>
      <c r="GF24" s="561"/>
      <c r="GG24" s="561"/>
      <c r="GH24" s="561"/>
      <c r="GI24" s="561"/>
      <c r="GJ24" s="561"/>
      <c r="GK24" s="561"/>
      <c r="GL24" s="561"/>
      <c r="GM24" s="561"/>
      <c r="GN24" s="561"/>
      <c r="GO24" s="561"/>
      <c r="GP24" s="561"/>
      <c r="GQ24" s="561"/>
      <c r="GR24" s="561"/>
      <c r="GS24" s="561"/>
      <c r="GT24" s="561"/>
      <c r="GU24" s="561"/>
      <c r="GV24" s="561"/>
      <c r="GW24" s="561"/>
      <c r="GX24" s="561"/>
      <c r="GY24" s="561"/>
      <c r="GZ24" s="561"/>
      <c r="HA24" s="561"/>
      <c r="HB24" s="561"/>
      <c r="HC24" s="561"/>
      <c r="HD24" s="561"/>
      <c r="HE24" s="561"/>
      <c r="HF24" s="561"/>
      <c r="HG24" s="561"/>
      <c r="HH24" s="561"/>
      <c r="HI24" s="561"/>
      <c r="HJ24" s="561"/>
      <c r="HK24" s="561"/>
      <c r="HL24" s="561"/>
      <c r="HM24" s="561"/>
      <c r="HN24" s="561"/>
      <c r="HO24" s="561"/>
      <c r="HP24" s="561"/>
      <c r="HQ24" s="561"/>
      <c r="HR24" s="561"/>
      <c r="HS24" s="561"/>
      <c r="HT24" s="561"/>
      <c r="HU24" s="561"/>
      <c r="HV24" s="561"/>
      <c r="HW24" s="561"/>
      <c r="HX24" s="561"/>
      <c r="HY24" s="561"/>
      <c r="HZ24" s="561"/>
      <c r="IA24" s="561"/>
      <c r="IB24" s="561"/>
      <c r="IC24" s="561"/>
      <c r="ID24" s="561"/>
      <c r="IE24" s="561"/>
      <c r="IF24" s="561"/>
      <c r="IG24" s="561"/>
      <c r="IH24" s="561"/>
      <c r="II24" s="561"/>
      <c r="IJ24" s="561"/>
      <c r="IK24" s="561"/>
      <c r="IL24" s="561"/>
      <c r="IM24" s="561"/>
      <c r="IN24" s="561"/>
      <c r="IO24" s="561"/>
      <c r="IP24" s="561"/>
      <c r="IQ24" s="561"/>
      <c r="IR24" s="561"/>
      <c r="IS24" s="561"/>
      <c r="IT24" s="561"/>
      <c r="IU24" s="561"/>
      <c r="IV24" s="561"/>
      <c r="IW24" s="561"/>
    </row>
    <row r="25" customFormat="false" ht="12.75" hidden="false" customHeight="false" outlineLevel="1" collapsed="false">
      <c r="A25" s="316"/>
      <c r="B25" s="569" t="str">
        <f aca="false">'Plant Configuration'!C64</f>
        <v>Other</v>
      </c>
      <c r="C25" s="44"/>
      <c r="D25" s="578" t="n">
        <f aca="false">IF($O$7=6,0,HLOOKUP($D$5,Plant_Configuration,'Plant Configuration'!A64,FALSE()))+IF($R$7=6,0,HLOOKUP($E$5,Plant_Configuration,'Plant Configuration'!A64,FALSE()))+IF($U$7=6,0,HLOOKUP($F$5,Plant_Configuration,'Plant Configuration'!A64,FALSE()))</f>
        <v>0</v>
      </c>
      <c r="E25" s="342" t="n">
        <v>0</v>
      </c>
      <c r="F25" s="573"/>
      <c r="H25" s="316"/>
      <c r="I25" s="567" t="n">
        <f aca="false">D25-J25</f>
        <v>0</v>
      </c>
      <c r="J25" s="567" t="n">
        <f aca="false">E25*D25</f>
        <v>0</v>
      </c>
      <c r="K25" s="571"/>
      <c r="L25" s="571"/>
      <c r="M25" s="561"/>
      <c r="N25" s="561"/>
      <c r="O25" s="582" t="n">
        <v>3</v>
      </c>
      <c r="P25" s="582" t="n">
        <v>3</v>
      </c>
      <c r="Q25" s="561"/>
      <c r="R25" s="582" t="n">
        <v>1</v>
      </c>
      <c r="S25" s="582" t="n">
        <v>1</v>
      </c>
      <c r="T25" s="561"/>
      <c r="U25" s="582" t="n">
        <v>1</v>
      </c>
      <c r="V25" s="582" t="n">
        <v>1</v>
      </c>
      <c r="W25" s="561"/>
      <c r="X25" s="561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561"/>
      <c r="BC25" s="561"/>
      <c r="BD25" s="561"/>
      <c r="BE25" s="561"/>
      <c r="BF25" s="561"/>
      <c r="BG25" s="561"/>
      <c r="BH25" s="561"/>
      <c r="BI25" s="561"/>
      <c r="BJ25" s="561"/>
      <c r="BK25" s="561"/>
      <c r="BL25" s="561"/>
      <c r="BM25" s="561"/>
      <c r="BN25" s="561"/>
      <c r="BO25" s="561"/>
      <c r="BP25" s="561"/>
      <c r="BQ25" s="561"/>
      <c r="BR25" s="561"/>
      <c r="BS25" s="561"/>
      <c r="BT25" s="561"/>
      <c r="BU25" s="561"/>
      <c r="BV25" s="561"/>
      <c r="BW25" s="561"/>
      <c r="BX25" s="561"/>
      <c r="BY25" s="561"/>
      <c r="BZ25" s="561"/>
      <c r="CA25" s="561"/>
      <c r="CB25" s="561"/>
      <c r="CC25" s="561"/>
      <c r="CD25" s="561"/>
      <c r="CE25" s="561"/>
      <c r="CF25" s="561"/>
      <c r="CG25" s="561"/>
      <c r="CH25" s="561"/>
      <c r="CI25" s="561"/>
      <c r="CJ25" s="561"/>
      <c r="CK25" s="561"/>
      <c r="CL25" s="561"/>
      <c r="CM25" s="561"/>
      <c r="CN25" s="561"/>
      <c r="CO25" s="561"/>
      <c r="CP25" s="561"/>
      <c r="CQ25" s="561"/>
      <c r="CR25" s="561"/>
      <c r="CS25" s="561"/>
      <c r="CT25" s="561"/>
      <c r="CU25" s="561"/>
      <c r="CV25" s="561"/>
      <c r="CW25" s="561"/>
      <c r="CX25" s="561"/>
      <c r="CY25" s="561"/>
      <c r="CZ25" s="561"/>
      <c r="DA25" s="561"/>
      <c r="DB25" s="561"/>
      <c r="DC25" s="561"/>
      <c r="DD25" s="561"/>
      <c r="DE25" s="561"/>
      <c r="DF25" s="561"/>
      <c r="DG25" s="561"/>
      <c r="DH25" s="561"/>
      <c r="DI25" s="561"/>
      <c r="DJ25" s="561"/>
      <c r="DK25" s="561"/>
      <c r="DL25" s="561"/>
      <c r="DM25" s="561"/>
      <c r="DN25" s="561"/>
      <c r="DO25" s="561"/>
      <c r="DP25" s="561"/>
      <c r="DQ25" s="561"/>
      <c r="DR25" s="561"/>
      <c r="DS25" s="561"/>
      <c r="DT25" s="561"/>
      <c r="DU25" s="561"/>
      <c r="DV25" s="561"/>
      <c r="DW25" s="561"/>
      <c r="DX25" s="561"/>
      <c r="DY25" s="561"/>
      <c r="DZ25" s="561"/>
      <c r="EA25" s="561"/>
      <c r="EB25" s="561"/>
      <c r="EC25" s="561"/>
      <c r="ED25" s="561"/>
      <c r="EE25" s="561"/>
      <c r="EF25" s="561"/>
      <c r="EG25" s="561"/>
      <c r="EH25" s="561"/>
      <c r="EI25" s="561"/>
      <c r="EJ25" s="561"/>
      <c r="EK25" s="561"/>
      <c r="EL25" s="561"/>
      <c r="EM25" s="561"/>
      <c r="EN25" s="561"/>
      <c r="EO25" s="561"/>
      <c r="EP25" s="561"/>
      <c r="EQ25" s="561"/>
      <c r="ER25" s="561"/>
      <c r="ES25" s="561"/>
      <c r="ET25" s="561"/>
      <c r="EU25" s="561"/>
      <c r="EV25" s="561"/>
      <c r="EW25" s="561"/>
      <c r="EX25" s="561"/>
      <c r="EY25" s="561"/>
      <c r="EZ25" s="561"/>
      <c r="FA25" s="561"/>
      <c r="FB25" s="561"/>
      <c r="FC25" s="561"/>
      <c r="FD25" s="561"/>
      <c r="FE25" s="561"/>
      <c r="FF25" s="561"/>
      <c r="FG25" s="561"/>
      <c r="FH25" s="561"/>
      <c r="FI25" s="561"/>
      <c r="FJ25" s="561"/>
      <c r="FK25" s="561"/>
      <c r="FL25" s="561"/>
      <c r="FM25" s="561"/>
      <c r="FN25" s="561"/>
      <c r="FO25" s="561"/>
      <c r="FP25" s="561"/>
      <c r="FQ25" s="561"/>
      <c r="FR25" s="561"/>
      <c r="FS25" s="561"/>
      <c r="FT25" s="561"/>
      <c r="FU25" s="561"/>
      <c r="FV25" s="561"/>
      <c r="FW25" s="561"/>
      <c r="FX25" s="561"/>
      <c r="FY25" s="561"/>
      <c r="FZ25" s="561"/>
      <c r="GA25" s="561"/>
      <c r="GB25" s="561"/>
      <c r="GC25" s="561"/>
      <c r="GD25" s="561"/>
      <c r="GE25" s="561"/>
      <c r="GF25" s="561"/>
      <c r="GG25" s="561"/>
      <c r="GH25" s="561"/>
      <c r="GI25" s="561"/>
      <c r="GJ25" s="561"/>
      <c r="GK25" s="561"/>
      <c r="GL25" s="561"/>
      <c r="GM25" s="561"/>
      <c r="GN25" s="561"/>
      <c r="GO25" s="561"/>
      <c r="GP25" s="561"/>
      <c r="GQ25" s="561"/>
      <c r="GR25" s="561"/>
      <c r="GS25" s="561"/>
      <c r="GT25" s="561"/>
      <c r="GU25" s="561"/>
      <c r="GV25" s="561"/>
      <c r="GW25" s="561"/>
      <c r="GX25" s="561"/>
      <c r="GY25" s="561"/>
      <c r="GZ25" s="561"/>
      <c r="HA25" s="561"/>
      <c r="HB25" s="561"/>
      <c r="HC25" s="561"/>
      <c r="HD25" s="561"/>
      <c r="HE25" s="561"/>
      <c r="HF25" s="561"/>
      <c r="HG25" s="561"/>
      <c r="HH25" s="561"/>
      <c r="HI25" s="561"/>
      <c r="HJ25" s="561"/>
      <c r="HK25" s="561"/>
      <c r="HL25" s="561"/>
      <c r="HM25" s="561"/>
      <c r="HN25" s="561"/>
      <c r="HO25" s="561"/>
      <c r="HP25" s="561"/>
      <c r="HQ25" s="561"/>
      <c r="HR25" s="561"/>
      <c r="HS25" s="561"/>
      <c r="HT25" s="561"/>
      <c r="HU25" s="561"/>
      <c r="HV25" s="561"/>
      <c r="HW25" s="561"/>
      <c r="HX25" s="561"/>
      <c r="HY25" s="561"/>
      <c r="HZ25" s="561"/>
      <c r="IA25" s="561"/>
      <c r="IB25" s="561"/>
      <c r="IC25" s="561"/>
      <c r="ID25" s="561"/>
      <c r="IE25" s="561"/>
      <c r="IF25" s="561"/>
      <c r="IG25" s="561"/>
      <c r="IH25" s="561"/>
      <c r="II25" s="561"/>
      <c r="IJ25" s="561"/>
      <c r="IK25" s="561"/>
      <c r="IL25" s="561"/>
      <c r="IM25" s="561"/>
      <c r="IN25" s="561"/>
      <c r="IO25" s="561"/>
      <c r="IP25" s="561"/>
      <c r="IQ25" s="561"/>
      <c r="IR25" s="561"/>
      <c r="IS25" s="561"/>
      <c r="IT25" s="561"/>
      <c r="IU25" s="561"/>
      <c r="IV25" s="561"/>
      <c r="IW25" s="561"/>
    </row>
    <row r="26" customFormat="false" ht="13.5" hidden="false" customHeight="false" outlineLevel="1" collapsed="false">
      <c r="A26" s="579"/>
      <c r="B26" s="570" t="s">
        <v>431</v>
      </c>
      <c r="C26" s="0"/>
      <c r="D26" s="571" t="n">
        <f aca="false">SUBTOTAL(9,D24:D25)</f>
        <v>0</v>
      </c>
      <c r="E26" s="572"/>
      <c r="F26" s="573"/>
      <c r="H26" s="316" t="s">
        <v>983</v>
      </c>
      <c r="I26" s="571" t="n">
        <f aca="false">SUBTOTAL(9,I24:I25)</f>
        <v>0</v>
      </c>
      <c r="J26" s="571" t="n">
        <f aca="false">SUBTOTAL(9,J24:J25)</f>
        <v>0</v>
      </c>
      <c r="K26" s="571" t="n">
        <f aca="false">SUBTOTAL(9,K24:K25)</f>
        <v>0</v>
      </c>
      <c r="L26" s="571" t="n">
        <f aca="false">SUBTOTAL(9,L24:L25)</f>
        <v>0</v>
      </c>
      <c r="M26" s="561"/>
      <c r="N26" s="561"/>
      <c r="O26" s="551" t="n">
        <f aca="false">INDEX(O27:O41,O25,1)</f>
        <v>2</v>
      </c>
      <c r="P26" s="551" t="str">
        <f aca="false">INDEX(P27:P30,P25,1)</f>
        <v>combined</v>
      </c>
      <c r="Q26" s="561"/>
      <c r="R26" s="551" t="n">
        <f aca="false">INDEX(R27:R41,R25,1)</f>
        <v>0</v>
      </c>
      <c r="S26" s="551" t="n">
        <f aca="false">INDEX(S27:S30,S25,1)</f>
        <v>0</v>
      </c>
      <c r="T26" s="561"/>
      <c r="U26" s="551" t="n">
        <f aca="false">INDEX(U27:U41,U25,1)</f>
        <v>0</v>
      </c>
      <c r="V26" s="551" t="n">
        <f aca="false">INDEX(V27:V30,V25,1)</f>
        <v>0</v>
      </c>
      <c r="W26" s="561"/>
      <c r="X26" s="561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561"/>
      <c r="BC26" s="561"/>
      <c r="BD26" s="561"/>
      <c r="BE26" s="561"/>
      <c r="BF26" s="561"/>
      <c r="BG26" s="561"/>
      <c r="BH26" s="561"/>
      <c r="BI26" s="561"/>
      <c r="BJ26" s="561"/>
      <c r="BK26" s="561"/>
      <c r="BL26" s="561"/>
      <c r="BM26" s="561"/>
      <c r="BN26" s="561"/>
      <c r="BO26" s="561"/>
      <c r="BP26" s="561"/>
      <c r="BQ26" s="561"/>
      <c r="BR26" s="561"/>
      <c r="BS26" s="561"/>
      <c r="BT26" s="561"/>
      <c r="BU26" s="561"/>
      <c r="BV26" s="561"/>
      <c r="BW26" s="561"/>
      <c r="BX26" s="561"/>
      <c r="BY26" s="561"/>
      <c r="BZ26" s="561"/>
      <c r="CA26" s="561"/>
      <c r="CB26" s="561"/>
      <c r="CC26" s="561"/>
      <c r="CD26" s="561"/>
      <c r="CE26" s="561"/>
      <c r="CF26" s="561"/>
      <c r="CG26" s="561"/>
      <c r="CH26" s="561"/>
      <c r="CI26" s="561"/>
      <c r="CJ26" s="561"/>
      <c r="CK26" s="561"/>
      <c r="CL26" s="561"/>
      <c r="CM26" s="561"/>
      <c r="CN26" s="561"/>
      <c r="CO26" s="561"/>
      <c r="CP26" s="561"/>
      <c r="CQ26" s="561"/>
      <c r="CR26" s="561"/>
      <c r="CS26" s="561"/>
      <c r="CT26" s="561"/>
      <c r="CU26" s="561"/>
      <c r="CV26" s="561"/>
      <c r="CW26" s="561"/>
      <c r="CX26" s="561"/>
      <c r="CY26" s="561"/>
      <c r="CZ26" s="561"/>
      <c r="DA26" s="561"/>
      <c r="DB26" s="561"/>
      <c r="DC26" s="561"/>
      <c r="DD26" s="561"/>
      <c r="DE26" s="561"/>
      <c r="DF26" s="561"/>
      <c r="DG26" s="561"/>
      <c r="DH26" s="561"/>
      <c r="DI26" s="561"/>
      <c r="DJ26" s="561"/>
      <c r="DK26" s="561"/>
      <c r="DL26" s="561"/>
      <c r="DM26" s="561"/>
      <c r="DN26" s="561"/>
      <c r="DO26" s="561"/>
      <c r="DP26" s="561"/>
      <c r="DQ26" s="561"/>
      <c r="DR26" s="561"/>
      <c r="DS26" s="561"/>
      <c r="DT26" s="561"/>
      <c r="DU26" s="561"/>
      <c r="DV26" s="561"/>
      <c r="DW26" s="561"/>
      <c r="DX26" s="561"/>
      <c r="DY26" s="561"/>
      <c r="DZ26" s="561"/>
      <c r="EA26" s="561"/>
      <c r="EB26" s="561"/>
      <c r="EC26" s="561"/>
      <c r="ED26" s="561"/>
      <c r="EE26" s="561"/>
      <c r="EF26" s="561"/>
      <c r="EG26" s="561"/>
      <c r="EH26" s="561"/>
      <c r="EI26" s="561"/>
      <c r="EJ26" s="561"/>
      <c r="EK26" s="561"/>
      <c r="EL26" s="561"/>
      <c r="EM26" s="561"/>
      <c r="EN26" s="561"/>
      <c r="EO26" s="561"/>
      <c r="EP26" s="561"/>
      <c r="EQ26" s="561"/>
      <c r="ER26" s="561"/>
      <c r="ES26" s="561"/>
      <c r="ET26" s="561"/>
      <c r="EU26" s="561"/>
      <c r="EV26" s="561"/>
      <c r="EW26" s="561"/>
      <c r="EX26" s="561"/>
      <c r="EY26" s="561"/>
      <c r="EZ26" s="561"/>
      <c r="FA26" s="561"/>
      <c r="FB26" s="561"/>
      <c r="FC26" s="561"/>
      <c r="FD26" s="561"/>
      <c r="FE26" s="561"/>
      <c r="FF26" s="561"/>
      <c r="FG26" s="561"/>
      <c r="FH26" s="561"/>
      <c r="FI26" s="561"/>
      <c r="FJ26" s="561"/>
      <c r="FK26" s="561"/>
      <c r="FL26" s="561"/>
      <c r="FM26" s="561"/>
      <c r="FN26" s="561"/>
      <c r="FO26" s="561"/>
      <c r="FP26" s="561"/>
      <c r="FQ26" s="561"/>
      <c r="FR26" s="561"/>
      <c r="FS26" s="561"/>
      <c r="FT26" s="561"/>
      <c r="FU26" s="561"/>
      <c r="FV26" s="561"/>
      <c r="FW26" s="561"/>
      <c r="FX26" s="561"/>
      <c r="FY26" s="561"/>
      <c r="FZ26" s="561"/>
      <c r="GA26" s="561"/>
      <c r="GB26" s="561"/>
      <c r="GC26" s="561"/>
      <c r="GD26" s="561"/>
      <c r="GE26" s="561"/>
      <c r="GF26" s="561"/>
      <c r="GG26" s="561"/>
      <c r="GH26" s="561"/>
      <c r="GI26" s="561"/>
      <c r="GJ26" s="561"/>
      <c r="GK26" s="561"/>
      <c r="GL26" s="561"/>
      <c r="GM26" s="561"/>
      <c r="GN26" s="561"/>
      <c r="GO26" s="561"/>
      <c r="GP26" s="561"/>
      <c r="GQ26" s="561"/>
      <c r="GR26" s="561"/>
      <c r="GS26" s="561"/>
      <c r="GT26" s="561"/>
      <c r="GU26" s="561"/>
      <c r="GV26" s="561"/>
      <c r="GW26" s="561"/>
      <c r="GX26" s="561"/>
      <c r="GY26" s="561"/>
      <c r="GZ26" s="561"/>
      <c r="HA26" s="561"/>
      <c r="HB26" s="561"/>
      <c r="HC26" s="561"/>
      <c r="HD26" s="561"/>
      <c r="HE26" s="561"/>
      <c r="HF26" s="561"/>
      <c r="HG26" s="561"/>
      <c r="HH26" s="561"/>
      <c r="HI26" s="561"/>
      <c r="HJ26" s="561"/>
      <c r="HK26" s="561"/>
      <c r="HL26" s="561"/>
      <c r="HM26" s="561"/>
      <c r="HN26" s="561"/>
      <c r="HO26" s="561"/>
      <c r="HP26" s="561"/>
      <c r="HQ26" s="561"/>
      <c r="HR26" s="561"/>
      <c r="HS26" s="561"/>
      <c r="HT26" s="561"/>
      <c r="HU26" s="561"/>
      <c r="HV26" s="561"/>
      <c r="HW26" s="561"/>
      <c r="HX26" s="561"/>
      <c r="HY26" s="561"/>
      <c r="HZ26" s="561"/>
      <c r="IA26" s="561"/>
      <c r="IB26" s="561"/>
      <c r="IC26" s="561"/>
      <c r="ID26" s="561"/>
      <c r="IE26" s="561"/>
      <c r="IF26" s="561"/>
      <c r="IG26" s="561"/>
      <c r="IH26" s="561"/>
      <c r="II26" s="561"/>
      <c r="IJ26" s="561"/>
      <c r="IK26" s="561"/>
      <c r="IL26" s="561"/>
      <c r="IM26" s="561"/>
      <c r="IN26" s="561"/>
      <c r="IO26" s="561"/>
      <c r="IP26" s="561"/>
      <c r="IQ26" s="561"/>
      <c r="IR26" s="561"/>
      <c r="IS26" s="561"/>
      <c r="IT26" s="561"/>
      <c r="IU26" s="561"/>
      <c r="IV26" s="561"/>
      <c r="IW26" s="561"/>
    </row>
    <row r="27" customFormat="false" ht="12.75" hidden="false" customHeight="false" outlineLevel="1" collapsed="false">
      <c r="A27" s="574" t="s">
        <v>984</v>
      </c>
      <c r="B27" s="575"/>
      <c r="C27" s="576"/>
      <c r="D27" s="554"/>
      <c r="E27" s="555"/>
      <c r="F27" s="556"/>
      <c r="H27" s="577"/>
      <c r="I27" s="558" t="n">
        <f aca="false">IF(D36=0,0,I36/D36)</f>
        <v>1</v>
      </c>
      <c r="J27" s="558" t="n">
        <f aca="false">1-I27</f>
        <v>0</v>
      </c>
      <c r="K27" s="559" t="n">
        <f aca="false">IF(D36=0,0,K36/D36)</f>
        <v>1</v>
      </c>
      <c r="L27" s="559" t="n">
        <f aca="false">1-K27</f>
        <v>0</v>
      </c>
      <c r="M27" s="561"/>
      <c r="N27" s="561"/>
      <c r="O27" s="583" t="n">
        <v>0</v>
      </c>
      <c r="P27" s="584"/>
      <c r="Q27" s="561"/>
      <c r="R27" s="583" t="n">
        <v>0</v>
      </c>
      <c r="S27" s="584"/>
      <c r="T27" s="561"/>
      <c r="U27" s="583" t="n">
        <v>0</v>
      </c>
      <c r="V27" s="584"/>
      <c r="W27" s="561"/>
      <c r="X27" s="561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561"/>
      <c r="BC27" s="561"/>
      <c r="BD27" s="561"/>
      <c r="BE27" s="561"/>
      <c r="BF27" s="561"/>
      <c r="BG27" s="561"/>
      <c r="BH27" s="561"/>
      <c r="BI27" s="561"/>
      <c r="BJ27" s="561"/>
      <c r="BK27" s="561"/>
      <c r="BL27" s="561"/>
      <c r="BM27" s="561"/>
      <c r="BN27" s="561"/>
      <c r="BO27" s="561"/>
      <c r="BP27" s="561"/>
      <c r="BQ27" s="561"/>
      <c r="BR27" s="561"/>
      <c r="BS27" s="561"/>
      <c r="BT27" s="561"/>
      <c r="BU27" s="561"/>
      <c r="BV27" s="561"/>
      <c r="BW27" s="561"/>
      <c r="BX27" s="561"/>
      <c r="BY27" s="561"/>
      <c r="BZ27" s="561"/>
      <c r="CA27" s="561"/>
      <c r="CB27" s="561"/>
      <c r="CC27" s="561"/>
      <c r="CD27" s="561"/>
      <c r="CE27" s="561"/>
      <c r="CF27" s="561"/>
      <c r="CG27" s="561"/>
      <c r="CH27" s="561"/>
      <c r="CI27" s="561"/>
      <c r="CJ27" s="561"/>
      <c r="CK27" s="561"/>
      <c r="CL27" s="561"/>
      <c r="CM27" s="561"/>
      <c r="CN27" s="561"/>
      <c r="CO27" s="561"/>
      <c r="CP27" s="561"/>
      <c r="CQ27" s="561"/>
      <c r="CR27" s="561"/>
      <c r="CS27" s="561"/>
      <c r="CT27" s="561"/>
      <c r="CU27" s="561"/>
      <c r="CV27" s="561"/>
      <c r="CW27" s="561"/>
      <c r="CX27" s="561"/>
      <c r="CY27" s="561"/>
      <c r="CZ27" s="561"/>
      <c r="DA27" s="561"/>
      <c r="DB27" s="561"/>
      <c r="DC27" s="561"/>
      <c r="DD27" s="561"/>
      <c r="DE27" s="561"/>
      <c r="DF27" s="561"/>
      <c r="DG27" s="561"/>
      <c r="DH27" s="561"/>
      <c r="DI27" s="561"/>
      <c r="DJ27" s="561"/>
      <c r="DK27" s="561"/>
      <c r="DL27" s="561"/>
      <c r="DM27" s="561"/>
      <c r="DN27" s="561"/>
      <c r="DO27" s="561"/>
      <c r="DP27" s="561"/>
      <c r="DQ27" s="561"/>
      <c r="DR27" s="561"/>
      <c r="DS27" s="561"/>
      <c r="DT27" s="561"/>
      <c r="DU27" s="561"/>
      <c r="DV27" s="561"/>
      <c r="DW27" s="561"/>
      <c r="DX27" s="561"/>
      <c r="DY27" s="561"/>
      <c r="DZ27" s="561"/>
      <c r="EA27" s="561"/>
      <c r="EB27" s="561"/>
      <c r="EC27" s="561"/>
      <c r="ED27" s="561"/>
      <c r="EE27" s="561"/>
      <c r="EF27" s="561"/>
      <c r="EG27" s="561"/>
      <c r="EH27" s="561"/>
      <c r="EI27" s="561"/>
      <c r="EJ27" s="561"/>
      <c r="EK27" s="561"/>
      <c r="EL27" s="561"/>
      <c r="EM27" s="561"/>
      <c r="EN27" s="561"/>
      <c r="EO27" s="561"/>
      <c r="EP27" s="561"/>
      <c r="EQ27" s="561"/>
      <c r="ER27" s="561"/>
      <c r="ES27" s="561"/>
      <c r="ET27" s="561"/>
      <c r="EU27" s="561"/>
      <c r="EV27" s="561"/>
      <c r="EW27" s="561"/>
      <c r="EX27" s="561"/>
      <c r="EY27" s="561"/>
      <c r="EZ27" s="561"/>
      <c r="FA27" s="561"/>
      <c r="FB27" s="561"/>
      <c r="FC27" s="561"/>
      <c r="FD27" s="561"/>
      <c r="FE27" s="561"/>
      <c r="FF27" s="561"/>
      <c r="FG27" s="561"/>
      <c r="FH27" s="561"/>
      <c r="FI27" s="561"/>
      <c r="FJ27" s="561"/>
      <c r="FK27" s="561"/>
      <c r="FL27" s="561"/>
      <c r="FM27" s="561"/>
      <c r="FN27" s="561"/>
      <c r="FO27" s="561"/>
      <c r="FP27" s="561"/>
      <c r="FQ27" s="561"/>
      <c r="FR27" s="561"/>
      <c r="FS27" s="561"/>
      <c r="FT27" s="561"/>
      <c r="FU27" s="561"/>
      <c r="FV27" s="561"/>
      <c r="FW27" s="561"/>
      <c r="FX27" s="561"/>
      <c r="FY27" s="561"/>
      <c r="FZ27" s="561"/>
      <c r="GA27" s="561"/>
      <c r="GB27" s="561"/>
      <c r="GC27" s="561"/>
      <c r="GD27" s="561"/>
      <c r="GE27" s="561"/>
      <c r="GF27" s="561"/>
      <c r="GG27" s="561"/>
      <c r="GH27" s="561"/>
      <c r="GI27" s="561"/>
      <c r="GJ27" s="561"/>
      <c r="GK27" s="561"/>
      <c r="GL27" s="561"/>
      <c r="GM27" s="561"/>
      <c r="GN27" s="561"/>
      <c r="GO27" s="561"/>
      <c r="GP27" s="561"/>
      <c r="GQ27" s="561"/>
      <c r="GR27" s="561"/>
      <c r="GS27" s="561"/>
      <c r="GT27" s="561"/>
      <c r="GU27" s="561"/>
      <c r="GV27" s="561"/>
      <c r="GW27" s="561"/>
      <c r="GX27" s="561"/>
      <c r="GY27" s="561"/>
      <c r="GZ27" s="561"/>
      <c r="HA27" s="561"/>
      <c r="HB27" s="561"/>
      <c r="HC27" s="561"/>
      <c r="HD27" s="561"/>
      <c r="HE27" s="561"/>
      <c r="HF27" s="561"/>
      <c r="HG27" s="561"/>
      <c r="HH27" s="561"/>
      <c r="HI27" s="561"/>
      <c r="HJ27" s="561"/>
      <c r="HK27" s="561"/>
      <c r="HL27" s="561"/>
      <c r="HM27" s="561"/>
      <c r="HN27" s="561"/>
      <c r="HO27" s="561"/>
      <c r="HP27" s="561"/>
      <c r="HQ27" s="561"/>
      <c r="HR27" s="561"/>
      <c r="HS27" s="561"/>
      <c r="HT27" s="561"/>
      <c r="HU27" s="561"/>
      <c r="HV27" s="561"/>
      <c r="HW27" s="561"/>
      <c r="HX27" s="561"/>
      <c r="HY27" s="561"/>
      <c r="HZ27" s="561"/>
      <c r="IA27" s="561"/>
      <c r="IB27" s="561"/>
      <c r="IC27" s="561"/>
      <c r="ID27" s="561"/>
      <c r="IE27" s="561"/>
      <c r="IF27" s="561"/>
      <c r="IG27" s="561"/>
      <c r="IH27" s="561"/>
      <c r="II27" s="561"/>
      <c r="IJ27" s="561"/>
      <c r="IK27" s="561"/>
      <c r="IL27" s="561"/>
      <c r="IM27" s="561"/>
      <c r="IN27" s="561"/>
      <c r="IO27" s="561"/>
      <c r="IP27" s="561"/>
      <c r="IQ27" s="561"/>
      <c r="IR27" s="561"/>
      <c r="IS27" s="561"/>
      <c r="IT27" s="561"/>
      <c r="IU27" s="561"/>
      <c r="IV27" s="561"/>
      <c r="IW27" s="561"/>
    </row>
    <row r="28" customFormat="false" ht="12.75" hidden="false" customHeight="false" outlineLevel="2" collapsed="false">
      <c r="A28" s="316"/>
      <c r="B28" s="569" t="str">
        <f aca="false">'Plant Configuration'!C67</f>
        <v>Training/Awards</v>
      </c>
      <c r="C28" s="44"/>
      <c r="D28" s="578" t="n">
        <f aca="false">IF($O$7=6,0,HLOOKUP($D$5,Plant_Configuration,'Plant Configuration'!A67,FALSE()))+IF($R$7=6,0,HLOOKUP($E$5,Plant_Configuration,'Plant Configuration'!A67,FALSE()))+IF($U$7=6,0,HLOOKUP($F$5,Plant_Configuration,'Plant Configuration'!A67,FALSE()))</f>
        <v>3315</v>
      </c>
      <c r="E28" s="342" t="n">
        <v>0</v>
      </c>
      <c r="F28" s="566" t="n">
        <v>1</v>
      </c>
      <c r="H28" s="316" t="s">
        <v>985</v>
      </c>
      <c r="I28" s="567" t="n">
        <f aca="false">D28-J28</f>
        <v>3315</v>
      </c>
      <c r="J28" s="567" t="n">
        <f aca="false">E28*D28</f>
        <v>0</v>
      </c>
      <c r="K28" s="317" t="n">
        <f aca="false">F28*D28</f>
        <v>3315</v>
      </c>
      <c r="L28" s="317" t="n">
        <f aca="false">D28-K28</f>
        <v>0</v>
      </c>
      <c r="N28" s="45"/>
      <c r="O28" s="585" t="n">
        <v>1</v>
      </c>
      <c r="P28" s="586" t="s">
        <v>986</v>
      </c>
      <c r="Q28" s="561"/>
      <c r="R28" s="585" t="n">
        <v>1</v>
      </c>
      <c r="S28" s="586" t="s">
        <v>986</v>
      </c>
      <c r="T28" s="561"/>
      <c r="U28" s="585" t="n">
        <v>1</v>
      </c>
      <c r="V28" s="586" t="s">
        <v>986</v>
      </c>
    </row>
    <row r="29" customFormat="false" ht="12.75" hidden="false" customHeight="false" outlineLevel="2" collapsed="false">
      <c r="A29" s="316"/>
      <c r="B29" s="569" t="str">
        <f aca="false">'Plant Configuration'!C68</f>
        <v>Permits</v>
      </c>
      <c r="C29" s="44"/>
      <c r="D29" s="578" t="n">
        <f aca="false">IF($O$7=6,0,HLOOKUP($D$5,Plant_Configuration,'Plant Configuration'!A68,FALSE()))+IF($R$7=6,0,HLOOKUP($E$5,Plant_Configuration,'Plant Configuration'!A68,FALSE()))+IF($U$7=6,0,HLOOKUP($F$5,Plant_Configuration,'Plant Configuration'!A68,FALSE()))</f>
        <v>10908.3333333333</v>
      </c>
      <c r="E29" s="342" t="n">
        <v>0</v>
      </c>
      <c r="F29" s="566" t="n">
        <v>1</v>
      </c>
      <c r="H29" s="316" t="s">
        <v>987</v>
      </c>
      <c r="I29" s="567" t="n">
        <f aca="false">D29-J29</f>
        <v>10908.3333333333</v>
      </c>
      <c r="J29" s="567" t="n">
        <f aca="false">E29*D29</f>
        <v>0</v>
      </c>
      <c r="K29" s="317" t="n">
        <f aca="false">F29*D29</f>
        <v>10908.3333333333</v>
      </c>
      <c r="L29" s="317" t="n">
        <f aca="false">D29-K29</f>
        <v>0</v>
      </c>
      <c r="N29" s="45"/>
      <c r="O29" s="585" t="n">
        <v>2</v>
      </c>
      <c r="P29" s="586" t="s">
        <v>988</v>
      </c>
      <c r="Q29" s="561"/>
      <c r="R29" s="585" t="n">
        <v>2</v>
      </c>
      <c r="S29" s="586" t="s">
        <v>988</v>
      </c>
      <c r="T29" s="561"/>
      <c r="U29" s="585" t="n">
        <v>2</v>
      </c>
      <c r="V29" s="586" t="s">
        <v>988</v>
      </c>
    </row>
    <row r="30" customFormat="false" ht="13.5" hidden="false" customHeight="false" outlineLevel="2" collapsed="false">
      <c r="A30" s="316"/>
      <c r="B30" s="569" t="str">
        <f aca="false">'Plant Configuration'!C69</f>
        <v>Materials &amp; Supplies</v>
      </c>
      <c r="C30" s="44"/>
      <c r="D30" s="578" t="n">
        <f aca="false">IF($O$7=6,0,HLOOKUP($D$5,Plant_Configuration,'Plant Configuration'!A69,FALSE()))+IF($R$7=6,0,HLOOKUP($E$5,Plant_Configuration,'Plant Configuration'!A69,FALSE()))+IF($U$7=6,0,HLOOKUP($F$5,Plant_Configuration,'Plant Configuration'!A69,FALSE()))</f>
        <v>3867.5</v>
      </c>
      <c r="E30" s="342" t="n">
        <v>0</v>
      </c>
      <c r="F30" s="566" t="n">
        <v>1</v>
      </c>
      <c r="H30" s="316" t="s">
        <v>989</v>
      </c>
      <c r="I30" s="567" t="n">
        <f aca="false">D30-J30</f>
        <v>3867.5</v>
      </c>
      <c r="J30" s="567" t="n">
        <f aca="false">E30*D30</f>
        <v>0</v>
      </c>
      <c r="K30" s="317" t="n">
        <f aca="false">F30*D30</f>
        <v>3867.5</v>
      </c>
      <c r="L30" s="317" t="n">
        <f aca="false">D30-K30</f>
        <v>0</v>
      </c>
      <c r="N30" s="45"/>
      <c r="O30" s="585" t="n">
        <v>3</v>
      </c>
      <c r="P30" s="587" t="s">
        <v>990</v>
      </c>
      <c r="Q30" s="561"/>
      <c r="R30" s="586" t="n">
        <v>3</v>
      </c>
      <c r="S30" s="587" t="s">
        <v>990</v>
      </c>
      <c r="T30" s="561"/>
      <c r="U30" s="586" t="n">
        <v>3</v>
      </c>
      <c r="V30" s="587" t="s">
        <v>990</v>
      </c>
    </row>
    <row r="31" customFormat="false" ht="12.75" hidden="false" customHeight="false" outlineLevel="2" collapsed="false">
      <c r="A31" s="316"/>
      <c r="B31" s="569" t="str">
        <f aca="false">'Plant Configuration'!C70</f>
        <v>Technical/Professional Services</v>
      </c>
      <c r="C31" s="44"/>
      <c r="D31" s="578" t="n">
        <f aca="false">IF($O$7=6,0,HLOOKUP($D$5,Plant_Configuration,'Plant Configuration'!A70,FALSE()))+IF($R$7=6,0,HLOOKUP($E$5,Plant_Configuration,'Plant Configuration'!A70,FALSE()))+IF($U$7=6,0,HLOOKUP($F$5,Plant_Configuration,'Plant Configuration'!A70,FALSE()))</f>
        <v>0</v>
      </c>
      <c r="E31" s="342" t="n">
        <v>0</v>
      </c>
      <c r="F31" s="566" t="n">
        <v>1</v>
      </c>
      <c r="H31" s="316" t="s">
        <v>991</v>
      </c>
      <c r="I31" s="567" t="n">
        <f aca="false">D31-J31</f>
        <v>0</v>
      </c>
      <c r="J31" s="567" t="n">
        <f aca="false">E31*D31</f>
        <v>0</v>
      </c>
      <c r="K31" s="317" t="n">
        <f aca="false">F31*D31</f>
        <v>0</v>
      </c>
      <c r="L31" s="317" t="n">
        <f aca="false">D31-K31</f>
        <v>0</v>
      </c>
      <c r="N31" s="45"/>
      <c r="O31" s="586" t="n">
        <v>4</v>
      </c>
      <c r="R31" s="586" t="n">
        <v>4</v>
      </c>
      <c r="U31" s="586" t="n">
        <v>4</v>
      </c>
    </row>
    <row r="32" customFormat="false" ht="12.75" hidden="false" customHeight="false" outlineLevel="2" collapsed="false">
      <c r="A32" s="316"/>
      <c r="B32" s="569" t="str">
        <f aca="false">'Plant Configuration'!C71</f>
        <v>Other Outside Services (RATA)</v>
      </c>
      <c r="C32" s="44"/>
      <c r="D32" s="578" t="n">
        <f aca="false">IF($O$7=6,0,HLOOKUP($D$5,Plant_Configuration,'Plant Configuration'!A71,FALSE()))+IF($R$7=6,0,HLOOKUP($E$5,Plant_Configuration,'Plant Configuration'!A71,FALSE()))+IF($U$7=6,0,HLOOKUP($F$5,Plant_Configuration,'Plant Configuration'!A71,FALSE()))</f>
        <v>20000</v>
      </c>
      <c r="E32" s="342" t="n">
        <v>0</v>
      </c>
      <c r="F32" s="566" t="n">
        <v>1</v>
      </c>
      <c r="H32" s="316" t="s">
        <v>992</v>
      </c>
      <c r="I32" s="567" t="n">
        <f aca="false">D32-J32</f>
        <v>20000</v>
      </c>
      <c r="J32" s="567" t="n">
        <f aca="false">E32*D32</f>
        <v>0</v>
      </c>
      <c r="K32" s="317" t="n">
        <f aca="false">F32*D32</f>
        <v>20000</v>
      </c>
      <c r="L32" s="317" t="n">
        <f aca="false">D32-K32</f>
        <v>0</v>
      </c>
      <c r="N32" s="45"/>
      <c r="O32" s="586" t="n">
        <v>5</v>
      </c>
      <c r="R32" s="586" t="n">
        <v>5</v>
      </c>
      <c r="U32" s="586" t="n">
        <v>5</v>
      </c>
    </row>
    <row r="33" customFormat="false" ht="12.75" hidden="false" customHeight="false" outlineLevel="2" collapsed="false">
      <c r="A33" s="316"/>
      <c r="B33" s="569" t="str">
        <f aca="false">'Plant Configuration'!C72</f>
        <v>Non-Hazardous Waste Handling</v>
      </c>
      <c r="C33" s="44"/>
      <c r="D33" s="578" t="n">
        <f aca="false">IF($O$7=6,0,HLOOKUP($D$5,Plant_Configuration,'Plant Configuration'!A72,FALSE()))+IF($R$7=6,0,HLOOKUP($E$5,Plant_Configuration,'Plant Configuration'!A72,FALSE()))+IF($U$7=6,0,HLOOKUP($F$5,Plant_Configuration,'Plant Configuration'!A72,FALSE()))</f>
        <v>0</v>
      </c>
      <c r="E33" s="342" t="n">
        <v>0</v>
      </c>
      <c r="F33" s="566" t="n">
        <v>1</v>
      </c>
      <c r="H33" s="316" t="s">
        <v>993</v>
      </c>
      <c r="I33" s="567" t="n">
        <f aca="false">D33-J33</f>
        <v>0</v>
      </c>
      <c r="J33" s="567" t="n">
        <f aca="false">E33*D33</f>
        <v>0</v>
      </c>
      <c r="K33" s="317" t="n">
        <f aca="false">F33*D33</f>
        <v>0</v>
      </c>
      <c r="L33" s="317" t="n">
        <f aca="false">D33-K33</f>
        <v>0</v>
      </c>
      <c r="N33" s="45"/>
      <c r="O33" s="586" t="n">
        <v>6</v>
      </c>
      <c r="R33" s="586" t="n">
        <v>6</v>
      </c>
      <c r="U33" s="586" t="n">
        <v>6</v>
      </c>
    </row>
    <row r="34" customFormat="false" ht="12.75" hidden="false" customHeight="false" outlineLevel="2" collapsed="false">
      <c r="A34" s="316"/>
      <c r="B34" s="569" t="str">
        <f aca="false">'Plant Configuration'!C73</f>
        <v>Other</v>
      </c>
      <c r="C34" s="44"/>
      <c r="D34" s="578" t="n">
        <f aca="false">IF($O$7=6,0,HLOOKUP($D$5,Plant_Configuration,'Plant Configuration'!A73,FALSE()))+IF($R$7=6,0,HLOOKUP($E$5,Plant_Configuration,'Plant Configuration'!A73,FALSE()))+IF($U$7=6,0,HLOOKUP($F$5,Plant_Configuration,'Plant Configuration'!A73,FALSE()))</f>
        <v>0</v>
      </c>
      <c r="E34" s="342" t="n">
        <v>0</v>
      </c>
      <c r="F34" s="566" t="n">
        <v>1</v>
      </c>
      <c r="H34" s="316"/>
      <c r="I34" s="567" t="n">
        <f aca="false">D34-J34</f>
        <v>0</v>
      </c>
      <c r="J34" s="567" t="n">
        <f aca="false">E34*D34</f>
        <v>0</v>
      </c>
      <c r="K34" s="317" t="n">
        <f aca="false">F34*D34</f>
        <v>0</v>
      </c>
      <c r="L34" s="317" t="n">
        <f aca="false">D34-K34</f>
        <v>0</v>
      </c>
      <c r="N34" s="45"/>
      <c r="O34" s="586" t="n">
        <v>7</v>
      </c>
      <c r="R34" s="586" t="n">
        <v>7</v>
      </c>
      <c r="U34" s="586" t="n">
        <v>7</v>
      </c>
    </row>
    <row r="35" customFormat="false" ht="12.75" hidden="false" customHeight="false" outlineLevel="2" collapsed="false">
      <c r="A35" s="316"/>
      <c r="B35" s="569" t="str">
        <f aca="false">'Plant Configuration'!C74</f>
        <v>Other</v>
      </c>
      <c r="C35" s="44"/>
      <c r="D35" s="578" t="n">
        <f aca="false">IF($O$7=6,0,HLOOKUP($D$5,Plant_Configuration,'Plant Configuration'!A74,FALSE()))+IF($R$7=6,0,HLOOKUP($E$5,Plant_Configuration,'Plant Configuration'!A74,FALSE()))+IF($U$7=6,0,HLOOKUP($F$5,Plant_Configuration,'Plant Configuration'!A74,FALSE()))</f>
        <v>0</v>
      </c>
      <c r="E35" s="342" t="n">
        <v>0</v>
      </c>
      <c r="F35" s="566" t="n">
        <v>1</v>
      </c>
      <c r="H35" s="316"/>
      <c r="I35" s="567" t="n">
        <f aca="false">D35-J35</f>
        <v>0</v>
      </c>
      <c r="J35" s="567" t="n">
        <f aca="false">E35*D35</f>
        <v>0</v>
      </c>
      <c r="K35" s="317" t="n">
        <f aca="false">F35*D35</f>
        <v>0</v>
      </c>
      <c r="L35" s="317" t="n">
        <f aca="false">D35-K35</f>
        <v>0</v>
      </c>
      <c r="N35" s="45"/>
      <c r="O35" s="586" t="n">
        <v>8</v>
      </c>
      <c r="R35" s="586" t="n">
        <v>8</v>
      </c>
      <c r="U35" s="586" t="n">
        <v>8</v>
      </c>
    </row>
    <row r="36" customFormat="false" ht="12.75" hidden="false" customHeight="false" outlineLevel="1" collapsed="false">
      <c r="A36" s="579"/>
      <c r="B36" s="570" t="s">
        <v>431</v>
      </c>
      <c r="C36" s="0"/>
      <c r="D36" s="571" t="n">
        <f aca="false">SUBTOTAL(9,D28:D35)</f>
        <v>38090.8333333333</v>
      </c>
      <c r="E36" s="572"/>
      <c r="F36" s="573"/>
      <c r="H36" s="316" t="s">
        <v>994</v>
      </c>
      <c r="I36" s="571" t="n">
        <f aca="false">SUBTOTAL(9,I28:I35)</f>
        <v>38090.8333333333</v>
      </c>
      <c r="J36" s="571" t="n">
        <f aca="false">SUBTOTAL(9,J28:J35)</f>
        <v>0</v>
      </c>
      <c r="K36" s="571" t="n">
        <f aca="false">SUBTOTAL(9,K28:K35)</f>
        <v>38090.8333333333</v>
      </c>
      <c r="L36" s="571" t="n">
        <f aca="false">SUBTOTAL(9,L28:L35)</f>
        <v>0</v>
      </c>
      <c r="M36" s="561"/>
      <c r="N36" s="561"/>
      <c r="O36" s="586" t="n">
        <v>9</v>
      </c>
      <c r="R36" s="586" t="n">
        <v>9</v>
      </c>
      <c r="U36" s="586" t="n">
        <v>9</v>
      </c>
      <c r="W36" s="561"/>
      <c r="X36" s="561"/>
      <c r="Y36" s="561"/>
      <c r="Z36" s="561"/>
      <c r="AA36" s="561"/>
      <c r="AB36" s="561"/>
      <c r="AC36" s="561"/>
      <c r="AD36" s="561"/>
      <c r="AE36" s="561"/>
      <c r="AF36" s="561"/>
      <c r="AG36" s="561"/>
      <c r="AH36" s="561"/>
      <c r="AI36" s="561"/>
      <c r="AJ36" s="561"/>
      <c r="AK36" s="561"/>
      <c r="AL36" s="561"/>
      <c r="AM36" s="561"/>
      <c r="AN36" s="561"/>
      <c r="AO36" s="561"/>
      <c r="AP36" s="561"/>
      <c r="AQ36" s="561"/>
      <c r="AR36" s="561"/>
      <c r="AS36" s="561"/>
      <c r="AT36" s="561"/>
      <c r="AU36" s="561"/>
      <c r="AV36" s="561"/>
      <c r="AW36" s="561"/>
      <c r="AX36" s="561"/>
      <c r="AY36" s="561"/>
      <c r="AZ36" s="561"/>
      <c r="BA36" s="561"/>
      <c r="BB36" s="561"/>
      <c r="BC36" s="561"/>
      <c r="BD36" s="561"/>
      <c r="BE36" s="561"/>
      <c r="BF36" s="561"/>
      <c r="BG36" s="561"/>
      <c r="BH36" s="561"/>
      <c r="BI36" s="561"/>
      <c r="BJ36" s="561"/>
      <c r="BK36" s="561"/>
      <c r="BL36" s="561"/>
      <c r="BM36" s="561"/>
      <c r="BN36" s="561"/>
      <c r="BO36" s="561"/>
      <c r="BP36" s="561"/>
      <c r="BQ36" s="561"/>
      <c r="BR36" s="561"/>
      <c r="BS36" s="561"/>
      <c r="BT36" s="561"/>
      <c r="BU36" s="561"/>
      <c r="BV36" s="561"/>
      <c r="BW36" s="561"/>
      <c r="BX36" s="561"/>
      <c r="BY36" s="561"/>
      <c r="BZ36" s="561"/>
      <c r="CA36" s="561"/>
      <c r="CB36" s="561"/>
      <c r="CC36" s="561"/>
      <c r="CD36" s="561"/>
      <c r="CE36" s="561"/>
      <c r="CF36" s="561"/>
      <c r="CG36" s="561"/>
      <c r="CH36" s="561"/>
      <c r="CI36" s="561"/>
      <c r="CJ36" s="561"/>
      <c r="CK36" s="561"/>
      <c r="CL36" s="561"/>
      <c r="CM36" s="561"/>
      <c r="CN36" s="561"/>
      <c r="CO36" s="561"/>
      <c r="CP36" s="561"/>
      <c r="CQ36" s="561"/>
      <c r="CR36" s="561"/>
      <c r="CS36" s="561"/>
      <c r="CT36" s="561"/>
      <c r="CU36" s="561"/>
      <c r="CV36" s="561"/>
      <c r="CW36" s="561"/>
      <c r="CX36" s="561"/>
      <c r="CY36" s="561"/>
      <c r="CZ36" s="561"/>
      <c r="DA36" s="561"/>
      <c r="DB36" s="561"/>
      <c r="DC36" s="561"/>
      <c r="DD36" s="561"/>
      <c r="DE36" s="561"/>
      <c r="DF36" s="561"/>
      <c r="DG36" s="561"/>
      <c r="DH36" s="561"/>
      <c r="DI36" s="561"/>
      <c r="DJ36" s="561"/>
      <c r="DK36" s="561"/>
      <c r="DL36" s="561"/>
      <c r="DM36" s="561"/>
      <c r="DN36" s="561"/>
      <c r="DO36" s="561"/>
      <c r="DP36" s="561"/>
      <c r="DQ36" s="561"/>
      <c r="DR36" s="561"/>
      <c r="DS36" s="561"/>
      <c r="DT36" s="561"/>
      <c r="DU36" s="561"/>
      <c r="DV36" s="561"/>
      <c r="DW36" s="561"/>
      <c r="DX36" s="561"/>
      <c r="DY36" s="561"/>
      <c r="DZ36" s="561"/>
      <c r="EA36" s="561"/>
      <c r="EB36" s="561"/>
      <c r="EC36" s="561"/>
      <c r="ED36" s="561"/>
      <c r="EE36" s="561"/>
      <c r="EF36" s="561"/>
      <c r="EG36" s="561"/>
      <c r="EH36" s="561"/>
      <c r="EI36" s="561"/>
      <c r="EJ36" s="561"/>
      <c r="EK36" s="561"/>
      <c r="EL36" s="561"/>
      <c r="EM36" s="561"/>
      <c r="EN36" s="561"/>
      <c r="EO36" s="561"/>
      <c r="EP36" s="561"/>
      <c r="EQ36" s="561"/>
      <c r="ER36" s="561"/>
      <c r="ES36" s="561"/>
      <c r="ET36" s="561"/>
      <c r="EU36" s="561"/>
      <c r="EV36" s="561"/>
      <c r="EW36" s="561"/>
      <c r="EX36" s="561"/>
      <c r="EY36" s="561"/>
      <c r="EZ36" s="561"/>
      <c r="FA36" s="561"/>
      <c r="FB36" s="561"/>
      <c r="FC36" s="561"/>
      <c r="FD36" s="561"/>
      <c r="FE36" s="561"/>
      <c r="FF36" s="561"/>
      <c r="FG36" s="561"/>
      <c r="FH36" s="561"/>
      <c r="FI36" s="561"/>
      <c r="FJ36" s="561"/>
      <c r="FK36" s="561"/>
      <c r="FL36" s="561"/>
      <c r="FM36" s="561"/>
      <c r="FN36" s="561"/>
      <c r="FO36" s="561"/>
      <c r="FP36" s="561"/>
      <c r="FQ36" s="561"/>
      <c r="FR36" s="561"/>
      <c r="FS36" s="561"/>
      <c r="FT36" s="561"/>
      <c r="FU36" s="561"/>
      <c r="FV36" s="561"/>
      <c r="FW36" s="561"/>
      <c r="FX36" s="561"/>
      <c r="FY36" s="561"/>
      <c r="FZ36" s="561"/>
      <c r="GA36" s="561"/>
      <c r="GB36" s="561"/>
      <c r="GC36" s="561"/>
      <c r="GD36" s="561"/>
      <c r="GE36" s="561"/>
      <c r="GF36" s="561"/>
      <c r="GG36" s="561"/>
      <c r="GH36" s="561"/>
      <c r="GI36" s="561"/>
      <c r="GJ36" s="561"/>
      <c r="GK36" s="561"/>
      <c r="GL36" s="561"/>
      <c r="GM36" s="561"/>
      <c r="GN36" s="561"/>
      <c r="GO36" s="561"/>
      <c r="GP36" s="561"/>
      <c r="GQ36" s="561"/>
      <c r="GR36" s="561"/>
      <c r="GS36" s="561"/>
      <c r="GT36" s="561"/>
      <c r="GU36" s="561"/>
      <c r="GV36" s="561"/>
      <c r="GW36" s="561"/>
      <c r="GX36" s="561"/>
      <c r="GY36" s="561"/>
      <c r="GZ36" s="561"/>
      <c r="HA36" s="561"/>
      <c r="HB36" s="561"/>
      <c r="HC36" s="561"/>
      <c r="HD36" s="561"/>
      <c r="HE36" s="561"/>
      <c r="HF36" s="561"/>
      <c r="HG36" s="561"/>
      <c r="HH36" s="561"/>
      <c r="HI36" s="561"/>
      <c r="HJ36" s="561"/>
      <c r="HK36" s="561"/>
      <c r="HL36" s="561"/>
      <c r="HM36" s="561"/>
      <c r="HN36" s="561"/>
      <c r="HO36" s="561"/>
      <c r="HP36" s="561"/>
      <c r="HQ36" s="561"/>
      <c r="HR36" s="561"/>
      <c r="HS36" s="561"/>
      <c r="HT36" s="561"/>
      <c r="HU36" s="561"/>
      <c r="HV36" s="561"/>
      <c r="HW36" s="561"/>
      <c r="HX36" s="561"/>
      <c r="HY36" s="561"/>
      <c r="HZ36" s="561"/>
      <c r="IA36" s="561"/>
      <c r="IB36" s="561"/>
      <c r="IC36" s="561"/>
      <c r="ID36" s="561"/>
      <c r="IE36" s="561"/>
      <c r="IF36" s="561"/>
      <c r="IG36" s="561"/>
      <c r="IH36" s="561"/>
      <c r="II36" s="561"/>
      <c r="IJ36" s="561"/>
      <c r="IK36" s="561"/>
      <c r="IL36" s="561"/>
      <c r="IM36" s="561"/>
      <c r="IN36" s="561"/>
      <c r="IO36" s="561"/>
      <c r="IP36" s="561"/>
      <c r="IQ36" s="561"/>
      <c r="IR36" s="561"/>
      <c r="IS36" s="561"/>
      <c r="IT36" s="561"/>
      <c r="IU36" s="561"/>
      <c r="IV36" s="561"/>
      <c r="IW36" s="561"/>
    </row>
    <row r="37" customFormat="false" ht="12.75" hidden="false" customHeight="false" outlineLevel="1" collapsed="false">
      <c r="A37" s="574" t="s">
        <v>995</v>
      </c>
      <c r="B37" s="575"/>
      <c r="C37" s="576"/>
      <c r="D37" s="554"/>
      <c r="E37" s="555"/>
      <c r="F37" s="556"/>
      <c r="H37" s="577"/>
      <c r="I37" s="558" t="n">
        <f aca="false">IF(D44=0,0,I44/D44)</f>
        <v>1</v>
      </c>
      <c r="J37" s="558" t="n">
        <f aca="false">1-I37</f>
        <v>0</v>
      </c>
      <c r="K37" s="559" t="n">
        <f aca="false">IF(D44=0,0,K44/D44)</f>
        <v>1</v>
      </c>
      <c r="L37" s="559" t="n">
        <f aca="false">1-K37</f>
        <v>0</v>
      </c>
      <c r="M37" s="561"/>
      <c r="N37" s="561"/>
      <c r="O37" s="586" t="n">
        <v>10</v>
      </c>
      <c r="R37" s="586" t="n">
        <v>10</v>
      </c>
      <c r="U37" s="586" t="n">
        <v>10</v>
      </c>
      <c r="W37" s="561"/>
      <c r="X37" s="561"/>
      <c r="Y37" s="561"/>
      <c r="Z37" s="561"/>
      <c r="AA37" s="561"/>
      <c r="AB37" s="561"/>
      <c r="AC37" s="561"/>
      <c r="AD37" s="561"/>
      <c r="AE37" s="561"/>
      <c r="AF37" s="561"/>
      <c r="AG37" s="561"/>
      <c r="AH37" s="561"/>
      <c r="AI37" s="561"/>
      <c r="AJ37" s="561"/>
      <c r="AK37" s="561"/>
      <c r="AL37" s="561"/>
      <c r="AM37" s="561"/>
      <c r="AN37" s="561"/>
      <c r="AO37" s="561"/>
      <c r="AP37" s="561"/>
      <c r="AQ37" s="561"/>
      <c r="AR37" s="561"/>
      <c r="AS37" s="561"/>
      <c r="AT37" s="561"/>
      <c r="AU37" s="561"/>
      <c r="AV37" s="561"/>
      <c r="AW37" s="561"/>
      <c r="AX37" s="561"/>
      <c r="AY37" s="561"/>
      <c r="AZ37" s="561"/>
      <c r="BA37" s="561"/>
      <c r="BB37" s="561"/>
      <c r="BC37" s="561"/>
      <c r="BD37" s="561"/>
      <c r="BE37" s="561"/>
      <c r="BF37" s="561"/>
      <c r="BG37" s="561"/>
      <c r="BH37" s="561"/>
      <c r="BI37" s="561"/>
      <c r="BJ37" s="561"/>
      <c r="BK37" s="561"/>
      <c r="BL37" s="561"/>
      <c r="BM37" s="561"/>
      <c r="BN37" s="561"/>
      <c r="BO37" s="561"/>
      <c r="BP37" s="561"/>
      <c r="BQ37" s="561"/>
      <c r="BR37" s="561"/>
      <c r="BS37" s="561"/>
      <c r="BT37" s="561"/>
      <c r="BU37" s="561"/>
      <c r="BV37" s="561"/>
      <c r="BW37" s="561"/>
      <c r="BX37" s="561"/>
      <c r="BY37" s="561"/>
      <c r="BZ37" s="561"/>
      <c r="CA37" s="561"/>
      <c r="CB37" s="561"/>
      <c r="CC37" s="561"/>
      <c r="CD37" s="561"/>
      <c r="CE37" s="561"/>
      <c r="CF37" s="561"/>
      <c r="CG37" s="561"/>
      <c r="CH37" s="561"/>
      <c r="CI37" s="561"/>
      <c r="CJ37" s="561"/>
      <c r="CK37" s="561"/>
      <c r="CL37" s="561"/>
      <c r="CM37" s="561"/>
      <c r="CN37" s="561"/>
      <c r="CO37" s="561"/>
      <c r="CP37" s="561"/>
      <c r="CQ37" s="561"/>
      <c r="CR37" s="561"/>
      <c r="CS37" s="561"/>
      <c r="CT37" s="561"/>
      <c r="CU37" s="561"/>
      <c r="CV37" s="561"/>
      <c r="CW37" s="561"/>
      <c r="CX37" s="561"/>
      <c r="CY37" s="561"/>
      <c r="CZ37" s="561"/>
      <c r="DA37" s="561"/>
      <c r="DB37" s="561"/>
      <c r="DC37" s="561"/>
      <c r="DD37" s="561"/>
      <c r="DE37" s="561"/>
      <c r="DF37" s="561"/>
      <c r="DG37" s="561"/>
      <c r="DH37" s="561"/>
      <c r="DI37" s="561"/>
      <c r="DJ37" s="561"/>
      <c r="DK37" s="561"/>
      <c r="DL37" s="561"/>
      <c r="DM37" s="561"/>
      <c r="DN37" s="561"/>
      <c r="DO37" s="561"/>
      <c r="DP37" s="561"/>
      <c r="DQ37" s="561"/>
      <c r="DR37" s="561"/>
      <c r="DS37" s="561"/>
      <c r="DT37" s="561"/>
      <c r="DU37" s="561"/>
      <c r="DV37" s="561"/>
      <c r="DW37" s="561"/>
      <c r="DX37" s="561"/>
      <c r="DY37" s="561"/>
      <c r="DZ37" s="561"/>
      <c r="EA37" s="561"/>
      <c r="EB37" s="561"/>
      <c r="EC37" s="561"/>
      <c r="ED37" s="561"/>
      <c r="EE37" s="561"/>
      <c r="EF37" s="561"/>
      <c r="EG37" s="561"/>
      <c r="EH37" s="561"/>
      <c r="EI37" s="561"/>
      <c r="EJ37" s="561"/>
      <c r="EK37" s="561"/>
      <c r="EL37" s="561"/>
      <c r="EM37" s="561"/>
      <c r="EN37" s="561"/>
      <c r="EO37" s="561"/>
      <c r="EP37" s="561"/>
      <c r="EQ37" s="561"/>
      <c r="ER37" s="561"/>
      <c r="ES37" s="561"/>
      <c r="ET37" s="561"/>
      <c r="EU37" s="561"/>
      <c r="EV37" s="561"/>
      <c r="EW37" s="561"/>
      <c r="EX37" s="561"/>
      <c r="EY37" s="561"/>
      <c r="EZ37" s="561"/>
      <c r="FA37" s="561"/>
      <c r="FB37" s="561"/>
      <c r="FC37" s="561"/>
      <c r="FD37" s="561"/>
      <c r="FE37" s="561"/>
      <c r="FF37" s="561"/>
      <c r="FG37" s="561"/>
      <c r="FH37" s="561"/>
      <c r="FI37" s="561"/>
      <c r="FJ37" s="561"/>
      <c r="FK37" s="561"/>
      <c r="FL37" s="561"/>
      <c r="FM37" s="561"/>
      <c r="FN37" s="561"/>
      <c r="FO37" s="561"/>
      <c r="FP37" s="561"/>
      <c r="FQ37" s="561"/>
      <c r="FR37" s="561"/>
      <c r="FS37" s="561"/>
      <c r="FT37" s="561"/>
      <c r="FU37" s="561"/>
      <c r="FV37" s="561"/>
      <c r="FW37" s="561"/>
      <c r="FX37" s="561"/>
      <c r="FY37" s="561"/>
      <c r="FZ37" s="561"/>
      <c r="GA37" s="561"/>
      <c r="GB37" s="561"/>
      <c r="GC37" s="561"/>
      <c r="GD37" s="561"/>
      <c r="GE37" s="561"/>
      <c r="GF37" s="561"/>
      <c r="GG37" s="561"/>
      <c r="GH37" s="561"/>
      <c r="GI37" s="561"/>
      <c r="GJ37" s="561"/>
      <c r="GK37" s="561"/>
      <c r="GL37" s="561"/>
      <c r="GM37" s="561"/>
      <c r="GN37" s="561"/>
      <c r="GO37" s="561"/>
      <c r="GP37" s="561"/>
      <c r="GQ37" s="561"/>
      <c r="GR37" s="561"/>
      <c r="GS37" s="561"/>
      <c r="GT37" s="561"/>
      <c r="GU37" s="561"/>
      <c r="GV37" s="561"/>
      <c r="GW37" s="561"/>
      <c r="GX37" s="561"/>
      <c r="GY37" s="561"/>
      <c r="GZ37" s="561"/>
      <c r="HA37" s="561"/>
      <c r="HB37" s="561"/>
      <c r="HC37" s="561"/>
      <c r="HD37" s="561"/>
      <c r="HE37" s="561"/>
      <c r="HF37" s="561"/>
      <c r="HG37" s="561"/>
      <c r="HH37" s="561"/>
      <c r="HI37" s="561"/>
      <c r="HJ37" s="561"/>
      <c r="HK37" s="561"/>
      <c r="HL37" s="561"/>
      <c r="HM37" s="561"/>
      <c r="HN37" s="561"/>
      <c r="HO37" s="561"/>
      <c r="HP37" s="561"/>
      <c r="HQ37" s="561"/>
      <c r="HR37" s="561"/>
      <c r="HS37" s="561"/>
      <c r="HT37" s="561"/>
      <c r="HU37" s="561"/>
      <c r="HV37" s="561"/>
      <c r="HW37" s="561"/>
      <c r="HX37" s="561"/>
      <c r="HY37" s="561"/>
      <c r="HZ37" s="561"/>
      <c r="IA37" s="561"/>
      <c r="IB37" s="561"/>
      <c r="IC37" s="561"/>
      <c r="ID37" s="561"/>
      <c r="IE37" s="561"/>
      <c r="IF37" s="561"/>
      <c r="IG37" s="561"/>
      <c r="IH37" s="561"/>
      <c r="II37" s="561"/>
      <c r="IJ37" s="561"/>
      <c r="IK37" s="561"/>
      <c r="IL37" s="561"/>
      <c r="IM37" s="561"/>
      <c r="IN37" s="561"/>
      <c r="IO37" s="561"/>
      <c r="IP37" s="561"/>
      <c r="IQ37" s="561"/>
      <c r="IR37" s="561"/>
      <c r="IS37" s="561"/>
      <c r="IT37" s="561"/>
      <c r="IU37" s="561"/>
      <c r="IV37" s="561"/>
      <c r="IW37" s="561"/>
    </row>
    <row r="38" customFormat="false" ht="12.75" hidden="false" customHeight="false" outlineLevel="2" collapsed="false">
      <c r="A38" s="316"/>
      <c r="B38" s="569" t="str">
        <f aca="false">'Plant Configuration'!C77</f>
        <v>Training/Awards</v>
      </c>
      <c r="C38" s="44"/>
      <c r="D38" s="578" t="n">
        <f aca="false">IF($O$7=6,0,HLOOKUP($D$5,Plant_Configuration,'Plant Configuration'!A77,FALSE()))+IF($R$7=6,0,HLOOKUP($E$5,Plant_Configuration,'Plant Configuration'!A77,FALSE()))+IF($U$7=6,0,HLOOKUP($F$5,Plant_Configuration,'Plant Configuration'!A77,FALSE()))</f>
        <v>4238.70967741936</v>
      </c>
      <c r="E38" s="342" t="n">
        <v>0</v>
      </c>
      <c r="F38" s="566" t="n">
        <v>1</v>
      </c>
      <c r="H38" s="316" t="s">
        <v>996</v>
      </c>
      <c r="I38" s="567" t="n">
        <f aca="false">D38-J38</f>
        <v>4238.70967741936</v>
      </c>
      <c r="J38" s="567" t="n">
        <f aca="false">E38*D38</f>
        <v>0</v>
      </c>
      <c r="K38" s="317" t="n">
        <f aca="false">F38*D38</f>
        <v>4238.70967741936</v>
      </c>
      <c r="L38" s="317" t="n">
        <f aca="false">D38-K38</f>
        <v>0</v>
      </c>
      <c r="N38" s="45"/>
      <c r="O38" s="586" t="n">
        <v>11</v>
      </c>
      <c r="R38" s="586" t="n">
        <v>11</v>
      </c>
      <c r="U38" s="586" t="n">
        <v>11</v>
      </c>
    </row>
    <row r="39" customFormat="false" ht="12.75" hidden="false" customHeight="false" outlineLevel="2" collapsed="false">
      <c r="A39" s="316"/>
      <c r="B39" s="569" t="str">
        <f aca="false">'Plant Configuration'!C78</f>
        <v>Permits</v>
      </c>
      <c r="C39" s="44"/>
      <c r="D39" s="578" t="n">
        <f aca="false">IF($O$7=6,0,HLOOKUP($D$5,Plant_Configuration,'Plant Configuration'!A78,FALSE()))+IF($R$7=6,0,HLOOKUP($E$5,Plant_Configuration,'Plant Configuration'!A78,FALSE()))+IF($U$7=6,0,HLOOKUP($F$5,Plant_Configuration,'Plant Configuration'!A78,FALSE()))</f>
        <v>10908.3333333333</v>
      </c>
      <c r="E39" s="342" t="n">
        <v>0</v>
      </c>
      <c r="F39" s="566" t="n">
        <v>1</v>
      </c>
      <c r="H39" s="316" t="s">
        <v>997</v>
      </c>
      <c r="I39" s="567" t="n">
        <f aca="false">D39-J39</f>
        <v>10908.3333333333</v>
      </c>
      <c r="J39" s="567" t="n">
        <f aca="false">E39*D39</f>
        <v>0</v>
      </c>
      <c r="K39" s="317" t="n">
        <f aca="false">F39*D39</f>
        <v>10908.3333333333</v>
      </c>
      <c r="L39" s="317" t="n">
        <f aca="false">D39-K39</f>
        <v>0</v>
      </c>
      <c r="N39" s="45"/>
      <c r="O39" s="586" t="n">
        <v>12</v>
      </c>
      <c r="P39" s="561"/>
      <c r="Q39" s="561"/>
      <c r="R39" s="586" t="n">
        <v>12</v>
      </c>
      <c r="S39" s="561"/>
      <c r="T39" s="561"/>
      <c r="U39" s="586" t="n">
        <v>12</v>
      </c>
      <c r="V39" s="561"/>
    </row>
    <row r="40" customFormat="false" ht="12.75" hidden="false" customHeight="false" outlineLevel="2" collapsed="false">
      <c r="A40" s="316"/>
      <c r="B40" s="569" t="str">
        <f aca="false">'Plant Configuration'!C79</f>
        <v>Company Membership &amp; Dues</v>
      </c>
      <c r="C40" s="44"/>
      <c r="D40" s="578" t="n">
        <f aca="false">IF($O$7=6,0,HLOOKUP($D$5,Plant_Configuration,'Plant Configuration'!A79,FALSE()))+IF($R$7=6,0,HLOOKUP($E$5,Plant_Configuration,'Plant Configuration'!A79,FALSE()))+IF($U$7=6,0,HLOOKUP($F$5,Plant_Configuration,'Plant Configuration'!A79,FALSE()))</f>
        <v>0</v>
      </c>
      <c r="E40" s="342" t="n">
        <v>0</v>
      </c>
      <c r="F40" s="566" t="n">
        <v>1</v>
      </c>
      <c r="H40" s="316"/>
      <c r="I40" s="567" t="n">
        <f aca="false">D40-J40</f>
        <v>0</v>
      </c>
      <c r="J40" s="567" t="n">
        <f aca="false">E40*D40</f>
        <v>0</v>
      </c>
      <c r="K40" s="317" t="n">
        <f aca="false">F40*D40</f>
        <v>0</v>
      </c>
      <c r="L40" s="317" t="n">
        <f aca="false">D40-K40</f>
        <v>0</v>
      </c>
      <c r="N40" s="45"/>
      <c r="O40" s="586" t="n">
        <v>13</v>
      </c>
      <c r="P40" s="561"/>
      <c r="Q40" s="561"/>
      <c r="R40" s="586" t="n">
        <v>13</v>
      </c>
      <c r="S40" s="561"/>
      <c r="T40" s="561"/>
      <c r="U40" s="586" t="n">
        <v>13</v>
      </c>
      <c r="V40" s="561"/>
    </row>
    <row r="41" customFormat="false" ht="12.75" hidden="false" customHeight="false" outlineLevel="2" collapsed="false">
      <c r="A41" s="316"/>
      <c r="B41" s="569" t="str">
        <f aca="false">'Plant Configuration'!C80</f>
        <v>Routine Safety Supplies</v>
      </c>
      <c r="C41" s="44"/>
      <c r="D41" s="578" t="n">
        <f aca="false">IF($O$7=6,0,HLOOKUP($D$5,Plant_Configuration,'Plant Configuration'!A80,FALSE()))+IF($R$7=6,0,HLOOKUP($E$5,Plant_Configuration,'Plant Configuration'!A80,FALSE()))+IF($U$7=6,0,HLOOKUP($F$5,Plant_Configuration,'Plant Configuration'!A80,FALSE()))</f>
        <v>6770.56451612903</v>
      </c>
      <c r="E41" s="342" t="n">
        <v>0</v>
      </c>
      <c r="F41" s="566" t="n">
        <v>1</v>
      </c>
      <c r="H41" s="316" t="s">
        <v>998</v>
      </c>
      <c r="I41" s="567" t="n">
        <f aca="false">D41-J41</f>
        <v>6770.56451612903</v>
      </c>
      <c r="J41" s="567" t="n">
        <f aca="false">E41*D41</f>
        <v>0</v>
      </c>
      <c r="K41" s="317" t="n">
        <f aca="false">F41*D41</f>
        <v>6770.56451612903</v>
      </c>
      <c r="L41" s="317" t="n">
        <f aca="false">D41-K41</f>
        <v>0</v>
      </c>
      <c r="N41" s="45"/>
      <c r="O41" s="586" t="n">
        <v>14</v>
      </c>
      <c r="R41" s="586" t="n">
        <v>14</v>
      </c>
      <c r="U41" s="586" t="n">
        <v>14</v>
      </c>
    </row>
    <row r="42" customFormat="false" ht="13.5" hidden="false" customHeight="false" outlineLevel="2" collapsed="false">
      <c r="A42" s="316"/>
      <c r="B42" s="569" t="str">
        <f aca="false">'Plant Configuration'!C81</f>
        <v>Technical/Professional Services</v>
      </c>
      <c r="C42" s="44"/>
      <c r="D42" s="578" t="n">
        <f aca="false">IF($O$7=6,0,HLOOKUP($D$5,Plant_Configuration,'Plant Configuration'!A81,FALSE()))+IF($R$7=6,0,HLOOKUP($E$5,Plant_Configuration,'Plant Configuration'!A81,FALSE()))+IF($U$7=6,0,HLOOKUP($F$5,Plant_Configuration,'Plant Configuration'!A81,FALSE()))</f>
        <v>0</v>
      </c>
      <c r="E42" s="342" t="n">
        <v>0</v>
      </c>
      <c r="F42" s="566" t="n">
        <v>1</v>
      </c>
      <c r="H42" s="316" t="s">
        <v>991</v>
      </c>
      <c r="I42" s="567" t="n">
        <f aca="false">D42-J42</f>
        <v>0</v>
      </c>
      <c r="J42" s="567" t="n">
        <f aca="false">E42*D42</f>
        <v>0</v>
      </c>
      <c r="K42" s="317" t="n">
        <f aca="false">F42*D42</f>
        <v>0</v>
      </c>
      <c r="L42" s="317" t="n">
        <f aca="false">D42-K42</f>
        <v>0</v>
      </c>
      <c r="N42" s="45"/>
      <c r="O42" s="587" t="n">
        <v>15</v>
      </c>
      <c r="R42" s="587" t="n">
        <v>15</v>
      </c>
      <c r="U42" s="587" t="n">
        <v>15</v>
      </c>
    </row>
    <row r="43" customFormat="false" ht="12.75" hidden="false" customHeight="false" outlineLevel="2" collapsed="false">
      <c r="A43" s="316"/>
      <c r="B43" s="569" t="str">
        <f aca="false">'Plant Configuration'!C82</f>
        <v>Safety Equipment Rentals</v>
      </c>
      <c r="C43" s="44"/>
      <c r="D43" s="578" t="n">
        <f aca="false">IF($O$7=6,0,HLOOKUP($D$5,Plant_Configuration,'Plant Configuration'!A82,FALSE()))+IF($R$7=6,0,HLOOKUP($E$5,Plant_Configuration,'Plant Configuration'!A82,FALSE()))+IF($U$7=6,0,HLOOKUP($F$5,Plant_Configuration,'Plant Configuration'!A82,FALSE()))</f>
        <v>0</v>
      </c>
      <c r="E43" s="342" t="n">
        <v>0</v>
      </c>
      <c r="F43" s="566" t="n">
        <v>1</v>
      </c>
      <c r="H43" s="316" t="s">
        <v>992</v>
      </c>
      <c r="I43" s="567" t="n">
        <f aca="false">D43-J43</f>
        <v>0</v>
      </c>
      <c r="J43" s="567" t="n">
        <f aca="false">E43*D43</f>
        <v>0</v>
      </c>
      <c r="K43" s="317" t="n">
        <f aca="false">F43*D43</f>
        <v>0</v>
      </c>
      <c r="L43" s="317" t="n">
        <f aca="false">D43-K43</f>
        <v>0</v>
      </c>
      <c r="N43" s="45"/>
      <c r="O43" s="45"/>
    </row>
    <row r="44" customFormat="false" ht="12.75" hidden="false" customHeight="false" outlineLevel="1" collapsed="false">
      <c r="A44" s="579"/>
      <c r="B44" s="570" t="s">
        <v>431</v>
      </c>
      <c r="C44" s="0"/>
      <c r="D44" s="571" t="n">
        <f aca="false">SUBTOTAL(9,D38:D43)</f>
        <v>21917.6075268817</v>
      </c>
      <c r="E44" s="572"/>
      <c r="F44" s="573"/>
      <c r="H44" s="316" t="s">
        <v>994</v>
      </c>
      <c r="I44" s="571" t="n">
        <f aca="false">SUBTOTAL(9,I38:I43)</f>
        <v>21917.6075268817</v>
      </c>
      <c r="J44" s="571" t="n">
        <f aca="false">SUBTOTAL(9,J38:J43)</f>
        <v>0</v>
      </c>
      <c r="K44" s="571" t="n">
        <f aca="false">SUBTOTAL(9,K38:K43)</f>
        <v>21917.6075268817</v>
      </c>
      <c r="L44" s="571" t="n">
        <f aca="false">SUBTOTAL(9,L38:L43)</f>
        <v>0</v>
      </c>
      <c r="M44" s="561"/>
      <c r="N44" s="561"/>
      <c r="O44" s="561"/>
      <c r="P44" s="561"/>
      <c r="Q44" s="561"/>
      <c r="R44" s="561"/>
      <c r="S44" s="561"/>
      <c r="T44" s="561"/>
      <c r="U44" s="561"/>
      <c r="V44" s="561"/>
      <c r="W44" s="561"/>
      <c r="X44" s="561"/>
      <c r="Y44" s="561"/>
      <c r="Z44" s="561"/>
      <c r="AA44" s="561"/>
      <c r="AB44" s="561"/>
      <c r="AC44" s="561"/>
      <c r="AD44" s="561"/>
      <c r="AE44" s="561"/>
      <c r="AF44" s="561"/>
      <c r="AG44" s="561"/>
      <c r="AH44" s="561"/>
      <c r="AI44" s="561"/>
      <c r="AJ44" s="561"/>
      <c r="AK44" s="561"/>
      <c r="AL44" s="561"/>
      <c r="AM44" s="561"/>
      <c r="AN44" s="561"/>
      <c r="AO44" s="561"/>
      <c r="AP44" s="561"/>
      <c r="AQ44" s="561"/>
      <c r="AR44" s="561"/>
      <c r="AS44" s="561"/>
      <c r="AT44" s="561"/>
      <c r="AU44" s="561"/>
      <c r="AV44" s="561"/>
      <c r="AW44" s="561"/>
      <c r="AX44" s="561"/>
      <c r="AY44" s="561"/>
      <c r="AZ44" s="561"/>
      <c r="BA44" s="561"/>
      <c r="BB44" s="561"/>
      <c r="BC44" s="561"/>
      <c r="BD44" s="561"/>
      <c r="BE44" s="561"/>
      <c r="BF44" s="561"/>
      <c r="BG44" s="561"/>
      <c r="BH44" s="561"/>
      <c r="BI44" s="561"/>
      <c r="BJ44" s="561"/>
      <c r="BK44" s="561"/>
      <c r="BL44" s="561"/>
      <c r="BM44" s="561"/>
      <c r="BN44" s="561"/>
      <c r="BO44" s="561"/>
      <c r="BP44" s="561"/>
      <c r="BQ44" s="561"/>
      <c r="BR44" s="561"/>
      <c r="BS44" s="561"/>
      <c r="BT44" s="561"/>
      <c r="BU44" s="561"/>
      <c r="BV44" s="561"/>
      <c r="BW44" s="561"/>
      <c r="BX44" s="561"/>
      <c r="BY44" s="561"/>
      <c r="BZ44" s="561"/>
      <c r="CA44" s="561"/>
      <c r="CB44" s="561"/>
      <c r="CC44" s="561"/>
      <c r="CD44" s="561"/>
      <c r="CE44" s="561"/>
      <c r="CF44" s="561"/>
      <c r="CG44" s="561"/>
      <c r="CH44" s="561"/>
      <c r="CI44" s="561"/>
      <c r="CJ44" s="561"/>
      <c r="CK44" s="561"/>
      <c r="CL44" s="561"/>
      <c r="CM44" s="561"/>
      <c r="CN44" s="561"/>
      <c r="CO44" s="561"/>
      <c r="CP44" s="561"/>
      <c r="CQ44" s="561"/>
      <c r="CR44" s="561"/>
      <c r="CS44" s="561"/>
      <c r="CT44" s="561"/>
      <c r="CU44" s="561"/>
      <c r="CV44" s="561"/>
      <c r="CW44" s="561"/>
      <c r="CX44" s="561"/>
      <c r="CY44" s="561"/>
      <c r="CZ44" s="561"/>
      <c r="DA44" s="561"/>
      <c r="DB44" s="561"/>
      <c r="DC44" s="561"/>
      <c r="DD44" s="561"/>
      <c r="DE44" s="561"/>
      <c r="DF44" s="561"/>
      <c r="DG44" s="561"/>
      <c r="DH44" s="561"/>
      <c r="DI44" s="561"/>
      <c r="DJ44" s="561"/>
      <c r="DK44" s="561"/>
      <c r="DL44" s="561"/>
      <c r="DM44" s="561"/>
      <c r="DN44" s="561"/>
      <c r="DO44" s="561"/>
      <c r="DP44" s="561"/>
      <c r="DQ44" s="561"/>
      <c r="DR44" s="561"/>
      <c r="DS44" s="561"/>
      <c r="DT44" s="561"/>
      <c r="DU44" s="561"/>
      <c r="DV44" s="561"/>
      <c r="DW44" s="561"/>
      <c r="DX44" s="561"/>
      <c r="DY44" s="561"/>
      <c r="DZ44" s="561"/>
      <c r="EA44" s="561"/>
      <c r="EB44" s="561"/>
      <c r="EC44" s="561"/>
      <c r="ED44" s="561"/>
      <c r="EE44" s="561"/>
      <c r="EF44" s="561"/>
      <c r="EG44" s="561"/>
      <c r="EH44" s="561"/>
      <c r="EI44" s="561"/>
      <c r="EJ44" s="561"/>
      <c r="EK44" s="561"/>
      <c r="EL44" s="561"/>
      <c r="EM44" s="561"/>
      <c r="EN44" s="561"/>
      <c r="EO44" s="561"/>
      <c r="EP44" s="561"/>
      <c r="EQ44" s="561"/>
      <c r="ER44" s="561"/>
      <c r="ES44" s="561"/>
      <c r="ET44" s="561"/>
      <c r="EU44" s="561"/>
      <c r="EV44" s="561"/>
      <c r="EW44" s="561"/>
      <c r="EX44" s="561"/>
      <c r="EY44" s="561"/>
      <c r="EZ44" s="561"/>
      <c r="FA44" s="561"/>
      <c r="FB44" s="561"/>
      <c r="FC44" s="561"/>
      <c r="FD44" s="561"/>
      <c r="FE44" s="561"/>
      <c r="FF44" s="561"/>
      <c r="FG44" s="561"/>
      <c r="FH44" s="561"/>
      <c r="FI44" s="561"/>
      <c r="FJ44" s="561"/>
      <c r="FK44" s="561"/>
      <c r="FL44" s="561"/>
      <c r="FM44" s="561"/>
      <c r="FN44" s="561"/>
      <c r="FO44" s="561"/>
      <c r="FP44" s="561"/>
      <c r="FQ44" s="561"/>
      <c r="FR44" s="561"/>
      <c r="FS44" s="561"/>
      <c r="FT44" s="561"/>
      <c r="FU44" s="561"/>
      <c r="FV44" s="561"/>
      <c r="FW44" s="561"/>
      <c r="FX44" s="561"/>
      <c r="FY44" s="561"/>
      <c r="FZ44" s="561"/>
      <c r="GA44" s="561"/>
      <c r="GB44" s="561"/>
      <c r="GC44" s="561"/>
      <c r="GD44" s="561"/>
      <c r="GE44" s="561"/>
      <c r="GF44" s="561"/>
      <c r="GG44" s="561"/>
      <c r="GH44" s="561"/>
      <c r="GI44" s="561"/>
      <c r="GJ44" s="561"/>
      <c r="GK44" s="561"/>
      <c r="GL44" s="561"/>
      <c r="GM44" s="561"/>
      <c r="GN44" s="561"/>
      <c r="GO44" s="561"/>
      <c r="GP44" s="561"/>
      <c r="GQ44" s="561"/>
      <c r="GR44" s="561"/>
      <c r="GS44" s="561"/>
      <c r="GT44" s="561"/>
      <c r="GU44" s="561"/>
      <c r="GV44" s="561"/>
      <c r="GW44" s="561"/>
      <c r="GX44" s="561"/>
      <c r="GY44" s="561"/>
      <c r="GZ44" s="561"/>
      <c r="HA44" s="561"/>
      <c r="HB44" s="561"/>
      <c r="HC44" s="561"/>
      <c r="HD44" s="561"/>
      <c r="HE44" s="561"/>
      <c r="HF44" s="561"/>
      <c r="HG44" s="561"/>
      <c r="HH44" s="561"/>
      <c r="HI44" s="561"/>
      <c r="HJ44" s="561"/>
      <c r="HK44" s="561"/>
      <c r="HL44" s="561"/>
      <c r="HM44" s="561"/>
      <c r="HN44" s="561"/>
      <c r="HO44" s="561"/>
      <c r="HP44" s="561"/>
      <c r="HQ44" s="561"/>
      <c r="HR44" s="561"/>
      <c r="HS44" s="561"/>
      <c r="HT44" s="561"/>
      <c r="HU44" s="561"/>
      <c r="HV44" s="561"/>
      <c r="HW44" s="561"/>
      <c r="HX44" s="561"/>
      <c r="HY44" s="561"/>
      <c r="HZ44" s="561"/>
      <c r="IA44" s="561"/>
      <c r="IB44" s="561"/>
      <c r="IC44" s="561"/>
      <c r="ID44" s="561"/>
      <c r="IE44" s="561"/>
      <c r="IF44" s="561"/>
      <c r="IG44" s="561"/>
      <c r="IH44" s="561"/>
      <c r="II44" s="561"/>
      <c r="IJ44" s="561"/>
      <c r="IK44" s="561"/>
      <c r="IL44" s="561"/>
      <c r="IM44" s="561"/>
      <c r="IN44" s="561"/>
      <c r="IO44" s="561"/>
      <c r="IP44" s="561"/>
      <c r="IQ44" s="561"/>
      <c r="IR44" s="561"/>
      <c r="IS44" s="561"/>
      <c r="IT44" s="561"/>
      <c r="IU44" s="561"/>
      <c r="IV44" s="561"/>
      <c r="IW44" s="561"/>
    </row>
    <row r="45" customFormat="false" ht="12.75" hidden="false" customHeight="false" outlineLevel="1" collapsed="false">
      <c r="A45" s="574" t="s">
        <v>999</v>
      </c>
      <c r="B45" s="575"/>
      <c r="C45" s="576"/>
      <c r="D45" s="554"/>
      <c r="E45" s="555"/>
      <c r="F45" s="556"/>
      <c r="H45" s="577"/>
      <c r="I45" s="558" t="n">
        <f aca="false">IF(D55=0,0,I55/D55)</f>
        <v>1</v>
      </c>
      <c r="J45" s="558" t="n">
        <f aca="false">1-I45</f>
        <v>0</v>
      </c>
      <c r="K45" s="559" t="n">
        <f aca="false">IF(D55=0,0,K55/D55)</f>
        <v>0.75</v>
      </c>
      <c r="L45" s="559" t="n">
        <f aca="false">1-K45</f>
        <v>0.25</v>
      </c>
      <c r="M45" s="561"/>
      <c r="N45" s="561"/>
      <c r="O45" s="588" t="s">
        <v>1000</v>
      </c>
      <c r="P45" s="588"/>
      <c r="Q45" s="588" t="s">
        <v>1001</v>
      </c>
      <c r="R45" s="561"/>
      <c r="S45" s="588" t="s">
        <v>1002</v>
      </c>
      <c r="T45" s="561"/>
      <c r="U45" s="561"/>
      <c r="V45" s="561"/>
      <c r="W45" s="561"/>
      <c r="X45" s="561"/>
      <c r="Y45" s="561"/>
      <c r="Z45" s="561"/>
      <c r="AA45" s="561"/>
      <c r="AB45" s="561"/>
      <c r="AC45" s="561"/>
      <c r="AD45" s="561"/>
      <c r="AE45" s="561"/>
      <c r="AF45" s="561"/>
      <c r="AG45" s="561"/>
      <c r="AH45" s="561"/>
      <c r="AI45" s="561"/>
      <c r="AJ45" s="561"/>
      <c r="AK45" s="561"/>
      <c r="AL45" s="561"/>
      <c r="AM45" s="561"/>
      <c r="AN45" s="561"/>
      <c r="AO45" s="561"/>
      <c r="AP45" s="561"/>
      <c r="AQ45" s="561"/>
      <c r="AR45" s="561"/>
      <c r="AS45" s="561"/>
      <c r="AT45" s="561"/>
      <c r="AU45" s="561"/>
      <c r="AV45" s="561"/>
      <c r="AW45" s="561"/>
      <c r="AX45" s="561"/>
      <c r="AY45" s="561"/>
      <c r="AZ45" s="561"/>
      <c r="BA45" s="561"/>
      <c r="BB45" s="561"/>
      <c r="BC45" s="561"/>
      <c r="BD45" s="561"/>
      <c r="BE45" s="561"/>
      <c r="BF45" s="561"/>
      <c r="BG45" s="561"/>
      <c r="BH45" s="561"/>
      <c r="BI45" s="561"/>
      <c r="BJ45" s="561"/>
      <c r="BK45" s="561"/>
      <c r="BL45" s="561"/>
      <c r="BM45" s="561"/>
      <c r="BN45" s="561"/>
      <c r="BO45" s="561"/>
      <c r="BP45" s="561"/>
      <c r="BQ45" s="561"/>
      <c r="BR45" s="561"/>
      <c r="BS45" s="561"/>
      <c r="BT45" s="561"/>
      <c r="BU45" s="561"/>
      <c r="BV45" s="561"/>
      <c r="BW45" s="561"/>
      <c r="BX45" s="561"/>
      <c r="BY45" s="561"/>
      <c r="BZ45" s="561"/>
      <c r="CA45" s="561"/>
      <c r="CB45" s="561"/>
      <c r="CC45" s="561"/>
      <c r="CD45" s="561"/>
      <c r="CE45" s="561"/>
      <c r="CF45" s="561"/>
      <c r="CG45" s="561"/>
      <c r="CH45" s="561"/>
      <c r="CI45" s="561"/>
      <c r="CJ45" s="561"/>
      <c r="CK45" s="561"/>
      <c r="CL45" s="561"/>
      <c r="CM45" s="561"/>
      <c r="CN45" s="561"/>
      <c r="CO45" s="561"/>
      <c r="CP45" s="561"/>
      <c r="CQ45" s="561"/>
      <c r="CR45" s="561"/>
      <c r="CS45" s="561"/>
      <c r="CT45" s="561"/>
      <c r="CU45" s="561"/>
      <c r="CV45" s="561"/>
      <c r="CW45" s="561"/>
      <c r="CX45" s="561"/>
      <c r="CY45" s="561"/>
      <c r="CZ45" s="561"/>
      <c r="DA45" s="561"/>
      <c r="DB45" s="561"/>
      <c r="DC45" s="561"/>
      <c r="DD45" s="561"/>
      <c r="DE45" s="561"/>
      <c r="DF45" s="561"/>
      <c r="DG45" s="561"/>
      <c r="DH45" s="561"/>
      <c r="DI45" s="561"/>
      <c r="DJ45" s="561"/>
      <c r="DK45" s="561"/>
      <c r="DL45" s="561"/>
      <c r="DM45" s="561"/>
      <c r="DN45" s="561"/>
      <c r="DO45" s="561"/>
      <c r="DP45" s="561"/>
      <c r="DQ45" s="561"/>
      <c r="DR45" s="561"/>
      <c r="DS45" s="561"/>
      <c r="DT45" s="561"/>
      <c r="DU45" s="561"/>
      <c r="DV45" s="561"/>
      <c r="DW45" s="561"/>
      <c r="DX45" s="561"/>
      <c r="DY45" s="561"/>
      <c r="DZ45" s="561"/>
      <c r="EA45" s="561"/>
      <c r="EB45" s="561"/>
      <c r="EC45" s="561"/>
      <c r="ED45" s="561"/>
      <c r="EE45" s="561"/>
      <c r="EF45" s="561"/>
      <c r="EG45" s="561"/>
      <c r="EH45" s="561"/>
      <c r="EI45" s="561"/>
      <c r="EJ45" s="561"/>
      <c r="EK45" s="561"/>
      <c r="EL45" s="561"/>
      <c r="EM45" s="561"/>
      <c r="EN45" s="561"/>
      <c r="EO45" s="561"/>
      <c r="EP45" s="561"/>
      <c r="EQ45" s="561"/>
      <c r="ER45" s="561"/>
      <c r="ES45" s="561"/>
      <c r="ET45" s="561"/>
      <c r="EU45" s="561"/>
      <c r="EV45" s="561"/>
      <c r="EW45" s="561"/>
      <c r="EX45" s="561"/>
      <c r="EY45" s="561"/>
      <c r="EZ45" s="561"/>
      <c r="FA45" s="561"/>
      <c r="FB45" s="561"/>
      <c r="FC45" s="561"/>
      <c r="FD45" s="561"/>
      <c r="FE45" s="561"/>
      <c r="FF45" s="561"/>
      <c r="FG45" s="561"/>
      <c r="FH45" s="561"/>
      <c r="FI45" s="561"/>
      <c r="FJ45" s="561"/>
      <c r="FK45" s="561"/>
      <c r="FL45" s="561"/>
      <c r="FM45" s="561"/>
      <c r="FN45" s="561"/>
      <c r="FO45" s="561"/>
      <c r="FP45" s="561"/>
      <c r="FQ45" s="561"/>
      <c r="FR45" s="561"/>
      <c r="FS45" s="561"/>
      <c r="FT45" s="561"/>
      <c r="FU45" s="561"/>
      <c r="FV45" s="561"/>
      <c r="FW45" s="561"/>
      <c r="FX45" s="561"/>
      <c r="FY45" s="561"/>
      <c r="FZ45" s="561"/>
      <c r="GA45" s="561"/>
      <c r="GB45" s="561"/>
      <c r="GC45" s="561"/>
      <c r="GD45" s="561"/>
      <c r="GE45" s="561"/>
      <c r="GF45" s="561"/>
      <c r="GG45" s="561"/>
      <c r="GH45" s="561"/>
      <c r="GI45" s="561"/>
      <c r="GJ45" s="561"/>
      <c r="GK45" s="561"/>
      <c r="GL45" s="561"/>
      <c r="GM45" s="561"/>
      <c r="GN45" s="561"/>
      <c r="GO45" s="561"/>
      <c r="GP45" s="561"/>
      <c r="GQ45" s="561"/>
      <c r="GR45" s="561"/>
      <c r="GS45" s="561"/>
      <c r="GT45" s="561"/>
      <c r="GU45" s="561"/>
      <c r="GV45" s="561"/>
      <c r="GW45" s="561"/>
      <c r="GX45" s="561"/>
      <c r="GY45" s="561"/>
      <c r="GZ45" s="561"/>
      <c r="HA45" s="561"/>
      <c r="HB45" s="561"/>
      <c r="HC45" s="561"/>
      <c r="HD45" s="561"/>
      <c r="HE45" s="561"/>
      <c r="HF45" s="561"/>
      <c r="HG45" s="561"/>
      <c r="HH45" s="561"/>
      <c r="HI45" s="561"/>
      <c r="HJ45" s="561"/>
      <c r="HK45" s="561"/>
      <c r="HL45" s="561"/>
      <c r="HM45" s="561"/>
      <c r="HN45" s="561"/>
      <c r="HO45" s="561"/>
      <c r="HP45" s="561"/>
      <c r="HQ45" s="561"/>
      <c r="HR45" s="561"/>
      <c r="HS45" s="561"/>
      <c r="HT45" s="561"/>
      <c r="HU45" s="561"/>
      <c r="HV45" s="561"/>
      <c r="HW45" s="561"/>
      <c r="HX45" s="561"/>
      <c r="HY45" s="561"/>
      <c r="HZ45" s="561"/>
      <c r="IA45" s="561"/>
      <c r="IB45" s="561"/>
      <c r="IC45" s="561"/>
      <c r="ID45" s="561"/>
      <c r="IE45" s="561"/>
      <c r="IF45" s="561"/>
      <c r="IG45" s="561"/>
      <c r="IH45" s="561"/>
      <c r="II45" s="561"/>
      <c r="IJ45" s="561"/>
      <c r="IK45" s="561"/>
      <c r="IL45" s="561"/>
      <c r="IM45" s="561"/>
      <c r="IN45" s="561"/>
      <c r="IO45" s="561"/>
      <c r="IP45" s="561"/>
      <c r="IQ45" s="561"/>
      <c r="IR45" s="561"/>
      <c r="IS45" s="561"/>
      <c r="IT45" s="561"/>
      <c r="IU45" s="561"/>
      <c r="IV45" s="561"/>
      <c r="IW45" s="561"/>
    </row>
    <row r="46" customFormat="false" ht="12.75" hidden="false" customHeight="false" outlineLevel="2" collapsed="false">
      <c r="A46" s="316"/>
      <c r="B46" s="569" t="str">
        <f aca="false">'Plant Configuration'!C85</f>
        <v>Security training and facilities</v>
      </c>
      <c r="C46" s="44"/>
      <c r="D46" s="578" t="n">
        <f aca="false">IF($O$7=6,0,HLOOKUP($D$5,Plant_Configuration,'Plant Configuration'!A85,FALSE()))+IF($R$7=6,0,HLOOKUP($E$5,Plant_Configuration,'Plant Configuration'!A85,FALSE()))+IF($U$7=6,0,HLOOKUP($F$5,Plant_Configuration,'Plant Configuration'!A85,FALSE()))</f>
        <v>0</v>
      </c>
      <c r="E46" s="342" t="n">
        <v>0</v>
      </c>
      <c r="F46" s="566" t="n">
        <v>1</v>
      </c>
      <c r="H46" s="316" t="s">
        <v>1003</v>
      </c>
      <c r="I46" s="567" t="n">
        <f aca="false">D46-J46</f>
        <v>0</v>
      </c>
      <c r="J46" s="567" t="n">
        <f aca="false">E46*D46</f>
        <v>0</v>
      </c>
      <c r="K46" s="317" t="n">
        <f aca="false">F46*D46</f>
        <v>0</v>
      </c>
      <c r="L46" s="317" t="n">
        <f aca="false">D46-K46</f>
        <v>0</v>
      </c>
      <c r="N46" s="45"/>
      <c r="O46" s="588"/>
      <c r="P46" s="588"/>
      <c r="Q46" s="588"/>
      <c r="S46" s="588"/>
    </row>
    <row r="47" customFormat="false" ht="12.75" hidden="false" customHeight="false" outlineLevel="2" collapsed="false">
      <c r="A47" s="316"/>
      <c r="B47" s="569" t="str">
        <f aca="false">'Plant Configuration'!C86</f>
        <v>Building repairs &amp; painting</v>
      </c>
      <c r="C47" s="44"/>
      <c r="D47" s="578" t="n">
        <f aca="false">IF($O$7=6,0,HLOOKUP($D$5,Plant_Configuration,'Plant Configuration'!A86,FALSE()))+IF($R$7=6,0,HLOOKUP($E$5,Plant_Configuration,'Plant Configuration'!A86,FALSE()))+IF($U$7=6,0,HLOOKUP($F$5,Plant_Configuration,'Plant Configuration'!A86,FALSE()))</f>
        <v>6000</v>
      </c>
      <c r="E47" s="342" t="n">
        <v>0</v>
      </c>
      <c r="F47" s="566" t="n">
        <v>1</v>
      </c>
      <c r="H47" s="316" t="s">
        <v>1004</v>
      </c>
      <c r="I47" s="567" t="n">
        <f aca="false">D47-J47</f>
        <v>6000</v>
      </c>
      <c r="J47" s="567" t="n">
        <f aca="false">E47*D47</f>
        <v>0</v>
      </c>
      <c r="K47" s="317" t="n">
        <f aca="false">F47*D47</f>
        <v>6000</v>
      </c>
      <c r="L47" s="317" t="n">
        <f aca="false">D47-K47</f>
        <v>0</v>
      </c>
      <c r="N47" s="522" t="s">
        <v>1005</v>
      </c>
      <c r="O47" s="45"/>
    </row>
    <row r="48" customFormat="false" ht="12.75" hidden="false" customHeight="false" outlineLevel="2" collapsed="false">
      <c r="A48" s="316"/>
      <c r="B48" s="569" t="str">
        <f aca="false">'Plant Configuration'!C87</f>
        <v>Road repairs</v>
      </c>
      <c r="C48" s="44"/>
      <c r="D48" s="578" t="n">
        <f aca="false">IF($O$7=6,0,HLOOKUP($D$5,Plant_Configuration,'Plant Configuration'!A87,FALSE()))+IF($R$7=6,0,HLOOKUP($E$5,Plant_Configuration,'Plant Configuration'!A87,FALSE()))+IF($U$7=6,0,HLOOKUP($F$5,Plant_Configuration,'Plant Configuration'!A87,FALSE()))</f>
        <v>0</v>
      </c>
      <c r="E48" s="342" t="n">
        <v>0</v>
      </c>
      <c r="F48" s="566" t="n">
        <v>1</v>
      </c>
      <c r="H48" s="316" t="s">
        <v>1006</v>
      </c>
      <c r="I48" s="567" t="n">
        <f aca="false">D48-J48</f>
        <v>0</v>
      </c>
      <c r="J48" s="567" t="n">
        <f aca="false">E48*D48</f>
        <v>0</v>
      </c>
      <c r="K48" s="317" t="n">
        <f aca="false">F48*D48</f>
        <v>0</v>
      </c>
      <c r="L48" s="317" t="n">
        <f aca="false">D48-K48</f>
        <v>0</v>
      </c>
      <c r="N48" s="45" t="s">
        <v>1007</v>
      </c>
      <c r="O48" s="45"/>
    </row>
    <row r="49" customFormat="false" ht="12.75" hidden="false" customHeight="false" outlineLevel="2" collapsed="false">
      <c r="A49" s="316"/>
      <c r="B49" s="569" t="str">
        <f aca="false">'Plant Configuration'!C88</f>
        <v>Technical/Professional Services</v>
      </c>
      <c r="C49" s="44"/>
      <c r="D49" s="578" t="n">
        <f aca="false">IF($O$7=6,0,HLOOKUP($D$5,Plant_Configuration,'Plant Configuration'!A88,FALSE()))+IF($R$7=6,0,HLOOKUP($E$5,Plant_Configuration,'Plant Configuration'!A88,FALSE()))+IF($U$7=6,0,HLOOKUP($F$5,Plant_Configuration,'Plant Configuration'!A88,FALSE()))</f>
        <v>0</v>
      </c>
      <c r="E49" s="342" t="n">
        <v>0</v>
      </c>
      <c r="F49" s="566" t="n">
        <v>1</v>
      </c>
      <c r="H49" s="316" t="s">
        <v>1008</v>
      </c>
      <c r="I49" s="567" t="n">
        <f aca="false">D49-J49</f>
        <v>0</v>
      </c>
      <c r="J49" s="567" t="n">
        <f aca="false">E49*D49</f>
        <v>0</v>
      </c>
      <c r="K49" s="317" t="n">
        <f aca="false">F49*D49</f>
        <v>0</v>
      </c>
      <c r="L49" s="317" t="n">
        <f aca="false">D49-K49</f>
        <v>0</v>
      </c>
      <c r="N49" s="522" t="s">
        <v>1009</v>
      </c>
      <c r="O49" s="45"/>
    </row>
    <row r="50" customFormat="false" ht="12.75" hidden="false" customHeight="false" outlineLevel="2" collapsed="false">
      <c r="A50" s="316"/>
      <c r="B50" s="569" t="str">
        <f aca="false">'Plant Configuration'!C89</f>
        <v>Outside services Contract labor</v>
      </c>
      <c r="C50" s="44"/>
      <c r="D50" s="578" t="n">
        <f aca="false">IF($O$7=6,0,HLOOKUP($D$5,Plant_Configuration,'Plant Configuration'!A89,FALSE()))+IF($R$7=6,0,HLOOKUP($E$5,Plant_Configuration,'Plant Configuration'!A89,FALSE()))+IF($U$7=6,0,HLOOKUP($F$5,Plant_Configuration,'Plant Configuration'!A89,FALSE()))</f>
        <v>0</v>
      </c>
      <c r="E50" s="342" t="n">
        <v>0</v>
      </c>
      <c r="F50" s="566" t="n">
        <v>1</v>
      </c>
      <c r="H50" s="316" t="s">
        <v>977</v>
      </c>
      <c r="I50" s="567" t="n">
        <f aca="false">D50-J50</f>
        <v>0</v>
      </c>
      <c r="J50" s="567" t="n">
        <f aca="false">E50*D50</f>
        <v>0</v>
      </c>
      <c r="K50" s="317"/>
      <c r="L50" s="317"/>
      <c r="N50" s="45"/>
      <c r="O50" s="45"/>
    </row>
    <row r="51" customFormat="false" ht="12.75" hidden="false" customHeight="false" outlineLevel="2" collapsed="false">
      <c r="A51" s="316"/>
      <c r="B51" s="569" t="str">
        <f aca="false">'Plant Configuration'!C90</f>
        <v>Equipment Rentals</v>
      </c>
      <c r="C51" s="44"/>
      <c r="D51" s="578" t="n">
        <f aca="false">IF($O$7=6,0,HLOOKUP($D$5,Plant_Configuration,'Plant Configuration'!A90,FALSE()))+IF($R$7=6,0,HLOOKUP($E$5,Plant_Configuration,'Plant Configuration'!A90,FALSE()))+IF($U$7=6,0,HLOOKUP($F$5,Plant_Configuration,'Plant Configuration'!A90,FALSE()))</f>
        <v>2000</v>
      </c>
      <c r="E51" s="342" t="n">
        <v>0</v>
      </c>
      <c r="F51" s="566" t="n">
        <v>1</v>
      </c>
      <c r="H51" s="316"/>
      <c r="I51" s="567" t="n">
        <f aca="false">D51-J51</f>
        <v>2000</v>
      </c>
      <c r="J51" s="567" t="n">
        <f aca="false">E51*D51</f>
        <v>0</v>
      </c>
      <c r="K51" s="317"/>
      <c r="L51" s="317"/>
      <c r="N51" s="522" t="s">
        <v>1010</v>
      </c>
      <c r="O51" s="45"/>
    </row>
    <row r="52" customFormat="false" ht="12.75" hidden="false" customHeight="false" outlineLevel="2" collapsed="false">
      <c r="A52" s="316"/>
      <c r="B52" s="569" t="str">
        <f aca="false">'Plant Configuration'!C91</f>
        <v>Other Rents</v>
      </c>
      <c r="C52" s="44"/>
      <c r="D52" s="578" t="n">
        <f aca="false">IF($O$7=6,0,HLOOKUP($D$5,Plant_Configuration,'Plant Configuration'!A91,FALSE()))+IF($R$7=6,0,HLOOKUP($E$5,Plant_Configuration,'Plant Configuration'!A91,FALSE()))+IF($U$7=6,0,HLOOKUP($F$5,Plant_Configuration,'Plant Configuration'!A91,FALSE()))</f>
        <v>0</v>
      </c>
      <c r="E52" s="342" t="n">
        <v>0</v>
      </c>
      <c r="F52" s="566" t="n">
        <v>1</v>
      </c>
      <c r="H52" s="316"/>
      <c r="I52" s="567" t="n">
        <f aca="false">D52-J52</f>
        <v>0</v>
      </c>
      <c r="J52" s="567" t="n">
        <f aca="false">E52*D52</f>
        <v>0</v>
      </c>
      <c r="K52" s="317"/>
      <c r="L52" s="317"/>
      <c r="N52" s="45"/>
      <c r="O52" s="45"/>
    </row>
    <row r="53" customFormat="false" ht="12.75" hidden="false" customHeight="false" outlineLevel="2" collapsed="false">
      <c r="A53" s="316"/>
      <c r="B53" s="569" t="str">
        <f aca="false">'Plant Configuration'!C92</f>
        <v>Supplies</v>
      </c>
      <c r="C53" s="44"/>
      <c r="D53" s="578" t="n">
        <f aca="false">IF($O$7=6,0,HLOOKUP($D$5,Plant_Configuration,'Plant Configuration'!A92,FALSE()))+IF($R$7=6,0,HLOOKUP($E$5,Plant_Configuration,'Plant Configuration'!A92,FALSE()))+IF($U$7=6,0,HLOOKUP($F$5,Plant_Configuration,'Plant Configuration'!A92,FALSE()))</f>
        <v>0</v>
      </c>
      <c r="E53" s="342" t="n">
        <v>0</v>
      </c>
      <c r="F53" s="566" t="n">
        <v>1</v>
      </c>
      <c r="H53" s="316"/>
      <c r="I53" s="567" t="n">
        <f aca="false">D53-J53</f>
        <v>0</v>
      </c>
      <c r="J53" s="567" t="n">
        <f aca="false">E53*D53</f>
        <v>0</v>
      </c>
      <c r="K53" s="317"/>
      <c r="L53" s="317"/>
      <c r="N53" s="45"/>
      <c r="O53" s="45"/>
    </row>
    <row r="54" customFormat="false" ht="12.75" hidden="false" customHeight="false" outlineLevel="2" collapsed="false">
      <c r="A54" s="316"/>
      <c r="B54" s="569" t="str">
        <f aca="false">'Plant Configuration'!C93</f>
        <v>Other</v>
      </c>
      <c r="C54" s="44"/>
      <c r="D54" s="578" t="n">
        <f aca="false">IF($O$7=6,0,HLOOKUP($D$5,Plant_Configuration,'Plant Configuration'!A93,FALSE()))+IF($R$7=6,0,HLOOKUP($E$5,Plant_Configuration,'Plant Configuration'!A93,FALSE()))+IF($U$7=6,0,HLOOKUP($F$5,Plant_Configuration,'Plant Configuration'!A93,FALSE()))</f>
        <v>0</v>
      </c>
      <c r="E54" s="342" t="n">
        <v>0</v>
      </c>
      <c r="F54" s="566" t="n">
        <v>1</v>
      </c>
      <c r="H54" s="316"/>
      <c r="I54" s="567" t="n">
        <f aca="false">D54-J54</f>
        <v>0</v>
      </c>
      <c r="J54" s="567" t="n">
        <f aca="false">E54*D54</f>
        <v>0</v>
      </c>
      <c r="K54" s="317"/>
      <c r="L54" s="317"/>
      <c r="N54" s="45"/>
      <c r="O54" s="45"/>
    </row>
    <row r="55" customFormat="false" ht="12.75" hidden="false" customHeight="false" outlineLevel="1" collapsed="false">
      <c r="A55" s="579"/>
      <c r="B55" s="570" t="s">
        <v>431</v>
      </c>
      <c r="C55" s="0"/>
      <c r="D55" s="571" t="n">
        <f aca="false">SUBTOTAL(9,D46:D54)</f>
        <v>8000</v>
      </c>
      <c r="E55" s="572"/>
      <c r="F55" s="573"/>
      <c r="H55" s="316" t="s">
        <v>980</v>
      </c>
      <c r="I55" s="571" t="n">
        <f aca="false">SUBTOTAL(9,I46:I52)</f>
        <v>8000</v>
      </c>
      <c r="J55" s="571" t="n">
        <f aca="false">SUBTOTAL(9,J46:J52)</f>
        <v>0</v>
      </c>
      <c r="K55" s="571" t="n">
        <f aca="false">SUBTOTAL(9,K46:K52)</f>
        <v>6000</v>
      </c>
      <c r="L55" s="571" t="n">
        <f aca="false">SUBTOTAL(9,L46:L52)</f>
        <v>0</v>
      </c>
      <c r="M55" s="561"/>
      <c r="N55" s="561"/>
      <c r="O55" s="561"/>
      <c r="P55" s="561"/>
      <c r="Q55" s="561"/>
      <c r="R55" s="561"/>
      <c r="S55" s="561"/>
      <c r="T55" s="561"/>
      <c r="U55" s="561"/>
      <c r="V55" s="561"/>
      <c r="W55" s="561"/>
      <c r="X55" s="561"/>
      <c r="Y55" s="561"/>
      <c r="Z55" s="561"/>
      <c r="AA55" s="561"/>
      <c r="AB55" s="561"/>
      <c r="AC55" s="561"/>
      <c r="AD55" s="561"/>
      <c r="AE55" s="561"/>
      <c r="AF55" s="561"/>
      <c r="AG55" s="561"/>
      <c r="AH55" s="561"/>
      <c r="AI55" s="561"/>
      <c r="AJ55" s="561"/>
      <c r="AK55" s="561"/>
      <c r="AL55" s="561"/>
      <c r="AM55" s="561"/>
      <c r="AN55" s="561"/>
      <c r="AO55" s="561"/>
      <c r="AP55" s="561"/>
      <c r="AQ55" s="561"/>
      <c r="AR55" s="561"/>
      <c r="AS55" s="561"/>
      <c r="AT55" s="561"/>
      <c r="AU55" s="561"/>
      <c r="AV55" s="561"/>
      <c r="AW55" s="561"/>
      <c r="AX55" s="561"/>
      <c r="AY55" s="561"/>
      <c r="AZ55" s="561"/>
      <c r="BA55" s="561"/>
      <c r="BB55" s="561"/>
      <c r="BC55" s="561"/>
      <c r="BD55" s="561"/>
      <c r="BE55" s="561"/>
      <c r="BF55" s="561"/>
      <c r="BG55" s="561"/>
      <c r="BH55" s="561"/>
      <c r="BI55" s="561"/>
      <c r="BJ55" s="561"/>
      <c r="BK55" s="561"/>
      <c r="BL55" s="561"/>
      <c r="BM55" s="561"/>
      <c r="BN55" s="561"/>
      <c r="BO55" s="561"/>
      <c r="BP55" s="561"/>
      <c r="BQ55" s="561"/>
      <c r="BR55" s="561"/>
      <c r="BS55" s="561"/>
      <c r="BT55" s="561"/>
      <c r="BU55" s="561"/>
      <c r="BV55" s="561"/>
      <c r="BW55" s="561"/>
      <c r="BX55" s="561"/>
      <c r="BY55" s="561"/>
      <c r="BZ55" s="561"/>
      <c r="CA55" s="561"/>
      <c r="CB55" s="561"/>
      <c r="CC55" s="561"/>
      <c r="CD55" s="561"/>
      <c r="CE55" s="561"/>
      <c r="CF55" s="561"/>
      <c r="CG55" s="561"/>
      <c r="CH55" s="561"/>
      <c r="CI55" s="561"/>
      <c r="CJ55" s="561"/>
      <c r="CK55" s="561"/>
      <c r="CL55" s="561"/>
      <c r="CM55" s="561"/>
      <c r="CN55" s="561"/>
      <c r="CO55" s="561"/>
      <c r="CP55" s="561"/>
      <c r="CQ55" s="561"/>
      <c r="CR55" s="561"/>
      <c r="CS55" s="561"/>
      <c r="CT55" s="561"/>
      <c r="CU55" s="561"/>
      <c r="CV55" s="561"/>
      <c r="CW55" s="561"/>
      <c r="CX55" s="561"/>
      <c r="CY55" s="561"/>
      <c r="CZ55" s="561"/>
      <c r="DA55" s="561"/>
      <c r="DB55" s="561"/>
      <c r="DC55" s="561"/>
      <c r="DD55" s="561"/>
      <c r="DE55" s="561"/>
      <c r="DF55" s="561"/>
      <c r="DG55" s="561"/>
      <c r="DH55" s="561"/>
      <c r="DI55" s="561"/>
      <c r="DJ55" s="561"/>
      <c r="DK55" s="561"/>
      <c r="DL55" s="561"/>
      <c r="DM55" s="561"/>
      <c r="DN55" s="561"/>
      <c r="DO55" s="561"/>
      <c r="DP55" s="561"/>
      <c r="DQ55" s="561"/>
      <c r="DR55" s="561"/>
      <c r="DS55" s="561"/>
      <c r="DT55" s="561"/>
      <c r="DU55" s="561"/>
      <c r="DV55" s="561"/>
      <c r="DW55" s="561"/>
      <c r="DX55" s="561"/>
      <c r="DY55" s="561"/>
      <c r="DZ55" s="561"/>
      <c r="EA55" s="561"/>
      <c r="EB55" s="561"/>
      <c r="EC55" s="561"/>
      <c r="ED55" s="561"/>
      <c r="EE55" s="561"/>
      <c r="EF55" s="561"/>
      <c r="EG55" s="561"/>
      <c r="EH55" s="561"/>
      <c r="EI55" s="561"/>
      <c r="EJ55" s="561"/>
      <c r="EK55" s="561"/>
      <c r="EL55" s="561"/>
      <c r="EM55" s="561"/>
      <c r="EN55" s="561"/>
      <c r="EO55" s="561"/>
      <c r="EP55" s="561"/>
      <c r="EQ55" s="561"/>
      <c r="ER55" s="561"/>
      <c r="ES55" s="561"/>
      <c r="ET55" s="561"/>
      <c r="EU55" s="561"/>
      <c r="EV55" s="561"/>
      <c r="EW55" s="561"/>
      <c r="EX55" s="561"/>
      <c r="EY55" s="561"/>
      <c r="EZ55" s="561"/>
      <c r="FA55" s="561"/>
      <c r="FB55" s="561"/>
      <c r="FC55" s="561"/>
      <c r="FD55" s="561"/>
      <c r="FE55" s="561"/>
      <c r="FF55" s="561"/>
      <c r="FG55" s="561"/>
      <c r="FH55" s="561"/>
      <c r="FI55" s="561"/>
      <c r="FJ55" s="561"/>
      <c r="FK55" s="561"/>
      <c r="FL55" s="561"/>
      <c r="FM55" s="561"/>
      <c r="FN55" s="561"/>
      <c r="FO55" s="561"/>
      <c r="FP55" s="561"/>
      <c r="FQ55" s="561"/>
      <c r="FR55" s="561"/>
      <c r="FS55" s="561"/>
      <c r="FT55" s="561"/>
      <c r="FU55" s="561"/>
      <c r="FV55" s="561"/>
      <c r="FW55" s="561"/>
      <c r="FX55" s="561"/>
      <c r="FY55" s="561"/>
      <c r="FZ55" s="561"/>
      <c r="GA55" s="561"/>
      <c r="GB55" s="561"/>
      <c r="GC55" s="561"/>
      <c r="GD55" s="561"/>
      <c r="GE55" s="561"/>
      <c r="GF55" s="561"/>
      <c r="GG55" s="561"/>
      <c r="GH55" s="561"/>
      <c r="GI55" s="561"/>
      <c r="GJ55" s="561"/>
      <c r="GK55" s="561"/>
      <c r="GL55" s="561"/>
      <c r="GM55" s="561"/>
      <c r="GN55" s="561"/>
      <c r="GO55" s="561"/>
      <c r="GP55" s="561"/>
      <c r="GQ55" s="561"/>
      <c r="GR55" s="561"/>
      <c r="GS55" s="561"/>
      <c r="GT55" s="561"/>
      <c r="GU55" s="561"/>
      <c r="GV55" s="561"/>
      <c r="GW55" s="561"/>
      <c r="GX55" s="561"/>
      <c r="GY55" s="561"/>
      <c r="GZ55" s="561"/>
      <c r="HA55" s="561"/>
      <c r="HB55" s="561"/>
      <c r="HC55" s="561"/>
      <c r="HD55" s="561"/>
      <c r="HE55" s="561"/>
      <c r="HF55" s="561"/>
      <c r="HG55" s="561"/>
      <c r="HH55" s="561"/>
      <c r="HI55" s="561"/>
      <c r="HJ55" s="561"/>
      <c r="HK55" s="561"/>
      <c r="HL55" s="561"/>
      <c r="HM55" s="561"/>
      <c r="HN55" s="561"/>
      <c r="HO55" s="561"/>
      <c r="HP55" s="561"/>
      <c r="HQ55" s="561"/>
      <c r="HR55" s="561"/>
      <c r="HS55" s="561"/>
      <c r="HT55" s="561"/>
      <c r="HU55" s="561"/>
      <c r="HV55" s="561"/>
      <c r="HW55" s="561"/>
      <c r="HX55" s="561"/>
      <c r="HY55" s="561"/>
      <c r="HZ55" s="561"/>
      <c r="IA55" s="561"/>
      <c r="IB55" s="561"/>
      <c r="IC55" s="561"/>
      <c r="ID55" s="561"/>
      <c r="IE55" s="561"/>
      <c r="IF55" s="561"/>
      <c r="IG55" s="561"/>
      <c r="IH55" s="561"/>
      <c r="II55" s="561"/>
      <c r="IJ55" s="561"/>
      <c r="IK55" s="561"/>
      <c r="IL55" s="561"/>
      <c r="IM55" s="561"/>
      <c r="IN55" s="561"/>
      <c r="IO55" s="561"/>
      <c r="IP55" s="561"/>
      <c r="IQ55" s="561"/>
      <c r="IR55" s="561"/>
      <c r="IS55" s="561"/>
      <c r="IT55" s="561"/>
      <c r="IU55" s="561"/>
      <c r="IV55" s="561"/>
      <c r="IW55" s="561"/>
    </row>
    <row r="56" customFormat="false" ht="12.75" hidden="false" customHeight="false" outlineLevel="1" collapsed="false">
      <c r="A56" s="574" t="s">
        <v>183</v>
      </c>
      <c r="B56" s="575"/>
      <c r="C56" s="576"/>
      <c r="D56" s="554"/>
      <c r="E56" s="555"/>
      <c r="F56" s="556"/>
      <c r="H56" s="577"/>
      <c r="I56" s="558" t="n">
        <f aca="false">IF(D84=0,0,I84/D84)</f>
        <v>1</v>
      </c>
      <c r="J56" s="558" t="n">
        <f aca="false">1-I56</f>
        <v>0</v>
      </c>
      <c r="K56" s="559" t="n">
        <f aca="false">IF(D84=0,0,K84/D84)</f>
        <v>1</v>
      </c>
      <c r="L56" s="559" t="n">
        <f aca="false">1-K56</f>
        <v>0</v>
      </c>
      <c r="M56" s="561"/>
      <c r="N56" s="561"/>
      <c r="O56" s="561"/>
      <c r="P56" s="561"/>
      <c r="Q56" s="561"/>
      <c r="R56" s="561"/>
      <c r="S56" s="561"/>
      <c r="T56" s="561"/>
      <c r="U56" s="561"/>
      <c r="V56" s="561"/>
      <c r="W56" s="561"/>
      <c r="X56" s="561"/>
      <c r="Y56" s="561"/>
      <c r="Z56" s="561"/>
      <c r="AA56" s="561"/>
      <c r="AB56" s="561"/>
      <c r="AC56" s="561"/>
      <c r="AD56" s="561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561"/>
      <c r="BC56" s="561"/>
      <c r="BD56" s="561"/>
      <c r="BE56" s="561"/>
      <c r="BF56" s="561"/>
      <c r="BG56" s="561"/>
      <c r="BH56" s="561"/>
      <c r="BI56" s="561"/>
      <c r="BJ56" s="561"/>
      <c r="BK56" s="561"/>
      <c r="BL56" s="561"/>
      <c r="BM56" s="561"/>
      <c r="BN56" s="561"/>
      <c r="BO56" s="561"/>
      <c r="BP56" s="561"/>
      <c r="BQ56" s="561"/>
      <c r="BR56" s="561"/>
      <c r="BS56" s="561"/>
      <c r="BT56" s="561"/>
      <c r="BU56" s="561"/>
      <c r="BV56" s="561"/>
      <c r="BW56" s="561"/>
      <c r="BX56" s="561"/>
      <c r="BY56" s="561"/>
      <c r="BZ56" s="561"/>
      <c r="CA56" s="561"/>
      <c r="CB56" s="561"/>
      <c r="CC56" s="561"/>
      <c r="CD56" s="561"/>
      <c r="CE56" s="561"/>
      <c r="CF56" s="561"/>
      <c r="CG56" s="561"/>
      <c r="CH56" s="561"/>
      <c r="CI56" s="561"/>
      <c r="CJ56" s="561"/>
      <c r="CK56" s="561"/>
      <c r="CL56" s="561"/>
      <c r="CM56" s="561"/>
      <c r="CN56" s="561"/>
      <c r="CO56" s="561"/>
      <c r="CP56" s="561"/>
      <c r="CQ56" s="561"/>
      <c r="CR56" s="561"/>
      <c r="CS56" s="561"/>
      <c r="CT56" s="561"/>
      <c r="CU56" s="561"/>
      <c r="CV56" s="561"/>
      <c r="CW56" s="561"/>
      <c r="CX56" s="561"/>
      <c r="CY56" s="561"/>
      <c r="CZ56" s="561"/>
      <c r="DA56" s="561"/>
      <c r="DB56" s="561"/>
      <c r="DC56" s="561"/>
      <c r="DD56" s="561"/>
      <c r="DE56" s="561"/>
      <c r="DF56" s="561"/>
      <c r="DG56" s="561"/>
      <c r="DH56" s="561"/>
      <c r="DI56" s="561"/>
      <c r="DJ56" s="561"/>
      <c r="DK56" s="561"/>
      <c r="DL56" s="561"/>
      <c r="DM56" s="561"/>
      <c r="DN56" s="561"/>
      <c r="DO56" s="561"/>
      <c r="DP56" s="561"/>
      <c r="DQ56" s="561"/>
      <c r="DR56" s="561"/>
      <c r="DS56" s="561"/>
      <c r="DT56" s="561"/>
      <c r="DU56" s="561"/>
      <c r="DV56" s="561"/>
      <c r="DW56" s="561"/>
      <c r="DX56" s="561"/>
      <c r="DY56" s="561"/>
      <c r="DZ56" s="561"/>
      <c r="EA56" s="561"/>
      <c r="EB56" s="561"/>
      <c r="EC56" s="561"/>
      <c r="ED56" s="561"/>
      <c r="EE56" s="561"/>
      <c r="EF56" s="561"/>
      <c r="EG56" s="561"/>
      <c r="EH56" s="561"/>
      <c r="EI56" s="561"/>
      <c r="EJ56" s="561"/>
      <c r="EK56" s="561"/>
      <c r="EL56" s="561"/>
      <c r="EM56" s="561"/>
      <c r="EN56" s="561"/>
      <c r="EO56" s="561"/>
      <c r="EP56" s="561"/>
      <c r="EQ56" s="561"/>
      <c r="ER56" s="561"/>
      <c r="ES56" s="561"/>
      <c r="ET56" s="561"/>
      <c r="EU56" s="561"/>
      <c r="EV56" s="561"/>
      <c r="EW56" s="561"/>
      <c r="EX56" s="561"/>
      <c r="EY56" s="561"/>
      <c r="EZ56" s="561"/>
      <c r="FA56" s="561"/>
      <c r="FB56" s="561"/>
      <c r="FC56" s="561"/>
      <c r="FD56" s="561"/>
      <c r="FE56" s="561"/>
      <c r="FF56" s="561"/>
      <c r="FG56" s="561"/>
      <c r="FH56" s="561"/>
      <c r="FI56" s="561"/>
      <c r="FJ56" s="561"/>
      <c r="FK56" s="561"/>
      <c r="FL56" s="561"/>
      <c r="FM56" s="561"/>
      <c r="FN56" s="561"/>
      <c r="FO56" s="561"/>
      <c r="FP56" s="561"/>
      <c r="FQ56" s="561"/>
      <c r="FR56" s="561"/>
      <c r="FS56" s="561"/>
      <c r="FT56" s="561"/>
      <c r="FU56" s="561"/>
      <c r="FV56" s="561"/>
      <c r="FW56" s="561"/>
      <c r="FX56" s="561"/>
      <c r="FY56" s="561"/>
      <c r="FZ56" s="561"/>
      <c r="GA56" s="561"/>
      <c r="GB56" s="561"/>
      <c r="GC56" s="561"/>
      <c r="GD56" s="561"/>
      <c r="GE56" s="561"/>
      <c r="GF56" s="561"/>
      <c r="GG56" s="561"/>
      <c r="GH56" s="561"/>
      <c r="GI56" s="561"/>
      <c r="GJ56" s="561"/>
      <c r="GK56" s="561"/>
      <c r="GL56" s="561"/>
      <c r="GM56" s="561"/>
      <c r="GN56" s="561"/>
      <c r="GO56" s="561"/>
      <c r="GP56" s="561"/>
      <c r="GQ56" s="561"/>
      <c r="GR56" s="561"/>
      <c r="GS56" s="561"/>
      <c r="GT56" s="561"/>
      <c r="GU56" s="561"/>
      <c r="GV56" s="561"/>
      <c r="GW56" s="561"/>
      <c r="GX56" s="561"/>
      <c r="GY56" s="561"/>
      <c r="GZ56" s="561"/>
      <c r="HA56" s="561"/>
      <c r="HB56" s="561"/>
      <c r="HC56" s="561"/>
      <c r="HD56" s="561"/>
      <c r="HE56" s="561"/>
      <c r="HF56" s="561"/>
      <c r="HG56" s="561"/>
      <c r="HH56" s="561"/>
      <c r="HI56" s="561"/>
      <c r="HJ56" s="561"/>
      <c r="HK56" s="561"/>
      <c r="HL56" s="561"/>
      <c r="HM56" s="561"/>
      <c r="HN56" s="561"/>
      <c r="HO56" s="561"/>
      <c r="HP56" s="561"/>
      <c r="HQ56" s="561"/>
      <c r="HR56" s="561"/>
      <c r="HS56" s="561"/>
      <c r="HT56" s="561"/>
      <c r="HU56" s="561"/>
      <c r="HV56" s="561"/>
      <c r="HW56" s="561"/>
      <c r="HX56" s="561"/>
      <c r="HY56" s="561"/>
      <c r="HZ56" s="561"/>
      <c r="IA56" s="561"/>
      <c r="IB56" s="561"/>
      <c r="IC56" s="561"/>
      <c r="ID56" s="561"/>
      <c r="IE56" s="561"/>
      <c r="IF56" s="561"/>
      <c r="IG56" s="561"/>
      <c r="IH56" s="561"/>
      <c r="II56" s="561"/>
      <c r="IJ56" s="561"/>
      <c r="IK56" s="561"/>
      <c r="IL56" s="561"/>
      <c r="IM56" s="561"/>
      <c r="IN56" s="561"/>
      <c r="IO56" s="561"/>
      <c r="IP56" s="561"/>
      <c r="IQ56" s="561"/>
      <c r="IR56" s="561"/>
      <c r="IS56" s="561"/>
      <c r="IT56" s="561"/>
      <c r="IU56" s="561"/>
      <c r="IV56" s="561"/>
      <c r="IW56" s="561"/>
    </row>
    <row r="57" customFormat="false" ht="12.75" hidden="false" customHeight="false" outlineLevel="2" collapsed="false">
      <c r="A57" s="316"/>
      <c r="B57" s="569" t="str">
        <f aca="false">'Plant Configuration'!C96</f>
        <v>Office Supplies &amp; Expenses</v>
      </c>
      <c r="C57" s="44"/>
      <c r="D57" s="578" t="n">
        <f aca="false">IF($O$7=6,0,HLOOKUP($D$5,Plant_Configuration,'Plant Configuration'!A96,FALSE()))+IF($R$7=6,0,HLOOKUP($E$5,Plant_Configuration,'Plant Configuration'!A96,FALSE()))+IF($U$7=6,0,HLOOKUP($F$5,Plant_Configuration,'Plant Configuration'!A96,FALSE()))</f>
        <v>4090.90909090909</v>
      </c>
      <c r="E57" s="342" t="n">
        <v>0</v>
      </c>
      <c r="F57" s="566" t="n">
        <v>1</v>
      </c>
      <c r="H57" s="316" t="s">
        <v>1011</v>
      </c>
      <c r="I57" s="567" t="n">
        <f aca="false">D57-J57</f>
        <v>4090.90909090909</v>
      </c>
      <c r="J57" s="567" t="n">
        <f aca="false">E57*D57</f>
        <v>0</v>
      </c>
      <c r="K57" s="317" t="n">
        <f aca="false">F57*D57</f>
        <v>4090.90909090909</v>
      </c>
      <c r="L57" s="317" t="n">
        <f aca="false">D57-K57</f>
        <v>0</v>
      </c>
      <c r="N57" s="45"/>
      <c r="O57" s="45"/>
    </row>
    <row r="58" customFormat="false" ht="12.75" hidden="false" customHeight="false" outlineLevel="2" collapsed="false">
      <c r="A58" s="316"/>
      <c r="B58" s="569" t="str">
        <f aca="false">'Plant Configuration'!C97</f>
        <v>Materials &amp; Supplies</v>
      </c>
      <c r="C58" s="44"/>
      <c r="D58" s="578" t="n">
        <f aca="false">IF($O$7=6,0,HLOOKUP($D$5,Plant_Configuration,'Plant Configuration'!A97,FALSE()))+IF($R$7=6,0,HLOOKUP($E$5,Plant_Configuration,'Plant Configuration'!A97,FALSE()))+IF($U$7=6,0,HLOOKUP($F$5,Plant_Configuration,'Plant Configuration'!A97,FALSE()))</f>
        <v>2045.45454545455</v>
      </c>
      <c r="E58" s="342" t="n">
        <v>0</v>
      </c>
      <c r="F58" s="566" t="n">
        <v>1</v>
      </c>
      <c r="H58" s="316" t="s">
        <v>1012</v>
      </c>
      <c r="I58" s="567" t="n">
        <f aca="false">D58-J58</f>
        <v>2045.45454545455</v>
      </c>
      <c r="J58" s="567" t="n">
        <f aca="false">E58*D58</f>
        <v>0</v>
      </c>
      <c r="K58" s="317" t="n">
        <f aca="false">F58*D58</f>
        <v>2045.45454545455</v>
      </c>
      <c r="L58" s="317" t="n">
        <f aca="false">D58-K58</f>
        <v>0</v>
      </c>
      <c r="N58" s="45"/>
      <c r="O58" s="45"/>
    </row>
    <row r="59" customFormat="false" ht="12.75" hidden="false" customHeight="false" outlineLevel="2" collapsed="false">
      <c r="A59" s="316"/>
      <c r="B59" s="569" t="str">
        <f aca="false">'Plant Configuration'!C98</f>
        <v>Outside Services Contract Labor</v>
      </c>
      <c r="C59" s="44"/>
      <c r="D59" s="578" t="n">
        <f aca="false">IF($O$7=6,0,HLOOKUP($D$5,Plant_Configuration,'Plant Configuration'!A98,FALSE()))+IF($R$7=6,0,HLOOKUP($E$5,Plant_Configuration,'Plant Configuration'!A98,FALSE()))+IF($U$7=6,0,HLOOKUP($F$5,Plant_Configuration,'Plant Configuration'!A98,FALSE()))</f>
        <v>818.181818181818</v>
      </c>
      <c r="E59" s="342" t="n">
        <v>0</v>
      </c>
      <c r="F59" s="566" t="n">
        <v>1</v>
      </c>
      <c r="H59" s="316" t="s">
        <v>1013</v>
      </c>
      <c r="I59" s="567" t="n">
        <f aca="false">D59-J59</f>
        <v>818.181818181818</v>
      </c>
      <c r="J59" s="567" t="n">
        <f aca="false">E59*D59</f>
        <v>0</v>
      </c>
      <c r="K59" s="317" t="n">
        <f aca="false">F59*D59</f>
        <v>818.181818181818</v>
      </c>
      <c r="L59" s="317" t="n">
        <f aca="false">D59-K59</f>
        <v>0</v>
      </c>
      <c r="N59" s="45"/>
      <c r="O59" s="45"/>
    </row>
    <row r="60" customFormat="false" ht="12.75" hidden="false" customHeight="false" outlineLevel="2" collapsed="false">
      <c r="A60" s="316"/>
      <c r="B60" s="569" t="str">
        <f aca="false">'Plant Configuration'!C99</f>
        <v>Technical/Professional Services</v>
      </c>
      <c r="C60" s="44"/>
      <c r="D60" s="578" t="n">
        <f aca="false">IF($O$7=6,0,HLOOKUP($D$5,Plant_Configuration,'Plant Configuration'!A99,FALSE()))+IF($R$7=6,0,HLOOKUP($E$5,Plant_Configuration,'Plant Configuration'!A99,FALSE()))+IF($U$7=6,0,HLOOKUP($F$5,Plant_Configuration,'Plant Configuration'!A99,FALSE()))</f>
        <v>0</v>
      </c>
      <c r="E60" s="342" t="n">
        <v>0</v>
      </c>
      <c r="F60" s="566" t="n">
        <v>1</v>
      </c>
      <c r="H60" s="316"/>
      <c r="I60" s="567" t="n">
        <f aca="false">D60-J60</f>
        <v>0</v>
      </c>
      <c r="J60" s="567" t="n">
        <f aca="false">E60*D60</f>
        <v>0</v>
      </c>
      <c r="K60" s="317" t="n">
        <f aca="false">F60*D60</f>
        <v>0</v>
      </c>
      <c r="L60" s="317" t="n">
        <f aca="false">D60-K60</f>
        <v>0</v>
      </c>
      <c r="N60" s="45"/>
      <c r="O60" s="45"/>
    </row>
    <row r="61" customFormat="false" ht="12.75" hidden="false" customHeight="false" outlineLevel="2" collapsed="false">
      <c r="A61" s="316"/>
      <c r="B61" s="569" t="str">
        <f aca="false">'Plant Configuration'!C100</f>
        <v>Legal</v>
      </c>
      <c r="C61" s="44"/>
      <c r="D61" s="578" t="n">
        <f aca="false">IF($O$7=6,0,HLOOKUP($D$5,Plant_Configuration,'Plant Configuration'!A100,FALSE()))+IF($R$7=6,0,HLOOKUP($E$5,Plant_Configuration,'Plant Configuration'!A100,FALSE()))+IF($U$7=6,0,HLOOKUP($F$5,Plant_Configuration,'Plant Configuration'!A100,FALSE()))</f>
        <v>10000</v>
      </c>
      <c r="E61" s="342" t="n">
        <v>0</v>
      </c>
      <c r="F61" s="566" t="n">
        <v>1</v>
      </c>
      <c r="H61" s="316" t="s">
        <v>1014</v>
      </c>
      <c r="I61" s="567" t="n">
        <f aca="false">D61-J61</f>
        <v>10000</v>
      </c>
      <c r="J61" s="567" t="n">
        <f aca="false">E61*D61</f>
        <v>0</v>
      </c>
      <c r="K61" s="317" t="n">
        <f aca="false">F61*D61</f>
        <v>10000</v>
      </c>
      <c r="L61" s="317" t="n">
        <f aca="false">D61-K61</f>
        <v>0</v>
      </c>
      <c r="N61" s="45"/>
      <c r="O61" s="45"/>
    </row>
    <row r="62" customFormat="false" ht="12.75" hidden="false" customHeight="false" outlineLevel="2" collapsed="false">
      <c r="A62" s="316"/>
      <c r="B62" s="569" t="str">
        <f aca="false">'Plant Configuration'!C101</f>
        <v>Accounting</v>
      </c>
      <c r="C62" s="44"/>
      <c r="D62" s="578" t="n">
        <f aca="false">IF($O$7=6,0,HLOOKUP($D$5,Plant_Configuration,'Plant Configuration'!A101,FALSE()))+IF($R$7=6,0,HLOOKUP($E$5,Plant_Configuration,'Plant Configuration'!A101,FALSE()))+IF($U$7=6,0,HLOOKUP($F$5,Plant_Configuration,'Plant Configuration'!A101,FALSE()))</f>
        <v>2400</v>
      </c>
      <c r="E62" s="342" t="n">
        <v>0</v>
      </c>
      <c r="F62" s="566" t="n">
        <v>1</v>
      </c>
      <c r="H62" s="316" t="s">
        <v>1015</v>
      </c>
      <c r="I62" s="567" t="n">
        <f aca="false">D62-J62</f>
        <v>2400</v>
      </c>
      <c r="J62" s="567" t="n">
        <f aca="false">E62*D62</f>
        <v>0</v>
      </c>
      <c r="K62" s="317" t="n">
        <f aca="false">F62*D62</f>
        <v>2400</v>
      </c>
      <c r="L62" s="317" t="n">
        <f aca="false">D62-K62</f>
        <v>0</v>
      </c>
      <c r="N62" s="45"/>
      <c r="O62" s="45"/>
    </row>
    <row r="63" customFormat="false" ht="12.75" hidden="false" customHeight="false" outlineLevel="2" collapsed="false">
      <c r="A63" s="316"/>
      <c r="B63" s="569" t="str">
        <f aca="false">'Plant Configuration'!C102</f>
        <v>Office Equipment Maint.</v>
      </c>
      <c r="C63" s="44"/>
      <c r="D63" s="578" t="n">
        <f aca="false">IF($O$7=6,0,HLOOKUP($D$5,Plant_Configuration,'Plant Configuration'!A102,FALSE()))+IF($R$7=6,0,HLOOKUP($E$5,Plant_Configuration,'Plant Configuration'!A102,FALSE()))+IF($U$7=6,0,HLOOKUP($F$5,Plant_Configuration,'Plant Configuration'!A102,FALSE()))</f>
        <v>2000</v>
      </c>
      <c r="E63" s="342" t="n">
        <v>0</v>
      </c>
      <c r="F63" s="566" t="n">
        <v>1</v>
      </c>
      <c r="H63" s="316"/>
      <c r="I63" s="567" t="n">
        <f aca="false">D63-J63</f>
        <v>2000</v>
      </c>
      <c r="J63" s="567" t="n">
        <f aca="false">E63*D63</f>
        <v>0</v>
      </c>
      <c r="K63" s="317" t="n">
        <f aca="false">F63*D63</f>
        <v>2000</v>
      </c>
      <c r="L63" s="317" t="n">
        <f aca="false">D63-K63</f>
        <v>0</v>
      </c>
      <c r="N63" s="45"/>
      <c r="O63" s="45"/>
    </row>
    <row r="64" customFormat="false" ht="12.75" hidden="false" customHeight="false" outlineLevel="2" collapsed="false">
      <c r="A64" s="316"/>
      <c r="B64" s="569" t="str">
        <f aca="false">'Plant Configuration'!C103</f>
        <v>Tax</v>
      </c>
      <c r="C64" s="44"/>
      <c r="D64" s="578" t="n">
        <f aca="false">IF($O$7=6,0,HLOOKUP($D$5,Plant_Configuration,'Plant Configuration'!A103,FALSE()))+IF($R$7=6,0,HLOOKUP($E$5,Plant_Configuration,'Plant Configuration'!A103,FALSE()))+IF($U$7=6,0,HLOOKUP($F$5,Plant_Configuration,'Plant Configuration'!A103,FALSE()))</f>
        <v>6000</v>
      </c>
      <c r="E64" s="342" t="n">
        <v>0</v>
      </c>
      <c r="F64" s="566" t="n">
        <v>1</v>
      </c>
      <c r="H64" s="316" t="s">
        <v>1016</v>
      </c>
      <c r="I64" s="567" t="n">
        <f aca="false">D64-J64</f>
        <v>6000</v>
      </c>
      <c r="J64" s="567" t="n">
        <f aca="false">E64*D64</f>
        <v>0</v>
      </c>
      <c r="K64" s="317" t="n">
        <f aca="false">F64*D64</f>
        <v>6000</v>
      </c>
      <c r="L64" s="317" t="n">
        <f aca="false">D64-K64</f>
        <v>0</v>
      </c>
      <c r="N64" s="45"/>
      <c r="O64" s="45"/>
    </row>
    <row r="65" customFormat="false" ht="12.75" hidden="false" customHeight="false" outlineLevel="2" collapsed="false">
      <c r="A65" s="316"/>
      <c r="B65" s="569" t="str">
        <f aca="false">'Plant Configuration'!C104</f>
        <v>Regional Technical Support</v>
      </c>
      <c r="C65" s="44"/>
      <c r="D65" s="578" t="n">
        <f aca="false">IF($O$7=6,0,HLOOKUP($D$5,Plant_Configuration,'Plant Configuration'!A104,FALSE()))+IF($R$7=6,0,HLOOKUP($E$5,Plant_Configuration,'Plant Configuration'!A104,FALSE()))+IF($U$7=6,0,HLOOKUP($F$5,Plant_Configuration,'Plant Configuration'!A104,FALSE()))</f>
        <v>12000</v>
      </c>
      <c r="E65" s="342" t="n">
        <v>0</v>
      </c>
      <c r="F65" s="566" t="n">
        <v>1</v>
      </c>
      <c r="H65" s="316" t="s">
        <v>1017</v>
      </c>
      <c r="I65" s="567" t="n">
        <f aca="false">D65-J65</f>
        <v>12000</v>
      </c>
      <c r="J65" s="567" t="n">
        <f aca="false">E65*D65</f>
        <v>0</v>
      </c>
      <c r="K65" s="317" t="n">
        <f aca="false">F65*D65</f>
        <v>12000</v>
      </c>
      <c r="L65" s="317" t="n">
        <f aca="false">D65-K65</f>
        <v>0</v>
      </c>
      <c r="N65" s="45"/>
      <c r="O65" s="45"/>
    </row>
    <row r="66" customFormat="false" ht="12.75" hidden="false" customHeight="false" outlineLevel="2" collapsed="false">
      <c r="A66" s="316"/>
      <c r="B66" s="569" t="str">
        <f aca="false">'Plant Configuration'!C105</f>
        <v>Customs</v>
      </c>
      <c r="C66" s="44"/>
      <c r="D66" s="578" t="n">
        <f aca="false">IF($O$7=6,0,HLOOKUP($D$5,Plant_Configuration,'Plant Configuration'!A105,FALSE()))+IF($R$7=6,0,HLOOKUP($E$5,Plant_Configuration,'Plant Configuration'!A105,FALSE()))+IF($U$7=6,0,HLOOKUP($F$5,Plant_Configuration,'Plant Configuration'!A105,FALSE()))</f>
        <v>0</v>
      </c>
      <c r="E66" s="342" t="n">
        <v>0</v>
      </c>
      <c r="F66" s="566" t="n">
        <v>1</v>
      </c>
      <c r="H66" s="316"/>
      <c r="I66" s="567" t="n">
        <f aca="false">D66-J66</f>
        <v>0</v>
      </c>
      <c r="J66" s="567" t="n">
        <f aca="false">E66*D66</f>
        <v>0</v>
      </c>
      <c r="K66" s="317" t="n">
        <f aca="false">F66*D66</f>
        <v>0</v>
      </c>
      <c r="L66" s="317" t="n">
        <f aca="false">D66-K66</f>
        <v>0</v>
      </c>
      <c r="N66" s="45"/>
      <c r="O66" s="45"/>
    </row>
    <row r="67" customFormat="false" ht="12.75" hidden="false" customHeight="false" outlineLevel="2" collapsed="false">
      <c r="A67" s="316"/>
      <c r="B67" s="569" t="str">
        <f aca="false">'Plant Configuration'!C106</f>
        <v>Regulatory</v>
      </c>
      <c r="C67" s="44"/>
      <c r="D67" s="578" t="n">
        <f aca="false">IF($O$7=6,0,HLOOKUP($D$5,Plant_Configuration,'Plant Configuration'!A106,FALSE()))+IF($R$7=6,0,HLOOKUP($E$5,Plant_Configuration,'Plant Configuration'!A106,FALSE()))+IF($U$7=6,0,HLOOKUP($F$5,Plant_Configuration,'Plant Configuration'!A106,FALSE()))</f>
        <v>0</v>
      </c>
      <c r="E67" s="342" t="n">
        <v>0</v>
      </c>
      <c r="F67" s="566" t="n">
        <v>1</v>
      </c>
      <c r="H67" s="316"/>
      <c r="I67" s="567" t="n">
        <f aca="false">D67-J67</f>
        <v>0</v>
      </c>
      <c r="J67" s="567" t="n">
        <f aca="false">E67*D67</f>
        <v>0</v>
      </c>
      <c r="K67" s="317" t="n">
        <f aca="false">F67*D67</f>
        <v>0</v>
      </c>
      <c r="L67" s="317" t="n">
        <f aca="false">D67-K67</f>
        <v>0</v>
      </c>
      <c r="N67" s="45"/>
      <c r="O67" s="45"/>
    </row>
    <row r="68" customFormat="false" ht="12.75" hidden="false" customHeight="false" outlineLevel="2" collapsed="false">
      <c r="A68" s="316"/>
      <c r="B68" s="569" t="str">
        <f aca="false">'Plant Configuration'!C107</f>
        <v>Other Outside Services</v>
      </c>
      <c r="C68" s="44"/>
      <c r="D68" s="578" t="n">
        <f aca="false">IF($O$7=6,0,HLOOKUP($D$5,Plant_Configuration,'Plant Configuration'!A107,FALSE()))+IF($R$7=6,0,HLOOKUP($E$5,Plant_Configuration,'Plant Configuration'!A107,FALSE()))+IF($U$7=6,0,HLOOKUP($F$5,Plant_Configuration,'Plant Configuration'!A107,FALSE()))</f>
        <v>2000</v>
      </c>
      <c r="E68" s="342" t="n">
        <v>0</v>
      </c>
      <c r="F68" s="566" t="n">
        <v>1</v>
      </c>
      <c r="H68" s="316"/>
      <c r="I68" s="567" t="n">
        <f aca="false">D68-J68</f>
        <v>2000</v>
      </c>
      <c r="J68" s="567" t="n">
        <f aca="false">E68*D68</f>
        <v>0</v>
      </c>
      <c r="K68" s="317" t="n">
        <f aca="false">F68*D68</f>
        <v>2000</v>
      </c>
      <c r="L68" s="317" t="n">
        <f aca="false">D68-K68</f>
        <v>0</v>
      </c>
      <c r="N68" s="45"/>
      <c r="O68" s="45"/>
    </row>
    <row r="69" customFormat="false" ht="12.75" hidden="false" customHeight="false" outlineLevel="2" collapsed="false">
      <c r="A69" s="316"/>
      <c r="B69" s="569" t="str">
        <f aca="false">'Plant Configuration'!C108</f>
        <v>Office Equipment Rental</v>
      </c>
      <c r="C69" s="44"/>
      <c r="D69" s="578" t="n">
        <f aca="false">IF($O$7=6,0,HLOOKUP($D$5,Plant_Configuration,'Plant Configuration'!A108,FALSE()))+IF($R$7=6,0,HLOOKUP($E$5,Plant_Configuration,'Plant Configuration'!A108,FALSE()))+IF($U$7=6,0,HLOOKUP($F$5,Plant_Configuration,'Plant Configuration'!A108,FALSE()))</f>
        <v>2400</v>
      </c>
      <c r="E69" s="342" t="n">
        <v>0</v>
      </c>
      <c r="F69" s="566" t="n">
        <v>1</v>
      </c>
      <c r="H69" s="316" t="s">
        <v>1018</v>
      </c>
      <c r="I69" s="567" t="n">
        <f aca="false">D69-J69</f>
        <v>2400</v>
      </c>
      <c r="J69" s="567" t="n">
        <f aca="false">E69*D69</f>
        <v>0</v>
      </c>
      <c r="K69" s="317" t="n">
        <f aca="false">F69*D69</f>
        <v>2400</v>
      </c>
      <c r="L69" s="317" t="n">
        <f aca="false">D69-K69</f>
        <v>0</v>
      </c>
      <c r="N69" s="45"/>
      <c r="O69" s="45"/>
    </row>
    <row r="70" customFormat="false" ht="12.75" hidden="false" customHeight="false" outlineLevel="2" collapsed="false">
      <c r="A70" s="316"/>
      <c r="B70" s="569" t="str">
        <f aca="false">'Plant Configuration'!C109</f>
        <v>Other Rents</v>
      </c>
      <c r="C70" s="44"/>
      <c r="D70" s="578" t="n">
        <f aca="false">IF($O$7=6,0,HLOOKUP($D$5,Plant_Configuration,'Plant Configuration'!A109,FALSE()))+IF($R$7=6,0,HLOOKUP($E$5,Plant_Configuration,'Plant Configuration'!A109,FALSE()))+IF($U$7=6,0,HLOOKUP($F$5,Plant_Configuration,'Plant Configuration'!A109,FALSE()))</f>
        <v>0</v>
      </c>
      <c r="E70" s="342" t="n">
        <v>0</v>
      </c>
      <c r="F70" s="566" t="n">
        <v>1</v>
      </c>
      <c r="H70" s="316" t="s">
        <v>1019</v>
      </c>
      <c r="I70" s="567" t="n">
        <f aca="false">D70-J70</f>
        <v>0</v>
      </c>
      <c r="J70" s="567" t="n">
        <f aca="false">E70*D70</f>
        <v>0</v>
      </c>
      <c r="K70" s="317" t="n">
        <f aca="false">F70*D70</f>
        <v>0</v>
      </c>
      <c r="L70" s="317" t="n">
        <f aca="false">D70-K70</f>
        <v>0</v>
      </c>
      <c r="N70" s="45"/>
      <c r="O70" s="45"/>
    </row>
    <row r="71" customFormat="false" ht="12.75" hidden="false" customHeight="false" outlineLevel="2" collapsed="false">
      <c r="A71" s="316"/>
      <c r="B71" s="569" t="str">
        <f aca="false">'Plant Configuration'!C110</f>
        <v>Radio parts/repair</v>
      </c>
      <c r="C71" s="44"/>
      <c r="D71" s="578" t="n">
        <f aca="false">IF($O$7=6,0,HLOOKUP($D$5,Plant_Configuration,'Plant Configuration'!A110,FALSE()))+IF($R$7=6,0,HLOOKUP($E$5,Plant_Configuration,'Plant Configuration'!A110,FALSE()))+IF($U$7=6,0,HLOOKUP($F$5,Plant_Configuration,'Plant Configuration'!A110,FALSE()))</f>
        <v>1000</v>
      </c>
      <c r="E71" s="342" t="n">
        <v>0</v>
      </c>
      <c r="F71" s="566" t="n">
        <v>1</v>
      </c>
      <c r="H71" s="316"/>
      <c r="I71" s="567" t="n">
        <f aca="false">D71-J71</f>
        <v>1000</v>
      </c>
      <c r="J71" s="567" t="n">
        <f aca="false">E71*D71</f>
        <v>0</v>
      </c>
      <c r="K71" s="317" t="n">
        <f aca="false">F71*D71</f>
        <v>1000</v>
      </c>
      <c r="L71" s="317" t="n">
        <f aca="false">D71-K71</f>
        <v>0</v>
      </c>
      <c r="N71" s="45"/>
      <c r="O71" s="45"/>
    </row>
    <row r="72" customFormat="false" ht="12.75" hidden="false" customHeight="false" outlineLevel="2" collapsed="false">
      <c r="A72" s="316"/>
      <c r="B72" s="569" t="str">
        <f aca="false">'Plant Configuration'!C111</f>
        <v>PC Hardware (purchase)</v>
      </c>
      <c r="C72" s="44"/>
      <c r="D72" s="578" t="n">
        <f aca="false">IF($O$7=6,0,HLOOKUP($D$5,Plant_Configuration,'Plant Configuration'!A111,FALSE()))+IF($R$7=6,0,HLOOKUP($E$5,Plant_Configuration,'Plant Configuration'!A111,FALSE()))+IF($U$7=6,0,HLOOKUP($F$5,Plant_Configuration,'Plant Configuration'!A111,FALSE()))</f>
        <v>3000</v>
      </c>
      <c r="E72" s="342" t="n">
        <v>0</v>
      </c>
      <c r="F72" s="566" t="n">
        <v>1</v>
      </c>
      <c r="H72" s="316" t="s">
        <v>1020</v>
      </c>
      <c r="I72" s="567" t="n">
        <f aca="false">D72-J72</f>
        <v>3000</v>
      </c>
      <c r="J72" s="567" t="n">
        <f aca="false">E72*D72</f>
        <v>0</v>
      </c>
      <c r="K72" s="317" t="n">
        <f aca="false">F72*D72</f>
        <v>3000</v>
      </c>
      <c r="L72" s="317" t="n">
        <f aca="false">D72-K72</f>
        <v>0</v>
      </c>
      <c r="N72" s="45"/>
      <c r="O72" s="45"/>
    </row>
    <row r="73" customFormat="false" ht="12.75" hidden="false" customHeight="false" outlineLevel="2" collapsed="false">
      <c r="A73" s="316"/>
      <c r="B73" s="569" t="str">
        <f aca="false">'Plant Configuration'!C112</f>
        <v>PC Software</v>
      </c>
      <c r="C73" s="44"/>
      <c r="D73" s="578" t="n">
        <f aca="false">IF($O$7=6,0,HLOOKUP($D$5,Plant_Configuration,'Plant Configuration'!A112,FALSE()))+IF($R$7=6,0,HLOOKUP($E$5,Plant_Configuration,'Plant Configuration'!A112,FALSE()))+IF($U$7=6,0,HLOOKUP($F$5,Plant_Configuration,'Plant Configuration'!A112,FALSE()))</f>
        <v>2000</v>
      </c>
      <c r="E73" s="342" t="n">
        <v>0</v>
      </c>
      <c r="F73" s="566" t="n">
        <v>1</v>
      </c>
      <c r="H73" s="316" t="s">
        <v>1021</v>
      </c>
      <c r="I73" s="567" t="n">
        <f aca="false">D73-J73</f>
        <v>2000</v>
      </c>
      <c r="J73" s="567" t="n">
        <f aca="false">E73*D73</f>
        <v>0</v>
      </c>
      <c r="K73" s="317" t="n">
        <f aca="false">F73*D73</f>
        <v>2000</v>
      </c>
      <c r="L73" s="317" t="n">
        <f aca="false">D73-K73</f>
        <v>0</v>
      </c>
      <c r="N73" s="45"/>
      <c r="O73" s="45"/>
    </row>
    <row r="74" customFormat="false" ht="12.75" hidden="false" customHeight="false" outlineLevel="2" collapsed="false">
      <c r="A74" s="316"/>
      <c r="B74" s="569" t="str">
        <f aca="false">'Plant Configuration'!C113</f>
        <v>PC Hardware Rental/Lease</v>
      </c>
      <c r="C74" s="44"/>
      <c r="D74" s="578" t="n">
        <f aca="false">IF($O$7=6,0,HLOOKUP($D$5,Plant_Configuration,'Plant Configuration'!A113,FALSE()))+IF($R$7=6,0,HLOOKUP($E$5,Plant_Configuration,'Plant Configuration'!A113,FALSE()))+IF($U$7=6,0,HLOOKUP($F$5,Plant_Configuration,'Plant Configuration'!A113,FALSE()))</f>
        <v>0</v>
      </c>
      <c r="E74" s="342" t="n">
        <v>0</v>
      </c>
      <c r="F74" s="566" t="n">
        <v>1</v>
      </c>
      <c r="H74" s="316" t="s">
        <v>1022</v>
      </c>
      <c r="I74" s="567" t="n">
        <f aca="false">D74-J74</f>
        <v>0</v>
      </c>
      <c r="J74" s="567" t="n">
        <f aca="false">E74*D74</f>
        <v>0</v>
      </c>
      <c r="K74" s="317" t="n">
        <f aca="false">F74*D74</f>
        <v>0</v>
      </c>
      <c r="L74" s="317" t="n">
        <f aca="false">D74-K74</f>
        <v>0</v>
      </c>
      <c r="N74" s="45"/>
      <c r="O74" s="45"/>
    </row>
    <row r="75" customFormat="false" ht="12.75" hidden="false" customHeight="false" outlineLevel="2" collapsed="false">
      <c r="A75" s="316"/>
      <c r="B75" s="569" t="str">
        <f aca="false">'Plant Configuration'!C114</f>
        <v>PC Maintenance</v>
      </c>
      <c r="C75" s="44"/>
      <c r="D75" s="578" t="n">
        <f aca="false">IF($O$7=6,0,HLOOKUP($D$5,Plant_Configuration,'Plant Configuration'!A114,FALSE()))+IF($R$7=6,0,HLOOKUP($E$5,Plant_Configuration,'Plant Configuration'!A114,FALSE()))+IF($U$7=6,0,HLOOKUP($F$5,Plant_Configuration,'Plant Configuration'!A114,FALSE()))</f>
        <v>1000</v>
      </c>
      <c r="E75" s="342" t="n">
        <v>0</v>
      </c>
      <c r="F75" s="566" t="n">
        <v>1</v>
      </c>
      <c r="H75" s="316"/>
      <c r="I75" s="567" t="n">
        <f aca="false">D75-J75</f>
        <v>1000</v>
      </c>
      <c r="J75" s="567" t="n">
        <f aca="false">E75*D75</f>
        <v>0</v>
      </c>
      <c r="K75" s="317" t="n">
        <f aca="false">F75*D75</f>
        <v>1000</v>
      </c>
      <c r="L75" s="317" t="n">
        <f aca="false">D75-K75</f>
        <v>0</v>
      </c>
      <c r="N75" s="45"/>
      <c r="O75" s="45"/>
    </row>
    <row r="76" customFormat="false" ht="12.75" hidden="false" customHeight="false" outlineLevel="2" collapsed="false">
      <c r="A76" s="316"/>
      <c r="B76" s="569" t="str">
        <f aca="false">'Plant Configuration'!C115</f>
        <v>Postage &amp; Freight Expenses</v>
      </c>
      <c r="C76" s="44"/>
      <c r="D76" s="578" t="n">
        <f aca="false">IF($O$7=6,0,HLOOKUP($D$5,Plant_Configuration,'Plant Configuration'!A115,FALSE()))+IF($R$7=6,0,HLOOKUP($E$5,Plant_Configuration,'Plant Configuration'!A115,FALSE()))+IF($U$7=6,0,HLOOKUP($F$5,Plant_Configuration,'Plant Configuration'!A115,FALSE()))</f>
        <v>3600</v>
      </c>
      <c r="E76" s="342" t="n">
        <v>0</v>
      </c>
      <c r="F76" s="566" t="n">
        <v>1</v>
      </c>
      <c r="H76" s="316" t="s">
        <v>1023</v>
      </c>
      <c r="I76" s="567" t="n">
        <f aca="false">D76-J76</f>
        <v>3600</v>
      </c>
      <c r="J76" s="567" t="n">
        <f aca="false">E76*D76</f>
        <v>0</v>
      </c>
      <c r="K76" s="317" t="n">
        <f aca="false">F76*D76</f>
        <v>3600</v>
      </c>
      <c r="L76" s="317" t="n">
        <f aca="false">D76-K76</f>
        <v>0</v>
      </c>
      <c r="N76" s="45"/>
      <c r="O76" s="45"/>
    </row>
    <row r="77" customFormat="false" ht="12.75" hidden="false" customHeight="false" outlineLevel="2" collapsed="false">
      <c r="A77" s="316"/>
      <c r="B77" s="569" t="str">
        <f aca="false">'Plant Configuration'!C116</f>
        <v>Utilities (office water, power, gas)</v>
      </c>
      <c r="C77" s="44"/>
      <c r="D77" s="578" t="n">
        <f aca="false">IF($O$7=6,0,HLOOKUP($D$5,Plant_Configuration,'Plant Configuration'!A116,FALSE()))+IF($R$7=6,0,HLOOKUP($E$5,Plant_Configuration,'Plant Configuration'!A116,FALSE()))+IF($U$7=6,0,HLOOKUP($F$5,Plant_Configuration,'Plant Configuration'!A116,FALSE()))</f>
        <v>12000</v>
      </c>
      <c r="E77" s="342" t="n">
        <v>0</v>
      </c>
      <c r="F77" s="566" t="n">
        <v>1</v>
      </c>
      <c r="H77" s="316" t="s">
        <v>977</v>
      </c>
      <c r="I77" s="567" t="n">
        <f aca="false">D77-J77</f>
        <v>12000</v>
      </c>
      <c r="J77" s="567" t="n">
        <f aca="false">E77*D77</f>
        <v>0</v>
      </c>
      <c r="K77" s="317" t="n">
        <f aca="false">F77*D77</f>
        <v>12000</v>
      </c>
      <c r="L77" s="317" t="n">
        <f aca="false">D77-K77</f>
        <v>0</v>
      </c>
      <c r="N77" s="45"/>
      <c r="O77" s="45"/>
    </row>
    <row r="78" customFormat="false" ht="12.75" hidden="false" customHeight="false" outlineLevel="2" collapsed="false">
      <c r="A78" s="316"/>
      <c r="B78" s="569" t="str">
        <f aca="false">'Plant Configuration'!C117</f>
        <v>Public relations/Contributions</v>
      </c>
      <c r="C78" s="44"/>
      <c r="D78" s="578" t="n">
        <f aca="false">IF($O$7=6,0,HLOOKUP($D$5,Plant_Configuration,'Plant Configuration'!A117,FALSE()))+IF($R$7=6,0,HLOOKUP($E$5,Plant_Configuration,'Plant Configuration'!A117,FALSE()))+IF($U$7=6,0,HLOOKUP($F$5,Plant_Configuration,'Plant Configuration'!A117,FALSE()))</f>
        <v>1000</v>
      </c>
      <c r="E78" s="342" t="n">
        <v>0</v>
      </c>
      <c r="F78" s="566" t="n">
        <v>1</v>
      </c>
      <c r="H78" s="316" t="s">
        <v>1024</v>
      </c>
      <c r="I78" s="567" t="n">
        <f aca="false">D78-J78</f>
        <v>1000</v>
      </c>
      <c r="J78" s="567" t="n">
        <f aca="false">E78*D78</f>
        <v>0</v>
      </c>
      <c r="K78" s="317" t="n">
        <f aca="false">F78*D78</f>
        <v>1000</v>
      </c>
      <c r="L78" s="317" t="n">
        <f aca="false">D78-K78</f>
        <v>0</v>
      </c>
      <c r="N78" s="45"/>
      <c r="O78" s="45"/>
    </row>
    <row r="79" customFormat="false" ht="12.75" hidden="false" customHeight="false" outlineLevel="2" collapsed="false">
      <c r="A79" s="316"/>
      <c r="B79" s="569" t="str">
        <f aca="false">'Plant Configuration'!C118</f>
        <v>Boat maintenance/repair</v>
      </c>
      <c r="C79" s="44"/>
      <c r="D79" s="578" t="n">
        <f aca="false">IF($O$7=6,0,HLOOKUP($D$5,Plant_Configuration,'Plant Configuration'!A118,FALSE()))+IF($R$7=6,0,HLOOKUP($E$5,Plant_Configuration,'Plant Configuration'!A118,FALSE()))+IF($U$7=6,0,HLOOKUP($F$5,Plant_Configuration,'Plant Configuration'!A118,FALSE()))</f>
        <v>0</v>
      </c>
      <c r="E79" s="342" t="n">
        <v>0</v>
      </c>
      <c r="F79" s="566" t="n">
        <v>1</v>
      </c>
      <c r="H79" s="316" t="s">
        <v>1025</v>
      </c>
      <c r="I79" s="567" t="n">
        <f aca="false">D79-J79</f>
        <v>0</v>
      </c>
      <c r="J79" s="567" t="n">
        <f aca="false">E79*D79</f>
        <v>0</v>
      </c>
      <c r="K79" s="317" t="n">
        <f aca="false">F79*D79</f>
        <v>0</v>
      </c>
      <c r="L79" s="317" t="n">
        <f aca="false">D79-K79</f>
        <v>0</v>
      </c>
      <c r="N79" s="45"/>
      <c r="O79" s="45"/>
    </row>
    <row r="80" customFormat="false" ht="12.75" hidden="false" customHeight="false" outlineLevel="2" collapsed="false">
      <c r="A80" s="316"/>
      <c r="B80" s="569" t="str">
        <f aca="false">'Plant Configuration'!C119</f>
        <v>Vehicle maintenance/repair</v>
      </c>
      <c r="C80" s="44"/>
      <c r="D80" s="578" t="n">
        <f aca="false">IF($O$7=6,0,HLOOKUP($D$5,Plant_Configuration,'Plant Configuration'!A119,FALSE()))+IF($R$7=6,0,HLOOKUP($E$5,Plant_Configuration,'Plant Configuration'!A119,FALSE()))+IF($U$7=6,0,HLOOKUP($F$5,Plant_Configuration,'Plant Configuration'!A119,FALSE()))</f>
        <v>2000</v>
      </c>
      <c r="E80" s="342" t="n">
        <v>0</v>
      </c>
      <c r="F80" s="566" t="n">
        <v>1</v>
      </c>
      <c r="H80" s="316"/>
      <c r="I80" s="567" t="n">
        <f aca="false">D80-J80</f>
        <v>2000</v>
      </c>
      <c r="J80" s="567" t="n">
        <f aca="false">E80*D80</f>
        <v>0</v>
      </c>
      <c r="K80" s="317" t="n">
        <f aca="false">F80*D80</f>
        <v>2000</v>
      </c>
      <c r="L80" s="317" t="n">
        <f aca="false">D80-K80</f>
        <v>0</v>
      </c>
      <c r="N80" s="45"/>
      <c r="O80" s="45"/>
    </row>
    <row r="81" customFormat="false" ht="12.75" hidden="false" customHeight="false" outlineLevel="2" collapsed="false">
      <c r="A81" s="316"/>
      <c r="B81" s="569" t="str">
        <f aca="false">'Plant Configuration'!C120</f>
        <v>Vehicle fuel</v>
      </c>
      <c r="C81" s="44"/>
      <c r="D81" s="578" t="n">
        <f aca="false">IF($O$7=6,0,HLOOKUP($D$5,Plant_Configuration,'Plant Configuration'!A120,FALSE()))+IF($R$7=6,0,HLOOKUP($E$5,Plant_Configuration,'Plant Configuration'!A120,FALSE()))+IF($U$7=6,0,HLOOKUP($F$5,Plant_Configuration,'Plant Configuration'!A120,FALSE()))</f>
        <v>14970</v>
      </c>
      <c r="E81" s="342" t="n">
        <v>0</v>
      </c>
      <c r="F81" s="566" t="n">
        <v>1</v>
      </c>
      <c r="H81" s="316" t="s">
        <v>1026</v>
      </c>
      <c r="I81" s="567" t="n">
        <f aca="false">D81-J81</f>
        <v>14970</v>
      </c>
      <c r="J81" s="567" t="n">
        <f aca="false">E81*D81</f>
        <v>0</v>
      </c>
      <c r="K81" s="317" t="n">
        <f aca="false">F81*D81</f>
        <v>14970</v>
      </c>
      <c r="L81" s="317" t="n">
        <f aca="false">D81-K81</f>
        <v>0</v>
      </c>
      <c r="N81" s="45"/>
      <c r="O81" s="45"/>
    </row>
    <row r="82" customFormat="false" ht="12.75" hidden="false" customHeight="false" outlineLevel="2" collapsed="false">
      <c r="A82" s="316"/>
      <c r="B82" s="569" t="str">
        <f aca="false">'Plant Configuration'!C121</f>
        <v>Boat fuel</v>
      </c>
      <c r="C82" s="44"/>
      <c r="D82" s="578" t="n">
        <f aca="false">IF($O$7=6,0,HLOOKUP($D$5,Plant_Configuration,'Plant Configuration'!A121,FALSE()))+IF($R$7=6,0,HLOOKUP($E$5,Plant_Configuration,'Plant Configuration'!A121,FALSE()))+IF($U$7=6,0,HLOOKUP($F$5,Plant_Configuration,'Plant Configuration'!A121,FALSE()))</f>
        <v>0</v>
      </c>
      <c r="E82" s="342" t="n">
        <v>0</v>
      </c>
      <c r="F82" s="566" t="n">
        <v>1</v>
      </c>
      <c r="H82" s="316" t="s">
        <v>1027</v>
      </c>
      <c r="I82" s="567" t="n">
        <f aca="false">D82-J82</f>
        <v>0</v>
      </c>
      <c r="J82" s="567" t="n">
        <f aca="false">E82*D82</f>
        <v>0</v>
      </c>
      <c r="K82" s="317" t="n">
        <f aca="false">F82*D82</f>
        <v>0</v>
      </c>
      <c r="L82" s="317" t="n">
        <f aca="false">D82-K82</f>
        <v>0</v>
      </c>
      <c r="N82" s="45"/>
      <c r="O82" s="45"/>
    </row>
    <row r="83" customFormat="false" ht="12.75" hidden="false" customHeight="false" outlineLevel="2" collapsed="false">
      <c r="A83" s="316"/>
      <c r="B83" s="569" t="str">
        <f aca="false">'Plant Configuration'!C122</f>
        <v>Other</v>
      </c>
      <c r="C83" s="44"/>
      <c r="D83" s="578" t="n">
        <f aca="false">IF($O$7=6,0,HLOOKUP($D$5,Plant_Configuration,'Plant Configuration'!A122,FALSE()))+IF($R$7=6,0,HLOOKUP($E$5,Plant_Configuration,'Plant Configuration'!A122,FALSE()))+IF($U$7=6,0,HLOOKUP($F$5,Plant_Configuration,'Plant Configuration'!A122,FALSE()))</f>
        <v>0</v>
      </c>
      <c r="E83" s="342" t="n">
        <v>0</v>
      </c>
      <c r="F83" s="566" t="n">
        <v>1</v>
      </c>
      <c r="H83" s="316" t="s">
        <v>1027</v>
      </c>
      <c r="I83" s="567" t="n">
        <f aca="false">D83-J83</f>
        <v>0</v>
      </c>
      <c r="J83" s="567" t="n">
        <f aca="false">E83*D83</f>
        <v>0</v>
      </c>
      <c r="K83" s="317" t="n">
        <f aca="false">F83*D83</f>
        <v>0</v>
      </c>
      <c r="L83" s="317"/>
      <c r="N83" s="45"/>
      <c r="O83" s="45"/>
    </row>
    <row r="84" customFormat="false" ht="12.75" hidden="false" customHeight="false" outlineLevel="1" collapsed="false">
      <c r="A84" s="579"/>
      <c r="B84" s="570" t="s">
        <v>431</v>
      </c>
      <c r="C84" s="0"/>
      <c r="D84" s="571" t="n">
        <f aca="false">SUBTOTAL(9,D57:D83)</f>
        <v>84324.5454545455</v>
      </c>
      <c r="E84" s="572"/>
      <c r="F84" s="573"/>
      <c r="H84" s="316" t="s">
        <v>1028</v>
      </c>
      <c r="I84" s="571" t="n">
        <f aca="false">SUBTOTAL(9,I57:I83)</f>
        <v>84324.5454545455</v>
      </c>
      <c r="J84" s="571" t="n">
        <f aca="false">SUBTOTAL(9,J57:J83)</f>
        <v>0</v>
      </c>
      <c r="K84" s="571" t="n">
        <f aca="false">SUBTOTAL(9,K57:K83)</f>
        <v>84324.5454545455</v>
      </c>
      <c r="L84" s="571" t="n">
        <f aca="false">SUBTOTAL(9,L57:L83)</f>
        <v>0</v>
      </c>
      <c r="M84" s="561"/>
      <c r="N84" s="561"/>
      <c r="O84" s="561"/>
      <c r="P84" s="561"/>
      <c r="Q84" s="561"/>
      <c r="R84" s="561"/>
      <c r="S84" s="561"/>
      <c r="T84" s="561"/>
      <c r="U84" s="561"/>
      <c r="V84" s="561"/>
      <c r="W84" s="561"/>
      <c r="X84" s="561"/>
      <c r="Y84" s="561"/>
      <c r="Z84" s="561"/>
      <c r="AA84" s="561"/>
      <c r="AB84" s="561"/>
      <c r="AC84" s="561"/>
      <c r="AD84" s="561"/>
      <c r="AE84" s="561"/>
      <c r="AF84" s="561"/>
      <c r="AG84" s="561"/>
      <c r="AH84" s="561"/>
      <c r="AI84" s="561"/>
      <c r="AJ84" s="561"/>
      <c r="AK84" s="561"/>
      <c r="AL84" s="561"/>
      <c r="AM84" s="561"/>
      <c r="AN84" s="561"/>
      <c r="AO84" s="561"/>
      <c r="AP84" s="561"/>
      <c r="AQ84" s="561"/>
      <c r="AR84" s="561"/>
      <c r="AS84" s="561"/>
      <c r="AT84" s="561"/>
      <c r="AU84" s="561"/>
      <c r="AV84" s="561"/>
      <c r="AW84" s="561"/>
      <c r="AX84" s="561"/>
      <c r="AY84" s="561"/>
      <c r="AZ84" s="561"/>
      <c r="BA84" s="561"/>
      <c r="BB84" s="561"/>
      <c r="BC84" s="561"/>
      <c r="BD84" s="561"/>
      <c r="BE84" s="561"/>
      <c r="BF84" s="561"/>
      <c r="BG84" s="561"/>
      <c r="BH84" s="561"/>
      <c r="BI84" s="561"/>
      <c r="BJ84" s="561"/>
      <c r="BK84" s="561"/>
      <c r="BL84" s="561"/>
      <c r="BM84" s="561"/>
      <c r="BN84" s="561"/>
      <c r="BO84" s="561"/>
      <c r="BP84" s="561"/>
      <c r="BQ84" s="561"/>
      <c r="BR84" s="561"/>
      <c r="BS84" s="561"/>
      <c r="BT84" s="561"/>
      <c r="BU84" s="561"/>
      <c r="BV84" s="561"/>
      <c r="BW84" s="561"/>
      <c r="BX84" s="561"/>
      <c r="BY84" s="561"/>
      <c r="BZ84" s="561"/>
      <c r="CA84" s="561"/>
      <c r="CB84" s="561"/>
      <c r="CC84" s="561"/>
      <c r="CD84" s="561"/>
      <c r="CE84" s="561"/>
      <c r="CF84" s="561"/>
      <c r="CG84" s="561"/>
      <c r="CH84" s="561"/>
      <c r="CI84" s="561"/>
      <c r="CJ84" s="561"/>
      <c r="CK84" s="561"/>
      <c r="CL84" s="561"/>
      <c r="CM84" s="561"/>
      <c r="CN84" s="561"/>
      <c r="CO84" s="561"/>
      <c r="CP84" s="561"/>
      <c r="CQ84" s="561"/>
      <c r="CR84" s="561"/>
      <c r="CS84" s="561"/>
      <c r="CT84" s="561"/>
      <c r="CU84" s="561"/>
      <c r="CV84" s="561"/>
      <c r="CW84" s="561"/>
      <c r="CX84" s="561"/>
      <c r="CY84" s="561"/>
      <c r="CZ84" s="561"/>
      <c r="DA84" s="561"/>
      <c r="DB84" s="561"/>
      <c r="DC84" s="561"/>
      <c r="DD84" s="561"/>
      <c r="DE84" s="561"/>
      <c r="DF84" s="561"/>
      <c r="DG84" s="561"/>
      <c r="DH84" s="561"/>
      <c r="DI84" s="561"/>
      <c r="DJ84" s="561"/>
      <c r="DK84" s="561"/>
      <c r="DL84" s="561"/>
      <c r="DM84" s="561"/>
      <c r="DN84" s="561"/>
      <c r="DO84" s="561"/>
      <c r="DP84" s="561"/>
      <c r="DQ84" s="561"/>
      <c r="DR84" s="561"/>
      <c r="DS84" s="561"/>
      <c r="DT84" s="561"/>
      <c r="DU84" s="561"/>
      <c r="DV84" s="561"/>
      <c r="DW84" s="561"/>
      <c r="DX84" s="561"/>
      <c r="DY84" s="561"/>
      <c r="DZ84" s="561"/>
      <c r="EA84" s="561"/>
      <c r="EB84" s="561"/>
      <c r="EC84" s="561"/>
      <c r="ED84" s="561"/>
      <c r="EE84" s="561"/>
      <c r="EF84" s="561"/>
      <c r="EG84" s="561"/>
      <c r="EH84" s="561"/>
      <c r="EI84" s="561"/>
      <c r="EJ84" s="561"/>
      <c r="EK84" s="561"/>
      <c r="EL84" s="561"/>
      <c r="EM84" s="561"/>
      <c r="EN84" s="561"/>
      <c r="EO84" s="561"/>
      <c r="EP84" s="561"/>
      <c r="EQ84" s="561"/>
      <c r="ER84" s="561"/>
      <c r="ES84" s="561"/>
      <c r="ET84" s="561"/>
      <c r="EU84" s="561"/>
      <c r="EV84" s="561"/>
      <c r="EW84" s="561"/>
      <c r="EX84" s="561"/>
      <c r="EY84" s="561"/>
      <c r="EZ84" s="561"/>
      <c r="FA84" s="561"/>
      <c r="FB84" s="561"/>
      <c r="FC84" s="561"/>
      <c r="FD84" s="561"/>
      <c r="FE84" s="561"/>
      <c r="FF84" s="561"/>
      <c r="FG84" s="561"/>
      <c r="FH84" s="561"/>
      <c r="FI84" s="561"/>
      <c r="FJ84" s="561"/>
      <c r="FK84" s="561"/>
      <c r="FL84" s="561"/>
      <c r="FM84" s="561"/>
      <c r="FN84" s="561"/>
      <c r="FO84" s="561"/>
      <c r="FP84" s="561"/>
      <c r="FQ84" s="561"/>
      <c r="FR84" s="561"/>
      <c r="FS84" s="561"/>
      <c r="FT84" s="561"/>
      <c r="FU84" s="561"/>
      <c r="FV84" s="561"/>
      <c r="FW84" s="561"/>
      <c r="FX84" s="561"/>
      <c r="FY84" s="561"/>
      <c r="FZ84" s="561"/>
      <c r="GA84" s="561"/>
      <c r="GB84" s="561"/>
      <c r="GC84" s="561"/>
      <c r="GD84" s="561"/>
      <c r="GE84" s="561"/>
      <c r="GF84" s="561"/>
      <c r="GG84" s="561"/>
      <c r="GH84" s="561"/>
      <c r="GI84" s="561"/>
      <c r="GJ84" s="561"/>
      <c r="GK84" s="561"/>
      <c r="GL84" s="561"/>
      <c r="GM84" s="561"/>
      <c r="GN84" s="561"/>
      <c r="GO84" s="561"/>
      <c r="GP84" s="561"/>
      <c r="GQ84" s="561"/>
      <c r="GR84" s="561"/>
      <c r="GS84" s="561"/>
      <c r="GT84" s="561"/>
      <c r="GU84" s="561"/>
      <c r="GV84" s="561"/>
      <c r="GW84" s="561"/>
      <c r="GX84" s="561"/>
      <c r="GY84" s="561"/>
      <c r="GZ84" s="561"/>
      <c r="HA84" s="561"/>
      <c r="HB84" s="561"/>
      <c r="HC84" s="561"/>
      <c r="HD84" s="561"/>
      <c r="HE84" s="561"/>
      <c r="HF84" s="561"/>
      <c r="HG84" s="561"/>
      <c r="HH84" s="561"/>
      <c r="HI84" s="561"/>
      <c r="HJ84" s="561"/>
      <c r="HK84" s="561"/>
      <c r="HL84" s="561"/>
      <c r="HM84" s="561"/>
      <c r="HN84" s="561"/>
      <c r="HO84" s="561"/>
      <c r="HP84" s="561"/>
      <c r="HQ84" s="561"/>
      <c r="HR84" s="561"/>
      <c r="HS84" s="561"/>
      <c r="HT84" s="561"/>
      <c r="HU84" s="561"/>
      <c r="HV84" s="561"/>
      <c r="HW84" s="561"/>
      <c r="HX84" s="561"/>
      <c r="HY84" s="561"/>
      <c r="HZ84" s="561"/>
      <c r="IA84" s="561"/>
      <c r="IB84" s="561"/>
      <c r="IC84" s="561"/>
      <c r="ID84" s="561"/>
      <c r="IE84" s="561"/>
      <c r="IF84" s="561"/>
      <c r="IG84" s="561"/>
      <c r="IH84" s="561"/>
      <c r="II84" s="561"/>
      <c r="IJ84" s="561"/>
      <c r="IK84" s="561"/>
      <c r="IL84" s="561"/>
      <c r="IM84" s="561"/>
      <c r="IN84" s="561"/>
      <c r="IO84" s="561"/>
      <c r="IP84" s="561"/>
      <c r="IQ84" s="561"/>
      <c r="IR84" s="561"/>
      <c r="IS84" s="561"/>
      <c r="IT84" s="561"/>
      <c r="IU84" s="561"/>
      <c r="IV84" s="561"/>
      <c r="IW84" s="561"/>
    </row>
    <row r="85" customFormat="false" ht="12.75" hidden="false" customHeight="false" outlineLevel="1" collapsed="false">
      <c r="A85" s="574" t="s">
        <v>184</v>
      </c>
      <c r="B85" s="575"/>
      <c r="C85" s="576"/>
      <c r="D85" s="554"/>
      <c r="E85" s="555"/>
      <c r="F85" s="556"/>
      <c r="H85" s="577"/>
      <c r="I85" s="558" t="n">
        <f aca="false">IF(D89=0,0,I89/D89)</f>
        <v>1</v>
      </c>
      <c r="J85" s="558" t="n">
        <f aca="false">1-I85</f>
        <v>0</v>
      </c>
      <c r="K85" s="559" t="n">
        <f aca="false">IF(D89=0,0,K89/D89)</f>
        <v>1</v>
      </c>
      <c r="L85" s="559" t="n">
        <f aca="false">1-K85</f>
        <v>0</v>
      </c>
      <c r="M85" s="561"/>
      <c r="N85" s="561"/>
      <c r="O85" s="561"/>
      <c r="P85" s="561"/>
      <c r="Q85" s="561"/>
      <c r="R85" s="561"/>
      <c r="S85" s="561"/>
      <c r="T85" s="561"/>
      <c r="U85" s="561"/>
      <c r="V85" s="561"/>
      <c r="W85" s="561"/>
      <c r="X85" s="561"/>
      <c r="Y85" s="561"/>
      <c r="Z85" s="561"/>
      <c r="AA85" s="561"/>
      <c r="AB85" s="561"/>
      <c r="AC85" s="561"/>
      <c r="AD85" s="561"/>
      <c r="AE85" s="561"/>
      <c r="AF85" s="561"/>
      <c r="AG85" s="561"/>
      <c r="AH85" s="561"/>
      <c r="AI85" s="561"/>
      <c r="AJ85" s="561"/>
      <c r="AK85" s="561"/>
      <c r="AL85" s="561"/>
      <c r="AM85" s="561"/>
      <c r="AN85" s="561"/>
      <c r="AO85" s="561"/>
      <c r="AP85" s="561"/>
      <c r="AQ85" s="561"/>
      <c r="AR85" s="561"/>
      <c r="AS85" s="561"/>
      <c r="AT85" s="561"/>
      <c r="AU85" s="561"/>
      <c r="AV85" s="561"/>
      <c r="AW85" s="561"/>
      <c r="AX85" s="561"/>
      <c r="AY85" s="561"/>
      <c r="AZ85" s="561"/>
      <c r="BA85" s="561"/>
      <c r="BB85" s="561"/>
      <c r="BC85" s="561"/>
      <c r="BD85" s="561"/>
      <c r="BE85" s="561"/>
      <c r="BF85" s="561"/>
      <c r="BG85" s="561"/>
      <c r="BH85" s="561"/>
      <c r="BI85" s="561"/>
      <c r="BJ85" s="561"/>
      <c r="BK85" s="561"/>
      <c r="BL85" s="561"/>
      <c r="BM85" s="561"/>
      <c r="BN85" s="561"/>
      <c r="BO85" s="561"/>
      <c r="BP85" s="561"/>
      <c r="BQ85" s="561"/>
      <c r="BR85" s="561"/>
      <c r="BS85" s="561"/>
      <c r="BT85" s="561"/>
      <c r="BU85" s="561"/>
      <c r="BV85" s="561"/>
      <c r="BW85" s="561"/>
      <c r="BX85" s="561"/>
      <c r="BY85" s="561"/>
      <c r="BZ85" s="561"/>
      <c r="CA85" s="561"/>
      <c r="CB85" s="561"/>
      <c r="CC85" s="561"/>
      <c r="CD85" s="561"/>
      <c r="CE85" s="561"/>
      <c r="CF85" s="561"/>
      <c r="CG85" s="561"/>
      <c r="CH85" s="561"/>
      <c r="CI85" s="561"/>
      <c r="CJ85" s="561"/>
      <c r="CK85" s="561"/>
      <c r="CL85" s="561"/>
      <c r="CM85" s="561"/>
      <c r="CN85" s="561"/>
      <c r="CO85" s="561"/>
      <c r="CP85" s="561"/>
      <c r="CQ85" s="561"/>
      <c r="CR85" s="561"/>
      <c r="CS85" s="561"/>
      <c r="CT85" s="561"/>
      <c r="CU85" s="561"/>
      <c r="CV85" s="561"/>
      <c r="CW85" s="561"/>
      <c r="CX85" s="561"/>
      <c r="CY85" s="561"/>
      <c r="CZ85" s="561"/>
      <c r="DA85" s="561"/>
      <c r="DB85" s="561"/>
      <c r="DC85" s="561"/>
      <c r="DD85" s="561"/>
      <c r="DE85" s="561"/>
      <c r="DF85" s="561"/>
      <c r="DG85" s="561"/>
      <c r="DH85" s="561"/>
      <c r="DI85" s="561"/>
      <c r="DJ85" s="561"/>
      <c r="DK85" s="561"/>
      <c r="DL85" s="561"/>
      <c r="DM85" s="561"/>
      <c r="DN85" s="561"/>
      <c r="DO85" s="561"/>
      <c r="DP85" s="561"/>
      <c r="DQ85" s="561"/>
      <c r="DR85" s="561"/>
      <c r="DS85" s="561"/>
      <c r="DT85" s="561"/>
      <c r="DU85" s="561"/>
      <c r="DV85" s="561"/>
      <c r="DW85" s="561"/>
      <c r="DX85" s="561"/>
      <c r="DY85" s="561"/>
      <c r="DZ85" s="561"/>
      <c r="EA85" s="561"/>
      <c r="EB85" s="561"/>
      <c r="EC85" s="561"/>
      <c r="ED85" s="561"/>
      <c r="EE85" s="561"/>
      <c r="EF85" s="561"/>
      <c r="EG85" s="561"/>
      <c r="EH85" s="561"/>
      <c r="EI85" s="561"/>
      <c r="EJ85" s="561"/>
      <c r="EK85" s="561"/>
      <c r="EL85" s="561"/>
      <c r="EM85" s="561"/>
      <c r="EN85" s="561"/>
      <c r="EO85" s="561"/>
      <c r="EP85" s="561"/>
      <c r="EQ85" s="561"/>
      <c r="ER85" s="561"/>
      <c r="ES85" s="561"/>
      <c r="ET85" s="561"/>
      <c r="EU85" s="561"/>
      <c r="EV85" s="561"/>
      <c r="EW85" s="561"/>
      <c r="EX85" s="561"/>
      <c r="EY85" s="561"/>
      <c r="EZ85" s="561"/>
      <c r="FA85" s="561"/>
      <c r="FB85" s="561"/>
      <c r="FC85" s="561"/>
      <c r="FD85" s="561"/>
      <c r="FE85" s="561"/>
      <c r="FF85" s="561"/>
      <c r="FG85" s="561"/>
      <c r="FH85" s="561"/>
      <c r="FI85" s="561"/>
      <c r="FJ85" s="561"/>
      <c r="FK85" s="561"/>
      <c r="FL85" s="561"/>
      <c r="FM85" s="561"/>
      <c r="FN85" s="561"/>
      <c r="FO85" s="561"/>
      <c r="FP85" s="561"/>
      <c r="FQ85" s="561"/>
      <c r="FR85" s="561"/>
      <c r="FS85" s="561"/>
      <c r="FT85" s="561"/>
      <c r="FU85" s="561"/>
      <c r="FV85" s="561"/>
      <c r="FW85" s="561"/>
      <c r="FX85" s="561"/>
      <c r="FY85" s="561"/>
      <c r="FZ85" s="561"/>
      <c r="GA85" s="561"/>
      <c r="GB85" s="561"/>
      <c r="GC85" s="561"/>
      <c r="GD85" s="561"/>
      <c r="GE85" s="561"/>
      <c r="GF85" s="561"/>
      <c r="GG85" s="561"/>
      <c r="GH85" s="561"/>
      <c r="GI85" s="561"/>
      <c r="GJ85" s="561"/>
      <c r="GK85" s="561"/>
      <c r="GL85" s="561"/>
      <c r="GM85" s="561"/>
      <c r="GN85" s="561"/>
      <c r="GO85" s="561"/>
      <c r="GP85" s="561"/>
      <c r="GQ85" s="561"/>
      <c r="GR85" s="561"/>
      <c r="GS85" s="561"/>
      <c r="GT85" s="561"/>
      <c r="GU85" s="561"/>
      <c r="GV85" s="561"/>
      <c r="GW85" s="561"/>
      <c r="GX85" s="561"/>
      <c r="GY85" s="561"/>
      <c r="GZ85" s="561"/>
      <c r="HA85" s="561"/>
      <c r="HB85" s="561"/>
      <c r="HC85" s="561"/>
      <c r="HD85" s="561"/>
      <c r="HE85" s="561"/>
      <c r="HF85" s="561"/>
      <c r="HG85" s="561"/>
      <c r="HH85" s="561"/>
      <c r="HI85" s="561"/>
      <c r="HJ85" s="561"/>
      <c r="HK85" s="561"/>
      <c r="HL85" s="561"/>
      <c r="HM85" s="561"/>
      <c r="HN85" s="561"/>
      <c r="HO85" s="561"/>
      <c r="HP85" s="561"/>
      <c r="HQ85" s="561"/>
      <c r="HR85" s="561"/>
      <c r="HS85" s="561"/>
      <c r="HT85" s="561"/>
      <c r="HU85" s="561"/>
      <c r="HV85" s="561"/>
      <c r="HW85" s="561"/>
      <c r="HX85" s="561"/>
      <c r="HY85" s="561"/>
      <c r="HZ85" s="561"/>
      <c r="IA85" s="561"/>
      <c r="IB85" s="561"/>
      <c r="IC85" s="561"/>
      <c r="ID85" s="561"/>
      <c r="IE85" s="561"/>
      <c r="IF85" s="561"/>
      <c r="IG85" s="561"/>
      <c r="IH85" s="561"/>
      <c r="II85" s="561"/>
      <c r="IJ85" s="561"/>
      <c r="IK85" s="561"/>
      <c r="IL85" s="561"/>
      <c r="IM85" s="561"/>
      <c r="IN85" s="561"/>
      <c r="IO85" s="561"/>
      <c r="IP85" s="561"/>
      <c r="IQ85" s="561"/>
      <c r="IR85" s="561"/>
      <c r="IS85" s="561"/>
      <c r="IT85" s="561"/>
      <c r="IU85" s="561"/>
      <c r="IV85" s="561"/>
      <c r="IW85" s="561"/>
    </row>
    <row r="86" customFormat="false" ht="12.75" hidden="false" customHeight="false" outlineLevel="2" collapsed="false">
      <c r="A86" s="316"/>
      <c r="B86" s="569" t="str">
        <f aca="false">'Plant Configuration'!C125</f>
        <v>Phone service</v>
      </c>
      <c r="C86" s="44"/>
      <c r="D86" s="578" t="n">
        <f aca="false">IF($O$7=6,0,HLOOKUP($D$5,Plant_Configuration,'Plant Configuration'!A125,FALSE()))+IF($R$7=6,0,HLOOKUP($E$5,Plant_Configuration,'Plant Configuration'!A125,FALSE()))+IF($U$7=6,0,HLOOKUP($F$5,Plant_Configuration,'Plant Configuration'!A125,FALSE()))</f>
        <v>12000</v>
      </c>
      <c r="E86" s="342" t="n">
        <v>0</v>
      </c>
      <c r="F86" s="566" t="n">
        <v>1</v>
      </c>
      <c r="H86" s="316" t="s">
        <v>1029</v>
      </c>
      <c r="I86" s="567" t="n">
        <f aca="false">D86-J86</f>
        <v>12000</v>
      </c>
      <c r="J86" s="567" t="n">
        <f aca="false">E86*D86</f>
        <v>0</v>
      </c>
      <c r="K86" s="317" t="n">
        <f aca="false">F86*D86</f>
        <v>12000</v>
      </c>
      <c r="L86" s="317" t="n">
        <f aca="false">D86-K86</f>
        <v>0</v>
      </c>
      <c r="N86" s="45"/>
      <c r="O86" s="45"/>
    </row>
    <row r="87" customFormat="false" ht="12.75" hidden="false" customHeight="false" outlineLevel="2" collapsed="false">
      <c r="A87" s="316"/>
      <c r="B87" s="569" t="str">
        <f aca="false">'Plant Configuration'!C126</f>
        <v>Cellular phone service</v>
      </c>
      <c r="C87" s="44"/>
      <c r="D87" s="578" t="n">
        <f aca="false">IF($O$7=6,0,HLOOKUP($D$5,Plant_Configuration,'Plant Configuration'!A126,FALSE()))+IF($R$7=6,0,HLOOKUP($E$5,Plant_Configuration,'Plant Configuration'!A126,FALSE()))+IF($U$7=6,0,HLOOKUP($F$5,Plant_Configuration,'Plant Configuration'!A126,FALSE()))</f>
        <v>3600</v>
      </c>
      <c r="E87" s="342" t="n">
        <v>0</v>
      </c>
      <c r="F87" s="566" t="n">
        <v>1</v>
      </c>
      <c r="H87" s="316" t="s">
        <v>1030</v>
      </c>
      <c r="I87" s="567" t="n">
        <f aca="false">D87-J87</f>
        <v>3600</v>
      </c>
      <c r="J87" s="567" t="n">
        <f aca="false">E87*D87</f>
        <v>0</v>
      </c>
      <c r="K87" s="317" t="n">
        <f aca="false">F87*D87</f>
        <v>3600</v>
      </c>
      <c r="L87" s="317" t="n">
        <f aca="false">D87-K87</f>
        <v>0</v>
      </c>
      <c r="N87" s="45"/>
      <c r="O87" s="45"/>
    </row>
    <row r="88" customFormat="false" ht="12.75" hidden="false" customHeight="false" outlineLevel="2" collapsed="false">
      <c r="A88" s="316"/>
      <c r="B88" s="569" t="str">
        <f aca="false">'Plant Configuration'!C127</f>
        <v>VSAT</v>
      </c>
      <c r="C88" s="44"/>
      <c r="D88" s="578" t="n">
        <f aca="false">IF($O$7=6,0,HLOOKUP($D$5,Plant_Configuration,'Plant Configuration'!A127,FALSE()))+IF($R$7=6,0,HLOOKUP($E$5,Plant_Configuration,'Plant Configuration'!A127,FALSE()))+IF($U$7=6,0,HLOOKUP($F$5,Plant_Configuration,'Plant Configuration'!A127,FALSE()))</f>
        <v>0</v>
      </c>
      <c r="E88" s="342" t="n">
        <v>0</v>
      </c>
      <c r="F88" s="566"/>
      <c r="H88" s="316" t="s">
        <v>1031</v>
      </c>
      <c r="I88" s="567" t="n">
        <f aca="false">D88-J88</f>
        <v>0</v>
      </c>
      <c r="J88" s="567" t="n">
        <f aca="false">E88*D88</f>
        <v>0</v>
      </c>
      <c r="K88" s="317"/>
      <c r="L88" s="317"/>
      <c r="N88" s="45"/>
      <c r="O88" s="45"/>
    </row>
    <row r="89" customFormat="false" ht="12.75" hidden="false" customHeight="false" outlineLevel="1" collapsed="false">
      <c r="A89" s="579"/>
      <c r="B89" s="570" t="s">
        <v>431</v>
      </c>
      <c r="C89" s="0"/>
      <c r="D89" s="571" t="n">
        <f aca="false">SUBTOTAL(9,D86:D88)</f>
        <v>15600</v>
      </c>
      <c r="E89" s="572"/>
      <c r="F89" s="573"/>
      <c r="H89" s="316" t="s">
        <v>1032</v>
      </c>
      <c r="I89" s="571" t="n">
        <f aca="false">SUBTOTAL(9,I86:I88)</f>
        <v>15600</v>
      </c>
      <c r="J89" s="571" t="n">
        <f aca="false">SUBTOTAL(9,J86:J88)</f>
        <v>0</v>
      </c>
      <c r="K89" s="571" t="n">
        <f aca="false">SUBTOTAL(9,K86:K88)</f>
        <v>15600</v>
      </c>
      <c r="L89" s="571" t="n">
        <f aca="false">SUBTOTAL(9,L86:L88)</f>
        <v>0</v>
      </c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1"/>
      <c r="AG89" s="561"/>
      <c r="AH89" s="561"/>
      <c r="AI89" s="561"/>
      <c r="AJ89" s="561"/>
      <c r="AK89" s="561"/>
      <c r="AL89" s="561"/>
      <c r="AM89" s="561"/>
      <c r="AN89" s="561"/>
      <c r="AO89" s="561"/>
      <c r="AP89" s="561"/>
      <c r="AQ89" s="561"/>
      <c r="AR89" s="561"/>
      <c r="AS89" s="561"/>
      <c r="AT89" s="561"/>
      <c r="AU89" s="561"/>
      <c r="AV89" s="561"/>
      <c r="AW89" s="561"/>
      <c r="AX89" s="561"/>
      <c r="AY89" s="561"/>
      <c r="AZ89" s="561"/>
      <c r="BA89" s="561"/>
      <c r="BB89" s="561"/>
      <c r="BC89" s="561"/>
      <c r="BD89" s="561"/>
      <c r="BE89" s="561"/>
      <c r="BF89" s="561"/>
      <c r="BG89" s="561"/>
      <c r="BH89" s="561"/>
      <c r="BI89" s="561"/>
      <c r="BJ89" s="561"/>
      <c r="BK89" s="561"/>
      <c r="BL89" s="561"/>
      <c r="BM89" s="561"/>
      <c r="BN89" s="561"/>
      <c r="BO89" s="561"/>
      <c r="BP89" s="561"/>
      <c r="BQ89" s="561"/>
      <c r="BR89" s="561"/>
      <c r="BS89" s="561"/>
      <c r="BT89" s="561"/>
      <c r="BU89" s="561"/>
      <c r="BV89" s="561"/>
      <c r="BW89" s="561"/>
      <c r="BX89" s="561"/>
      <c r="BY89" s="561"/>
      <c r="BZ89" s="561"/>
      <c r="CA89" s="561"/>
      <c r="CB89" s="561"/>
      <c r="CC89" s="561"/>
      <c r="CD89" s="561"/>
      <c r="CE89" s="561"/>
      <c r="CF89" s="561"/>
      <c r="CG89" s="561"/>
      <c r="CH89" s="561"/>
      <c r="CI89" s="561"/>
      <c r="CJ89" s="561"/>
      <c r="CK89" s="561"/>
      <c r="CL89" s="561"/>
      <c r="CM89" s="561"/>
      <c r="CN89" s="561"/>
      <c r="CO89" s="561"/>
      <c r="CP89" s="561"/>
      <c r="CQ89" s="561"/>
      <c r="CR89" s="561"/>
      <c r="CS89" s="561"/>
      <c r="CT89" s="561"/>
      <c r="CU89" s="561"/>
      <c r="CV89" s="561"/>
      <c r="CW89" s="561"/>
      <c r="CX89" s="561"/>
      <c r="CY89" s="561"/>
      <c r="CZ89" s="561"/>
      <c r="DA89" s="561"/>
      <c r="DB89" s="561"/>
      <c r="DC89" s="561"/>
      <c r="DD89" s="561"/>
      <c r="DE89" s="561"/>
      <c r="DF89" s="561"/>
      <c r="DG89" s="561"/>
      <c r="DH89" s="561"/>
      <c r="DI89" s="561"/>
      <c r="DJ89" s="561"/>
      <c r="DK89" s="561"/>
      <c r="DL89" s="561"/>
      <c r="DM89" s="561"/>
      <c r="DN89" s="561"/>
      <c r="DO89" s="561"/>
      <c r="DP89" s="561"/>
      <c r="DQ89" s="561"/>
      <c r="DR89" s="561"/>
      <c r="DS89" s="561"/>
      <c r="DT89" s="561"/>
      <c r="DU89" s="561"/>
      <c r="DV89" s="561"/>
      <c r="DW89" s="561"/>
      <c r="DX89" s="561"/>
      <c r="DY89" s="561"/>
      <c r="DZ89" s="561"/>
      <c r="EA89" s="561"/>
      <c r="EB89" s="561"/>
      <c r="EC89" s="561"/>
      <c r="ED89" s="561"/>
      <c r="EE89" s="561"/>
      <c r="EF89" s="561"/>
      <c r="EG89" s="561"/>
      <c r="EH89" s="561"/>
      <c r="EI89" s="561"/>
      <c r="EJ89" s="561"/>
      <c r="EK89" s="561"/>
      <c r="EL89" s="561"/>
      <c r="EM89" s="561"/>
      <c r="EN89" s="561"/>
      <c r="EO89" s="561"/>
      <c r="EP89" s="561"/>
      <c r="EQ89" s="561"/>
      <c r="ER89" s="561"/>
      <c r="ES89" s="561"/>
      <c r="ET89" s="561"/>
      <c r="EU89" s="561"/>
      <c r="EV89" s="561"/>
      <c r="EW89" s="561"/>
      <c r="EX89" s="561"/>
      <c r="EY89" s="561"/>
      <c r="EZ89" s="561"/>
      <c r="FA89" s="561"/>
      <c r="FB89" s="561"/>
      <c r="FC89" s="561"/>
      <c r="FD89" s="561"/>
      <c r="FE89" s="561"/>
      <c r="FF89" s="561"/>
      <c r="FG89" s="561"/>
      <c r="FH89" s="561"/>
      <c r="FI89" s="561"/>
      <c r="FJ89" s="561"/>
      <c r="FK89" s="561"/>
      <c r="FL89" s="561"/>
      <c r="FM89" s="561"/>
      <c r="FN89" s="561"/>
      <c r="FO89" s="561"/>
      <c r="FP89" s="561"/>
      <c r="FQ89" s="561"/>
      <c r="FR89" s="561"/>
      <c r="FS89" s="561"/>
      <c r="FT89" s="561"/>
      <c r="FU89" s="561"/>
      <c r="FV89" s="561"/>
      <c r="FW89" s="561"/>
      <c r="FX89" s="561"/>
      <c r="FY89" s="561"/>
      <c r="FZ89" s="561"/>
      <c r="GA89" s="561"/>
      <c r="GB89" s="561"/>
      <c r="GC89" s="561"/>
      <c r="GD89" s="561"/>
      <c r="GE89" s="561"/>
      <c r="GF89" s="561"/>
      <c r="GG89" s="561"/>
      <c r="GH89" s="561"/>
      <c r="GI89" s="561"/>
      <c r="GJ89" s="561"/>
      <c r="GK89" s="561"/>
      <c r="GL89" s="561"/>
      <c r="GM89" s="561"/>
      <c r="GN89" s="561"/>
      <c r="GO89" s="561"/>
      <c r="GP89" s="561"/>
      <c r="GQ89" s="561"/>
      <c r="GR89" s="561"/>
      <c r="GS89" s="561"/>
      <c r="GT89" s="561"/>
      <c r="GU89" s="561"/>
      <c r="GV89" s="561"/>
      <c r="GW89" s="561"/>
      <c r="GX89" s="561"/>
      <c r="GY89" s="561"/>
      <c r="GZ89" s="561"/>
      <c r="HA89" s="561"/>
      <c r="HB89" s="561"/>
      <c r="HC89" s="561"/>
      <c r="HD89" s="561"/>
      <c r="HE89" s="561"/>
      <c r="HF89" s="561"/>
      <c r="HG89" s="561"/>
      <c r="HH89" s="561"/>
      <c r="HI89" s="561"/>
      <c r="HJ89" s="561"/>
      <c r="HK89" s="561"/>
      <c r="HL89" s="561"/>
      <c r="HM89" s="561"/>
      <c r="HN89" s="561"/>
      <c r="HO89" s="561"/>
      <c r="HP89" s="561"/>
      <c r="HQ89" s="561"/>
      <c r="HR89" s="561"/>
      <c r="HS89" s="561"/>
      <c r="HT89" s="561"/>
      <c r="HU89" s="561"/>
      <c r="HV89" s="561"/>
      <c r="HW89" s="561"/>
      <c r="HX89" s="561"/>
      <c r="HY89" s="561"/>
      <c r="HZ89" s="561"/>
      <c r="IA89" s="561"/>
      <c r="IB89" s="561"/>
      <c r="IC89" s="561"/>
      <c r="ID89" s="561"/>
      <c r="IE89" s="561"/>
      <c r="IF89" s="561"/>
      <c r="IG89" s="561"/>
      <c r="IH89" s="561"/>
      <c r="II89" s="561"/>
      <c r="IJ89" s="561"/>
      <c r="IK89" s="561"/>
      <c r="IL89" s="561"/>
      <c r="IM89" s="561"/>
      <c r="IN89" s="561"/>
      <c r="IO89" s="561"/>
      <c r="IP89" s="561"/>
      <c r="IQ89" s="561"/>
      <c r="IR89" s="561"/>
      <c r="IS89" s="561"/>
      <c r="IT89" s="561"/>
      <c r="IU89" s="561"/>
      <c r="IV89" s="561"/>
      <c r="IW89" s="561"/>
    </row>
    <row r="90" customFormat="false" ht="12.75" hidden="false" customHeight="false" outlineLevel="1" collapsed="false">
      <c r="A90" s="574" t="s">
        <v>1033</v>
      </c>
      <c r="B90" s="575"/>
      <c r="C90" s="576"/>
      <c r="D90" s="554"/>
      <c r="E90" s="555"/>
      <c r="F90" s="556"/>
      <c r="H90" s="577"/>
      <c r="I90" s="558" t="n">
        <f aca="false">IF(D93&lt;&gt;0,I93/D93,0)</f>
        <v>0</v>
      </c>
      <c r="J90" s="558" t="n">
        <f aca="false">1-I90</f>
        <v>1</v>
      </c>
      <c r="K90" s="559" t="n">
        <f aca="false">IF(D93&lt;&gt;0,K93/D93,0)</f>
        <v>0</v>
      </c>
      <c r="L90" s="559" t="n">
        <f aca="false">1-K90</f>
        <v>1</v>
      </c>
      <c r="M90" s="561"/>
      <c r="N90" s="561"/>
      <c r="O90" s="561"/>
      <c r="P90" s="561"/>
      <c r="Q90" s="561"/>
      <c r="R90" s="561"/>
      <c r="S90" s="561"/>
      <c r="T90" s="561"/>
      <c r="U90" s="561"/>
      <c r="V90" s="561"/>
      <c r="W90" s="561"/>
      <c r="X90" s="561"/>
      <c r="Y90" s="561"/>
      <c r="Z90" s="561"/>
      <c r="AA90" s="561"/>
      <c r="AB90" s="561"/>
      <c r="AC90" s="561"/>
      <c r="AD90" s="561"/>
      <c r="AE90" s="561"/>
      <c r="AF90" s="561"/>
      <c r="AG90" s="561"/>
      <c r="AH90" s="561"/>
      <c r="AI90" s="561"/>
      <c r="AJ90" s="561"/>
      <c r="AK90" s="561"/>
      <c r="AL90" s="561"/>
      <c r="AM90" s="561"/>
      <c r="AN90" s="561"/>
      <c r="AO90" s="561"/>
      <c r="AP90" s="561"/>
      <c r="AQ90" s="561"/>
      <c r="AR90" s="561"/>
      <c r="AS90" s="561"/>
      <c r="AT90" s="561"/>
      <c r="AU90" s="561"/>
      <c r="AV90" s="561"/>
      <c r="AW90" s="561"/>
      <c r="AX90" s="561"/>
      <c r="AY90" s="561"/>
      <c r="AZ90" s="561"/>
      <c r="BA90" s="561"/>
      <c r="BB90" s="561"/>
      <c r="BC90" s="561"/>
      <c r="BD90" s="561"/>
      <c r="BE90" s="561"/>
      <c r="BF90" s="561"/>
      <c r="BG90" s="561"/>
      <c r="BH90" s="561"/>
      <c r="BI90" s="561"/>
      <c r="BJ90" s="561"/>
      <c r="BK90" s="561"/>
      <c r="BL90" s="561"/>
      <c r="BM90" s="561"/>
      <c r="BN90" s="561"/>
      <c r="BO90" s="561"/>
      <c r="BP90" s="561"/>
      <c r="BQ90" s="561"/>
      <c r="BR90" s="561"/>
      <c r="BS90" s="561"/>
      <c r="BT90" s="561"/>
      <c r="BU90" s="561"/>
      <c r="BV90" s="561"/>
      <c r="BW90" s="561"/>
      <c r="BX90" s="561"/>
      <c r="BY90" s="561"/>
      <c r="BZ90" s="561"/>
      <c r="CA90" s="561"/>
      <c r="CB90" s="561"/>
      <c r="CC90" s="561"/>
      <c r="CD90" s="561"/>
      <c r="CE90" s="561"/>
      <c r="CF90" s="561"/>
      <c r="CG90" s="561"/>
      <c r="CH90" s="561"/>
      <c r="CI90" s="561"/>
      <c r="CJ90" s="561"/>
      <c r="CK90" s="561"/>
      <c r="CL90" s="561"/>
      <c r="CM90" s="561"/>
      <c r="CN90" s="561"/>
      <c r="CO90" s="561"/>
      <c r="CP90" s="561"/>
      <c r="CQ90" s="561"/>
      <c r="CR90" s="561"/>
      <c r="CS90" s="561"/>
      <c r="CT90" s="561"/>
      <c r="CU90" s="561"/>
      <c r="CV90" s="561"/>
      <c r="CW90" s="561"/>
      <c r="CX90" s="561"/>
      <c r="CY90" s="561"/>
      <c r="CZ90" s="561"/>
      <c r="DA90" s="561"/>
      <c r="DB90" s="561"/>
      <c r="DC90" s="561"/>
      <c r="DD90" s="561"/>
      <c r="DE90" s="561"/>
      <c r="DF90" s="561"/>
      <c r="DG90" s="561"/>
      <c r="DH90" s="561"/>
      <c r="DI90" s="561"/>
      <c r="DJ90" s="561"/>
      <c r="DK90" s="561"/>
      <c r="DL90" s="561"/>
      <c r="DM90" s="561"/>
      <c r="DN90" s="561"/>
      <c r="DO90" s="561"/>
      <c r="DP90" s="561"/>
      <c r="DQ90" s="561"/>
      <c r="DR90" s="561"/>
      <c r="DS90" s="561"/>
      <c r="DT90" s="561"/>
      <c r="DU90" s="561"/>
      <c r="DV90" s="561"/>
      <c r="DW90" s="561"/>
      <c r="DX90" s="561"/>
      <c r="DY90" s="561"/>
      <c r="DZ90" s="561"/>
      <c r="EA90" s="561"/>
      <c r="EB90" s="561"/>
      <c r="EC90" s="561"/>
      <c r="ED90" s="561"/>
      <c r="EE90" s="561"/>
      <c r="EF90" s="561"/>
      <c r="EG90" s="561"/>
      <c r="EH90" s="561"/>
      <c r="EI90" s="561"/>
      <c r="EJ90" s="561"/>
      <c r="EK90" s="561"/>
      <c r="EL90" s="561"/>
      <c r="EM90" s="561"/>
      <c r="EN90" s="561"/>
      <c r="EO90" s="561"/>
      <c r="EP90" s="561"/>
      <c r="EQ90" s="561"/>
      <c r="ER90" s="561"/>
      <c r="ES90" s="561"/>
      <c r="ET90" s="561"/>
      <c r="EU90" s="561"/>
      <c r="EV90" s="561"/>
      <c r="EW90" s="561"/>
      <c r="EX90" s="561"/>
      <c r="EY90" s="561"/>
      <c r="EZ90" s="561"/>
      <c r="FA90" s="561"/>
      <c r="FB90" s="561"/>
      <c r="FC90" s="561"/>
      <c r="FD90" s="561"/>
      <c r="FE90" s="561"/>
      <c r="FF90" s="561"/>
      <c r="FG90" s="561"/>
      <c r="FH90" s="561"/>
      <c r="FI90" s="561"/>
      <c r="FJ90" s="561"/>
      <c r="FK90" s="561"/>
      <c r="FL90" s="561"/>
      <c r="FM90" s="561"/>
      <c r="FN90" s="561"/>
      <c r="FO90" s="561"/>
      <c r="FP90" s="561"/>
      <c r="FQ90" s="561"/>
      <c r="FR90" s="561"/>
      <c r="FS90" s="561"/>
      <c r="FT90" s="561"/>
      <c r="FU90" s="561"/>
      <c r="FV90" s="561"/>
      <c r="FW90" s="561"/>
      <c r="FX90" s="561"/>
      <c r="FY90" s="561"/>
      <c r="FZ90" s="561"/>
      <c r="GA90" s="561"/>
      <c r="GB90" s="561"/>
      <c r="GC90" s="561"/>
      <c r="GD90" s="561"/>
      <c r="GE90" s="561"/>
      <c r="GF90" s="561"/>
      <c r="GG90" s="561"/>
      <c r="GH90" s="561"/>
      <c r="GI90" s="561"/>
      <c r="GJ90" s="561"/>
      <c r="GK90" s="561"/>
      <c r="GL90" s="561"/>
      <c r="GM90" s="561"/>
      <c r="GN90" s="561"/>
      <c r="GO90" s="561"/>
      <c r="GP90" s="561"/>
      <c r="GQ90" s="561"/>
      <c r="GR90" s="561"/>
      <c r="GS90" s="561"/>
      <c r="GT90" s="561"/>
      <c r="GU90" s="561"/>
      <c r="GV90" s="561"/>
      <c r="GW90" s="561"/>
      <c r="GX90" s="561"/>
      <c r="GY90" s="561"/>
      <c r="GZ90" s="561"/>
      <c r="HA90" s="561"/>
      <c r="HB90" s="561"/>
      <c r="HC90" s="561"/>
      <c r="HD90" s="561"/>
      <c r="HE90" s="561"/>
      <c r="HF90" s="561"/>
      <c r="HG90" s="561"/>
      <c r="HH90" s="561"/>
      <c r="HI90" s="561"/>
      <c r="HJ90" s="561"/>
      <c r="HK90" s="561"/>
      <c r="HL90" s="561"/>
      <c r="HM90" s="561"/>
      <c r="HN90" s="561"/>
      <c r="HO90" s="561"/>
      <c r="HP90" s="561"/>
      <c r="HQ90" s="561"/>
      <c r="HR90" s="561"/>
      <c r="HS90" s="561"/>
      <c r="HT90" s="561"/>
      <c r="HU90" s="561"/>
      <c r="HV90" s="561"/>
      <c r="HW90" s="561"/>
      <c r="HX90" s="561"/>
      <c r="HY90" s="561"/>
      <c r="HZ90" s="561"/>
      <c r="IA90" s="561"/>
      <c r="IB90" s="561"/>
      <c r="IC90" s="561"/>
      <c r="ID90" s="561"/>
      <c r="IE90" s="561"/>
      <c r="IF90" s="561"/>
      <c r="IG90" s="561"/>
      <c r="IH90" s="561"/>
      <c r="II90" s="561"/>
      <c r="IJ90" s="561"/>
      <c r="IK90" s="561"/>
      <c r="IL90" s="561"/>
      <c r="IM90" s="561"/>
      <c r="IN90" s="561"/>
      <c r="IO90" s="561"/>
      <c r="IP90" s="561"/>
      <c r="IQ90" s="561"/>
      <c r="IR90" s="561"/>
      <c r="IS90" s="561"/>
      <c r="IT90" s="561"/>
      <c r="IU90" s="561"/>
      <c r="IV90" s="561"/>
      <c r="IW90" s="561"/>
    </row>
    <row r="91" customFormat="false" ht="12.75" hidden="false" customHeight="false" outlineLevel="2" collapsed="false">
      <c r="A91" s="316"/>
      <c r="B91" s="569" t="str">
        <f aca="false">'Plant Configuration'!C130</f>
        <v>Operating Insurance</v>
      </c>
      <c r="C91" s="44"/>
      <c r="D91" s="578" t="n">
        <f aca="false">IF($O$7=5,0,HLOOKUP($D$5,Plant_Configuration,'Plant Configuration'!A130,FALSE()))+IF($R$7=5,0,HLOOKUP($E$5,Plant_Configuration,'Plant Configuration'!A130,FALSE()))+IF($U$7=5,0,HLOOKUP($F$5,Plant_Configuration,'Plant Configuration'!A130,FALSE()))</f>
        <v>0</v>
      </c>
      <c r="E91" s="342" t="n">
        <v>0</v>
      </c>
      <c r="F91" s="566" t="n">
        <v>0</v>
      </c>
      <c r="H91" s="316" t="s">
        <v>1034</v>
      </c>
      <c r="I91" s="567" t="n">
        <f aca="false">D91-J91</f>
        <v>0</v>
      </c>
      <c r="J91" s="567" t="n">
        <f aca="false">E91*D91</f>
        <v>0</v>
      </c>
      <c r="K91" s="317" t="n">
        <f aca="false">F91*D91</f>
        <v>0</v>
      </c>
      <c r="L91" s="317" t="n">
        <f aca="false">D91-K91</f>
        <v>0</v>
      </c>
      <c r="N91" s="45"/>
      <c r="O91" s="45"/>
    </row>
    <row r="92" customFormat="false" ht="12.75" hidden="false" customHeight="false" outlineLevel="2" collapsed="false">
      <c r="A92" s="316"/>
      <c r="B92" s="569" t="str">
        <f aca="false">'Plant Configuration'!C131</f>
        <v>Other</v>
      </c>
      <c r="C92" s="44"/>
      <c r="D92" s="578" t="n">
        <f aca="false">IF($O$7=5,0,HLOOKUP($D$5,Plant_Configuration,'Plant Configuration'!A131,FALSE()))+IF($R$7=5,0,HLOOKUP($E$5,Plant_Configuration,'Plant Configuration'!A131,FALSE()))+IF($U$7=5,0,HLOOKUP($F$5,Plant_Configuration,'Plant Configuration'!A131,FALSE()))</f>
        <v>0</v>
      </c>
      <c r="E92" s="342" t="n">
        <v>0</v>
      </c>
      <c r="F92" s="566" t="n">
        <v>0</v>
      </c>
      <c r="H92" s="316" t="s">
        <v>1035</v>
      </c>
      <c r="I92" s="567" t="n">
        <f aca="false">D92-J92</f>
        <v>0</v>
      </c>
      <c r="J92" s="567" t="n">
        <f aca="false">E92*D92</f>
        <v>0</v>
      </c>
      <c r="K92" s="317"/>
      <c r="L92" s="317"/>
      <c r="N92" s="45"/>
      <c r="O92" s="45"/>
    </row>
    <row r="93" customFormat="false" ht="12.75" hidden="false" customHeight="false" outlineLevel="1" collapsed="false">
      <c r="A93" s="579"/>
      <c r="B93" s="570" t="s">
        <v>431</v>
      </c>
      <c r="C93" s="0"/>
      <c r="D93" s="571" t="n">
        <f aca="false">SUBTOTAL(9,D91:D92)</f>
        <v>0</v>
      </c>
      <c r="E93" s="572"/>
      <c r="F93" s="573"/>
      <c r="H93" s="316" t="s">
        <v>983</v>
      </c>
      <c r="I93" s="571" t="n">
        <f aca="false">SUBTOTAL(9,I91:I92)</f>
        <v>0</v>
      </c>
      <c r="J93" s="571" t="n">
        <f aca="false">SUBTOTAL(9,J91:J92)</f>
        <v>0</v>
      </c>
      <c r="K93" s="571" t="n">
        <f aca="false">SUBTOTAL(9,K91:K92)</f>
        <v>0</v>
      </c>
      <c r="L93" s="571" t="n">
        <f aca="false">SUBTOTAL(9,L91:L92)</f>
        <v>0</v>
      </c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  <c r="Z93" s="561"/>
      <c r="AA93" s="561"/>
      <c r="AB93" s="561"/>
      <c r="AC93" s="561"/>
      <c r="AD93" s="561"/>
      <c r="AE93" s="561"/>
      <c r="AF93" s="561"/>
      <c r="AG93" s="561"/>
      <c r="AH93" s="561"/>
      <c r="AI93" s="561"/>
      <c r="AJ93" s="561"/>
      <c r="AK93" s="561"/>
      <c r="AL93" s="561"/>
      <c r="AM93" s="561"/>
      <c r="AN93" s="561"/>
      <c r="AO93" s="561"/>
      <c r="AP93" s="561"/>
      <c r="AQ93" s="561"/>
      <c r="AR93" s="561"/>
      <c r="AS93" s="561"/>
      <c r="AT93" s="561"/>
      <c r="AU93" s="561"/>
      <c r="AV93" s="561"/>
      <c r="AW93" s="561"/>
      <c r="AX93" s="561"/>
      <c r="AY93" s="561"/>
      <c r="AZ93" s="561"/>
      <c r="BA93" s="561"/>
      <c r="BB93" s="561"/>
      <c r="BC93" s="561"/>
      <c r="BD93" s="561"/>
      <c r="BE93" s="561"/>
      <c r="BF93" s="561"/>
      <c r="BG93" s="561"/>
      <c r="BH93" s="561"/>
      <c r="BI93" s="561"/>
      <c r="BJ93" s="561"/>
      <c r="BK93" s="561"/>
      <c r="BL93" s="561"/>
      <c r="BM93" s="561"/>
      <c r="BN93" s="561"/>
      <c r="BO93" s="561"/>
      <c r="BP93" s="561"/>
      <c r="BQ93" s="561"/>
      <c r="BR93" s="561"/>
      <c r="BS93" s="561"/>
      <c r="BT93" s="561"/>
      <c r="BU93" s="561"/>
      <c r="BV93" s="561"/>
      <c r="BW93" s="561"/>
      <c r="BX93" s="561"/>
      <c r="BY93" s="561"/>
      <c r="BZ93" s="561"/>
      <c r="CA93" s="561"/>
      <c r="CB93" s="561"/>
      <c r="CC93" s="561"/>
      <c r="CD93" s="561"/>
      <c r="CE93" s="561"/>
      <c r="CF93" s="561"/>
      <c r="CG93" s="561"/>
      <c r="CH93" s="561"/>
      <c r="CI93" s="561"/>
      <c r="CJ93" s="561"/>
      <c r="CK93" s="561"/>
      <c r="CL93" s="561"/>
      <c r="CM93" s="561"/>
      <c r="CN93" s="561"/>
      <c r="CO93" s="561"/>
      <c r="CP93" s="561"/>
      <c r="CQ93" s="561"/>
      <c r="CR93" s="561"/>
      <c r="CS93" s="561"/>
      <c r="CT93" s="561"/>
      <c r="CU93" s="561"/>
      <c r="CV93" s="561"/>
      <c r="CW93" s="561"/>
      <c r="CX93" s="561"/>
      <c r="CY93" s="561"/>
      <c r="CZ93" s="561"/>
      <c r="DA93" s="561"/>
      <c r="DB93" s="561"/>
      <c r="DC93" s="561"/>
      <c r="DD93" s="561"/>
      <c r="DE93" s="561"/>
      <c r="DF93" s="561"/>
      <c r="DG93" s="561"/>
      <c r="DH93" s="561"/>
      <c r="DI93" s="561"/>
      <c r="DJ93" s="561"/>
      <c r="DK93" s="561"/>
      <c r="DL93" s="561"/>
      <c r="DM93" s="561"/>
      <c r="DN93" s="561"/>
      <c r="DO93" s="561"/>
      <c r="DP93" s="561"/>
      <c r="DQ93" s="561"/>
      <c r="DR93" s="561"/>
      <c r="DS93" s="561"/>
      <c r="DT93" s="561"/>
      <c r="DU93" s="561"/>
      <c r="DV93" s="561"/>
      <c r="DW93" s="561"/>
      <c r="DX93" s="561"/>
      <c r="DY93" s="561"/>
      <c r="DZ93" s="561"/>
      <c r="EA93" s="561"/>
      <c r="EB93" s="561"/>
      <c r="EC93" s="561"/>
      <c r="ED93" s="561"/>
      <c r="EE93" s="561"/>
      <c r="EF93" s="561"/>
      <c r="EG93" s="561"/>
      <c r="EH93" s="561"/>
      <c r="EI93" s="561"/>
      <c r="EJ93" s="561"/>
      <c r="EK93" s="561"/>
      <c r="EL93" s="561"/>
      <c r="EM93" s="561"/>
      <c r="EN93" s="561"/>
      <c r="EO93" s="561"/>
      <c r="EP93" s="561"/>
      <c r="EQ93" s="561"/>
      <c r="ER93" s="561"/>
      <c r="ES93" s="561"/>
      <c r="ET93" s="561"/>
      <c r="EU93" s="561"/>
      <c r="EV93" s="561"/>
      <c r="EW93" s="561"/>
      <c r="EX93" s="561"/>
      <c r="EY93" s="561"/>
      <c r="EZ93" s="561"/>
      <c r="FA93" s="561"/>
      <c r="FB93" s="561"/>
      <c r="FC93" s="561"/>
      <c r="FD93" s="561"/>
      <c r="FE93" s="561"/>
      <c r="FF93" s="561"/>
      <c r="FG93" s="561"/>
      <c r="FH93" s="561"/>
      <c r="FI93" s="561"/>
      <c r="FJ93" s="561"/>
      <c r="FK93" s="561"/>
      <c r="FL93" s="561"/>
      <c r="FM93" s="561"/>
      <c r="FN93" s="561"/>
      <c r="FO93" s="561"/>
      <c r="FP93" s="561"/>
      <c r="FQ93" s="561"/>
      <c r="FR93" s="561"/>
      <c r="FS93" s="561"/>
      <c r="FT93" s="561"/>
      <c r="FU93" s="561"/>
      <c r="FV93" s="561"/>
      <c r="FW93" s="561"/>
      <c r="FX93" s="561"/>
      <c r="FY93" s="561"/>
      <c r="FZ93" s="561"/>
      <c r="GA93" s="561"/>
      <c r="GB93" s="561"/>
      <c r="GC93" s="561"/>
      <c r="GD93" s="561"/>
      <c r="GE93" s="561"/>
      <c r="GF93" s="561"/>
      <c r="GG93" s="561"/>
      <c r="GH93" s="561"/>
      <c r="GI93" s="561"/>
      <c r="GJ93" s="561"/>
      <c r="GK93" s="561"/>
      <c r="GL93" s="561"/>
      <c r="GM93" s="561"/>
      <c r="GN93" s="561"/>
      <c r="GO93" s="561"/>
      <c r="GP93" s="561"/>
      <c r="GQ93" s="561"/>
      <c r="GR93" s="561"/>
      <c r="GS93" s="561"/>
      <c r="GT93" s="561"/>
      <c r="GU93" s="561"/>
      <c r="GV93" s="561"/>
      <c r="GW93" s="561"/>
      <c r="GX93" s="561"/>
      <c r="GY93" s="561"/>
      <c r="GZ93" s="561"/>
      <c r="HA93" s="561"/>
      <c r="HB93" s="561"/>
      <c r="HC93" s="561"/>
      <c r="HD93" s="561"/>
      <c r="HE93" s="561"/>
      <c r="HF93" s="561"/>
      <c r="HG93" s="561"/>
      <c r="HH93" s="561"/>
      <c r="HI93" s="561"/>
      <c r="HJ93" s="561"/>
      <c r="HK93" s="561"/>
      <c r="HL93" s="561"/>
      <c r="HM93" s="561"/>
      <c r="HN93" s="561"/>
      <c r="HO93" s="561"/>
      <c r="HP93" s="561"/>
      <c r="HQ93" s="561"/>
      <c r="HR93" s="561"/>
      <c r="HS93" s="561"/>
      <c r="HT93" s="561"/>
      <c r="HU93" s="561"/>
      <c r="HV93" s="561"/>
      <c r="HW93" s="561"/>
      <c r="HX93" s="561"/>
      <c r="HY93" s="561"/>
      <c r="HZ93" s="561"/>
      <c r="IA93" s="561"/>
      <c r="IB93" s="561"/>
      <c r="IC93" s="561"/>
      <c r="ID93" s="561"/>
      <c r="IE93" s="561"/>
      <c r="IF93" s="561"/>
      <c r="IG93" s="561"/>
      <c r="IH93" s="561"/>
      <c r="II93" s="561"/>
      <c r="IJ93" s="561"/>
      <c r="IK93" s="561"/>
      <c r="IL93" s="561"/>
      <c r="IM93" s="561"/>
      <c r="IN93" s="561"/>
      <c r="IO93" s="561"/>
      <c r="IP93" s="561"/>
      <c r="IQ93" s="561"/>
      <c r="IR93" s="561"/>
      <c r="IS93" s="561"/>
      <c r="IT93" s="561"/>
      <c r="IU93" s="561"/>
      <c r="IV93" s="561"/>
      <c r="IW93" s="561"/>
    </row>
    <row r="94" customFormat="false" ht="12.75" hidden="false" customHeight="false" outlineLevel="1" collapsed="false">
      <c r="A94" s="574" t="s">
        <v>1036</v>
      </c>
      <c r="B94" s="575"/>
      <c r="C94" s="576"/>
      <c r="D94" s="554"/>
      <c r="E94" s="555"/>
      <c r="F94" s="556"/>
      <c r="H94" s="577"/>
      <c r="I94" s="558" t="n">
        <f aca="false">IF(D103=0,0,I103/D103)</f>
        <v>1</v>
      </c>
      <c r="J94" s="558" t="n">
        <f aca="false">1-I94</f>
        <v>0</v>
      </c>
      <c r="K94" s="559" t="n">
        <f aca="false">IF(D103=0,0,K103/D103)</f>
        <v>1</v>
      </c>
      <c r="L94" s="559" t="n">
        <f aca="false">1-K94</f>
        <v>0</v>
      </c>
      <c r="M94" s="561"/>
      <c r="N94" s="561"/>
      <c r="O94" s="561"/>
      <c r="P94" s="561"/>
      <c r="Q94" s="561"/>
      <c r="R94" s="561"/>
      <c r="S94" s="561"/>
      <c r="T94" s="561"/>
      <c r="U94" s="561"/>
      <c r="V94" s="561"/>
      <c r="W94" s="561"/>
      <c r="X94" s="561"/>
      <c r="Y94" s="561"/>
      <c r="Z94" s="561"/>
      <c r="AA94" s="561"/>
      <c r="AB94" s="561"/>
      <c r="AC94" s="561"/>
      <c r="AD94" s="561"/>
      <c r="AE94" s="561"/>
      <c r="AF94" s="561"/>
      <c r="AG94" s="561"/>
      <c r="AH94" s="561"/>
      <c r="AI94" s="561"/>
      <c r="AJ94" s="561"/>
      <c r="AK94" s="561"/>
      <c r="AL94" s="561"/>
      <c r="AM94" s="561"/>
      <c r="AN94" s="561"/>
      <c r="AO94" s="561"/>
      <c r="AP94" s="561"/>
      <c r="AQ94" s="561"/>
      <c r="AR94" s="561"/>
      <c r="AS94" s="561"/>
      <c r="AT94" s="561"/>
      <c r="AU94" s="561"/>
      <c r="AV94" s="561"/>
      <c r="AW94" s="561"/>
      <c r="AX94" s="561"/>
      <c r="AY94" s="561"/>
      <c r="AZ94" s="561"/>
      <c r="BA94" s="561"/>
      <c r="BB94" s="561"/>
      <c r="BC94" s="561"/>
      <c r="BD94" s="561"/>
      <c r="BE94" s="561"/>
      <c r="BF94" s="561"/>
      <c r="BG94" s="561"/>
      <c r="BH94" s="561"/>
      <c r="BI94" s="561"/>
      <c r="BJ94" s="561"/>
      <c r="BK94" s="561"/>
      <c r="BL94" s="561"/>
      <c r="BM94" s="561"/>
      <c r="BN94" s="561"/>
      <c r="BO94" s="561"/>
      <c r="BP94" s="561"/>
      <c r="BQ94" s="561"/>
      <c r="BR94" s="561"/>
      <c r="BS94" s="561"/>
      <c r="BT94" s="561"/>
      <c r="BU94" s="561"/>
      <c r="BV94" s="561"/>
      <c r="BW94" s="561"/>
      <c r="BX94" s="561"/>
      <c r="BY94" s="561"/>
      <c r="BZ94" s="561"/>
      <c r="CA94" s="561"/>
      <c r="CB94" s="561"/>
      <c r="CC94" s="561"/>
      <c r="CD94" s="561"/>
      <c r="CE94" s="561"/>
      <c r="CF94" s="561"/>
      <c r="CG94" s="561"/>
      <c r="CH94" s="561"/>
      <c r="CI94" s="561"/>
      <c r="CJ94" s="561"/>
      <c r="CK94" s="561"/>
      <c r="CL94" s="561"/>
      <c r="CM94" s="561"/>
      <c r="CN94" s="561"/>
      <c r="CO94" s="561"/>
      <c r="CP94" s="561"/>
      <c r="CQ94" s="561"/>
      <c r="CR94" s="561"/>
      <c r="CS94" s="561"/>
      <c r="CT94" s="561"/>
      <c r="CU94" s="561"/>
      <c r="CV94" s="561"/>
      <c r="CW94" s="561"/>
      <c r="CX94" s="561"/>
      <c r="CY94" s="561"/>
      <c r="CZ94" s="561"/>
      <c r="DA94" s="561"/>
      <c r="DB94" s="561"/>
      <c r="DC94" s="561"/>
      <c r="DD94" s="561"/>
      <c r="DE94" s="561"/>
      <c r="DF94" s="561"/>
      <c r="DG94" s="561"/>
      <c r="DH94" s="561"/>
      <c r="DI94" s="561"/>
      <c r="DJ94" s="561"/>
      <c r="DK94" s="561"/>
      <c r="DL94" s="561"/>
      <c r="DM94" s="561"/>
      <c r="DN94" s="561"/>
      <c r="DO94" s="561"/>
      <c r="DP94" s="561"/>
      <c r="DQ94" s="561"/>
      <c r="DR94" s="561"/>
      <c r="DS94" s="561"/>
      <c r="DT94" s="561"/>
      <c r="DU94" s="561"/>
      <c r="DV94" s="561"/>
      <c r="DW94" s="561"/>
      <c r="DX94" s="561"/>
      <c r="DY94" s="561"/>
      <c r="DZ94" s="561"/>
      <c r="EA94" s="561"/>
      <c r="EB94" s="561"/>
      <c r="EC94" s="561"/>
      <c r="ED94" s="561"/>
      <c r="EE94" s="561"/>
      <c r="EF94" s="561"/>
      <c r="EG94" s="561"/>
      <c r="EH94" s="561"/>
      <c r="EI94" s="561"/>
      <c r="EJ94" s="561"/>
      <c r="EK94" s="561"/>
      <c r="EL94" s="561"/>
      <c r="EM94" s="561"/>
      <c r="EN94" s="561"/>
      <c r="EO94" s="561"/>
      <c r="EP94" s="561"/>
      <c r="EQ94" s="561"/>
      <c r="ER94" s="561"/>
      <c r="ES94" s="561"/>
      <c r="ET94" s="561"/>
      <c r="EU94" s="561"/>
      <c r="EV94" s="561"/>
      <c r="EW94" s="561"/>
      <c r="EX94" s="561"/>
      <c r="EY94" s="561"/>
      <c r="EZ94" s="561"/>
      <c r="FA94" s="561"/>
      <c r="FB94" s="561"/>
      <c r="FC94" s="561"/>
      <c r="FD94" s="561"/>
      <c r="FE94" s="561"/>
      <c r="FF94" s="561"/>
      <c r="FG94" s="561"/>
      <c r="FH94" s="561"/>
      <c r="FI94" s="561"/>
      <c r="FJ94" s="561"/>
      <c r="FK94" s="561"/>
      <c r="FL94" s="561"/>
      <c r="FM94" s="561"/>
      <c r="FN94" s="561"/>
      <c r="FO94" s="561"/>
      <c r="FP94" s="561"/>
      <c r="FQ94" s="561"/>
      <c r="FR94" s="561"/>
      <c r="FS94" s="561"/>
      <c r="FT94" s="561"/>
      <c r="FU94" s="561"/>
      <c r="FV94" s="561"/>
      <c r="FW94" s="561"/>
      <c r="FX94" s="561"/>
      <c r="FY94" s="561"/>
      <c r="FZ94" s="561"/>
      <c r="GA94" s="561"/>
      <c r="GB94" s="561"/>
      <c r="GC94" s="561"/>
      <c r="GD94" s="561"/>
      <c r="GE94" s="561"/>
      <c r="GF94" s="561"/>
      <c r="GG94" s="561"/>
      <c r="GH94" s="561"/>
      <c r="GI94" s="561"/>
      <c r="GJ94" s="561"/>
      <c r="GK94" s="561"/>
      <c r="GL94" s="561"/>
      <c r="GM94" s="561"/>
      <c r="GN94" s="561"/>
      <c r="GO94" s="561"/>
      <c r="GP94" s="561"/>
      <c r="GQ94" s="561"/>
      <c r="GR94" s="561"/>
      <c r="GS94" s="561"/>
      <c r="GT94" s="561"/>
      <c r="GU94" s="561"/>
      <c r="GV94" s="561"/>
      <c r="GW94" s="561"/>
      <c r="GX94" s="561"/>
      <c r="GY94" s="561"/>
      <c r="GZ94" s="561"/>
      <c r="HA94" s="561"/>
      <c r="HB94" s="561"/>
      <c r="HC94" s="561"/>
      <c r="HD94" s="561"/>
      <c r="HE94" s="561"/>
      <c r="HF94" s="561"/>
      <c r="HG94" s="561"/>
      <c r="HH94" s="561"/>
      <c r="HI94" s="561"/>
      <c r="HJ94" s="561"/>
      <c r="HK94" s="561"/>
      <c r="HL94" s="561"/>
      <c r="HM94" s="561"/>
      <c r="HN94" s="561"/>
      <c r="HO94" s="561"/>
      <c r="HP94" s="561"/>
      <c r="HQ94" s="561"/>
      <c r="HR94" s="561"/>
      <c r="HS94" s="561"/>
      <c r="HT94" s="561"/>
      <c r="HU94" s="561"/>
      <c r="HV94" s="561"/>
      <c r="HW94" s="561"/>
      <c r="HX94" s="561"/>
      <c r="HY94" s="561"/>
      <c r="HZ94" s="561"/>
      <c r="IA94" s="561"/>
      <c r="IB94" s="561"/>
      <c r="IC94" s="561"/>
      <c r="ID94" s="561"/>
      <c r="IE94" s="561"/>
      <c r="IF94" s="561"/>
      <c r="IG94" s="561"/>
      <c r="IH94" s="561"/>
      <c r="II94" s="561"/>
      <c r="IJ94" s="561"/>
      <c r="IK94" s="561"/>
      <c r="IL94" s="561"/>
      <c r="IM94" s="561"/>
      <c r="IN94" s="561"/>
      <c r="IO94" s="561"/>
      <c r="IP94" s="561"/>
      <c r="IQ94" s="561"/>
      <c r="IR94" s="561"/>
      <c r="IS94" s="561"/>
      <c r="IT94" s="561"/>
      <c r="IU94" s="561"/>
      <c r="IV94" s="561"/>
      <c r="IW94" s="561"/>
    </row>
    <row r="95" customFormat="false" ht="12.75" hidden="false" customHeight="false" outlineLevel="2" collapsed="false">
      <c r="A95" s="316"/>
      <c r="B95" s="569" t="str">
        <f aca="false">'Plant Configuration'!C134</f>
        <v>Technical/Professional Services</v>
      </c>
      <c r="C95" s="44"/>
      <c r="D95" s="578" t="n">
        <f aca="false">IF($O$7=6,0,HLOOKUP($D$5,Plant_Configuration,'Plant Configuration'!A134,FALSE()))+IF($R$7=6,0,HLOOKUP($E$5,Plant_Configuration,'Plant Configuration'!A134,FALSE()))+IF($U$7=6,0,HLOOKUP($F$5,Plant_Configuration,'Plant Configuration'!A134,FALSE()))</f>
        <v>122299.003498026</v>
      </c>
      <c r="E95" s="342" t="n">
        <v>0</v>
      </c>
      <c r="F95" s="566" t="n">
        <v>1</v>
      </c>
      <c r="H95" s="316" t="s">
        <v>1037</v>
      </c>
      <c r="I95" s="567" t="n">
        <f aca="false">D95-J95</f>
        <v>122299.003498026</v>
      </c>
      <c r="J95" s="567" t="n">
        <f aca="false">E95*D95</f>
        <v>0</v>
      </c>
      <c r="K95" s="317" t="n">
        <f aca="false">F95*D95</f>
        <v>122299.003498026</v>
      </c>
      <c r="L95" s="317" t="n">
        <f aca="false">D95-K95</f>
        <v>0</v>
      </c>
      <c r="N95" s="45"/>
      <c r="O95" s="45"/>
    </row>
    <row r="96" customFormat="false" ht="12.75" hidden="false" customHeight="false" outlineLevel="2" collapsed="false">
      <c r="A96" s="316"/>
      <c r="B96" s="569" t="str">
        <f aca="false">'Plant Configuration'!C135</f>
        <v>Reagents &amp; Supplies</v>
      </c>
      <c r="C96" s="44"/>
      <c r="D96" s="578" t="n">
        <f aca="false">IF($O$7=6,0,HLOOKUP($D$5,Plant_Configuration,'Plant Configuration'!A135,FALSE()))+IF($R$7=6,0,HLOOKUP($E$5,Plant_Configuration,'Plant Configuration'!A135,FALSE()))+IF($U$7=6,0,HLOOKUP($F$5,Plant_Configuration,'Plant Configuration'!A135,FALSE()))</f>
        <v>35970.2951464782</v>
      </c>
      <c r="E96" s="342" t="n">
        <v>0</v>
      </c>
      <c r="F96" s="566" t="n">
        <v>1</v>
      </c>
      <c r="H96" s="316"/>
      <c r="I96" s="567" t="n">
        <f aca="false">D96-J96</f>
        <v>35970.2951464782</v>
      </c>
      <c r="J96" s="567" t="n">
        <f aca="false">E96*D96</f>
        <v>0</v>
      </c>
      <c r="K96" s="317" t="n">
        <f aca="false">F96*D96</f>
        <v>35970.2951464782</v>
      </c>
      <c r="L96" s="317" t="n">
        <f aca="false">D96-K96</f>
        <v>0</v>
      </c>
      <c r="N96" s="45"/>
      <c r="O96" s="45"/>
    </row>
    <row r="97" customFormat="false" ht="12.75" hidden="false" customHeight="false" outlineLevel="2" collapsed="false">
      <c r="A97" s="316"/>
      <c r="B97" s="569" t="str">
        <f aca="false">'Plant Configuration'!C136</f>
        <v>Rental Equipment</v>
      </c>
      <c r="C97" s="44"/>
      <c r="D97" s="578" t="n">
        <f aca="false">IF($O$7=6,0,HLOOKUP($D$5,Plant_Configuration,'Plant Configuration'!A136,FALSE()))+IF($R$7=6,0,HLOOKUP($E$5,Plant_Configuration,'Plant Configuration'!A136,FALSE()))+IF($U$7=6,0,HLOOKUP($F$5,Plant_Configuration,'Plant Configuration'!A136,FALSE()))</f>
        <v>0</v>
      </c>
      <c r="E97" s="342" t="n">
        <v>0</v>
      </c>
      <c r="F97" s="566" t="n">
        <v>1</v>
      </c>
      <c r="H97" s="316"/>
      <c r="I97" s="567" t="n">
        <f aca="false">D97-J97</f>
        <v>0</v>
      </c>
      <c r="J97" s="567" t="n">
        <f aca="false">E97*D97</f>
        <v>0</v>
      </c>
      <c r="K97" s="317" t="n">
        <f aca="false">F97*D97</f>
        <v>0</v>
      </c>
      <c r="L97" s="317" t="n">
        <f aca="false">D97-K97</f>
        <v>0</v>
      </c>
      <c r="N97" s="45"/>
      <c r="O97" s="45"/>
    </row>
    <row r="98" customFormat="false" ht="12.75" hidden="false" customHeight="false" outlineLevel="2" collapsed="false">
      <c r="A98" s="316"/>
      <c r="B98" s="569" t="str">
        <f aca="false">'Plant Configuration'!C137</f>
        <v>Analyzer Repairs</v>
      </c>
      <c r="C98" s="44"/>
      <c r="D98" s="578" t="n">
        <f aca="false">IF($O$7=6,0,HLOOKUP($D$5,Plant_Configuration,'Plant Configuration'!A137,FALSE()))+IF($R$7=6,0,HLOOKUP($E$5,Plant_Configuration,'Plant Configuration'!A137,FALSE()))+IF($U$7=6,0,HLOOKUP($F$5,Plant_Configuration,'Plant Configuration'!A137,FALSE()))</f>
        <v>0</v>
      </c>
      <c r="E98" s="342" t="n">
        <v>0</v>
      </c>
      <c r="F98" s="566" t="n">
        <v>1</v>
      </c>
      <c r="H98" s="316"/>
      <c r="I98" s="567" t="n">
        <f aca="false">D98-J98</f>
        <v>0</v>
      </c>
      <c r="J98" s="567" t="n">
        <f aca="false">E98*D98</f>
        <v>0</v>
      </c>
      <c r="K98" s="317" t="n">
        <f aca="false">F98*D98</f>
        <v>0</v>
      </c>
      <c r="L98" s="317" t="n">
        <f aca="false">D98-K98</f>
        <v>0</v>
      </c>
      <c r="N98" s="45"/>
      <c r="O98" s="45"/>
    </row>
    <row r="99" customFormat="false" ht="12.75" hidden="false" customHeight="false" outlineLevel="2" collapsed="false">
      <c r="A99" s="316"/>
      <c r="B99" s="569" t="str">
        <f aca="false">'Plant Configuration'!C138</f>
        <v>Contract Labor/Temporaries</v>
      </c>
      <c r="C99" s="44"/>
      <c r="D99" s="578" t="n">
        <f aca="false">IF($O$7=6,0,HLOOKUP($D$5,Plant_Configuration,'Plant Configuration'!A138,FALSE()))+IF($R$7=6,0,HLOOKUP($E$5,Plant_Configuration,'Plant Configuration'!A138,FALSE()))+IF($U$7=6,0,HLOOKUP($F$5,Plant_Configuration,'Plant Configuration'!A138,FALSE()))</f>
        <v>0</v>
      </c>
      <c r="E99" s="342" t="n">
        <v>0</v>
      </c>
      <c r="F99" s="566" t="n">
        <v>1</v>
      </c>
      <c r="H99" s="316"/>
      <c r="I99" s="567" t="n">
        <f aca="false">D99-J99</f>
        <v>0</v>
      </c>
      <c r="J99" s="567" t="n">
        <f aca="false">E99*D99</f>
        <v>0</v>
      </c>
      <c r="K99" s="317" t="n">
        <f aca="false">F99*D99</f>
        <v>0</v>
      </c>
      <c r="L99" s="317" t="n">
        <f aca="false">D99-K99</f>
        <v>0</v>
      </c>
      <c r="N99" s="45"/>
      <c r="O99" s="45"/>
    </row>
    <row r="100" customFormat="false" ht="12.75" hidden="false" customHeight="false" outlineLevel="2" collapsed="false">
      <c r="A100" s="316"/>
      <c r="B100" s="569" t="str">
        <f aca="false">'Plant Configuration'!C139</f>
        <v>Other Outside Services</v>
      </c>
      <c r="C100" s="44"/>
      <c r="D100" s="578" t="n">
        <f aca="false">IF($O$7=6,0,HLOOKUP($D$5,Plant_Configuration,'Plant Configuration'!A139,FALSE()))+IF($R$7=6,0,HLOOKUP($E$5,Plant_Configuration,'Plant Configuration'!A139,FALSE()))+IF($U$7=6,0,HLOOKUP($F$5,Plant_Configuration,'Plant Configuration'!A139,FALSE()))</f>
        <v>0</v>
      </c>
      <c r="E100" s="342" t="n">
        <v>0</v>
      </c>
      <c r="F100" s="566" t="n">
        <v>1</v>
      </c>
      <c r="H100" s="316"/>
      <c r="I100" s="567" t="n">
        <f aca="false">D100-J100</f>
        <v>0</v>
      </c>
      <c r="J100" s="567" t="n">
        <f aca="false">E100*D100</f>
        <v>0</v>
      </c>
      <c r="K100" s="317" t="n">
        <f aca="false">F100*D100</f>
        <v>0</v>
      </c>
      <c r="L100" s="317" t="n">
        <f aca="false">D100-K100</f>
        <v>0</v>
      </c>
      <c r="N100" s="45"/>
      <c r="O100" s="45"/>
    </row>
    <row r="101" customFormat="false" ht="12.75" hidden="false" customHeight="false" outlineLevel="2" collapsed="false">
      <c r="A101" s="316"/>
      <c r="B101" s="569" t="str">
        <f aca="false">'Plant Configuration'!C140</f>
        <v>Freight</v>
      </c>
      <c r="C101" s="44"/>
      <c r="D101" s="578" t="n">
        <f aca="false">IF($O$7=6,0,HLOOKUP($D$5,Plant_Configuration,'Plant Configuration'!A140,FALSE()))+IF($R$7=6,0,HLOOKUP($E$5,Plant_Configuration,'Plant Configuration'!A140,FALSE()))+IF($U$7=6,0,HLOOKUP($F$5,Plant_Configuration,'Plant Configuration'!A140,FALSE()))</f>
        <v>0</v>
      </c>
      <c r="E101" s="342" t="n">
        <v>0</v>
      </c>
      <c r="F101" s="566" t="n">
        <v>1</v>
      </c>
      <c r="H101" s="316" t="s">
        <v>1038</v>
      </c>
      <c r="I101" s="567" t="n">
        <f aca="false">D101-J101</f>
        <v>0</v>
      </c>
      <c r="J101" s="567" t="n">
        <f aca="false">E101*D101</f>
        <v>0</v>
      </c>
      <c r="K101" s="317" t="n">
        <f aca="false">F101*D101</f>
        <v>0</v>
      </c>
      <c r="L101" s="317" t="n">
        <f aca="false">D101-K101</f>
        <v>0</v>
      </c>
      <c r="N101" s="45"/>
      <c r="O101" s="45"/>
    </row>
    <row r="102" customFormat="false" ht="12.75" hidden="false" customHeight="false" outlineLevel="2" collapsed="false">
      <c r="A102" s="316"/>
      <c r="B102" s="569" t="str">
        <f aca="false">'Plant Configuration'!C141</f>
        <v>Other</v>
      </c>
      <c r="C102" s="44"/>
      <c r="D102" s="578" t="n">
        <f aca="false">IF($O$7=6,0,HLOOKUP($D$5,Plant_Configuration,'Plant Configuration'!A141,FALSE()))+IF($R$7=6,0,HLOOKUP($E$5,Plant_Configuration,'Plant Configuration'!A141,FALSE()))+IF($U$7=6,0,HLOOKUP($F$5,Plant_Configuration,'Plant Configuration'!A141,FALSE()))</f>
        <v>0</v>
      </c>
      <c r="E102" s="342" t="n">
        <v>0</v>
      </c>
      <c r="F102" s="566" t="n">
        <v>1</v>
      </c>
      <c r="H102" s="316"/>
      <c r="I102" s="567" t="n">
        <f aca="false">D102-J102</f>
        <v>0</v>
      </c>
      <c r="J102" s="567" t="n">
        <f aca="false">E102*D102</f>
        <v>0</v>
      </c>
      <c r="K102" s="317"/>
      <c r="L102" s="317" t="n">
        <f aca="false">D102-K102</f>
        <v>0</v>
      </c>
      <c r="N102" s="45"/>
      <c r="O102" s="45"/>
    </row>
    <row r="103" customFormat="false" ht="12.75" hidden="false" customHeight="false" outlineLevel="1" collapsed="false">
      <c r="A103" s="579"/>
      <c r="B103" s="570" t="s">
        <v>431</v>
      </c>
      <c r="C103" s="0"/>
      <c r="D103" s="571" t="n">
        <f aca="false">SUBTOTAL(9,D95:D102)</f>
        <v>158269.298644504</v>
      </c>
      <c r="E103" s="572"/>
      <c r="F103" s="573"/>
      <c r="H103" s="316" t="s">
        <v>1039</v>
      </c>
      <c r="I103" s="571" t="n">
        <f aca="false">SUBTOTAL(9,I95:I102)</f>
        <v>158269.298644504</v>
      </c>
      <c r="J103" s="571" t="n">
        <f aca="false">SUBTOTAL(9,J95:J102)</f>
        <v>0</v>
      </c>
      <c r="K103" s="571" t="n">
        <f aca="false">SUBTOTAL(9,K95:K102)</f>
        <v>158269.298644504</v>
      </c>
      <c r="L103" s="571" t="n">
        <f aca="false">SUBTOTAL(9,L95:L102)</f>
        <v>0</v>
      </c>
      <c r="M103" s="561"/>
      <c r="N103" s="561"/>
      <c r="O103" s="561"/>
      <c r="P103" s="561"/>
      <c r="Q103" s="561"/>
      <c r="R103" s="561"/>
      <c r="S103" s="561"/>
      <c r="T103" s="561"/>
      <c r="U103" s="561"/>
      <c r="V103" s="561"/>
      <c r="W103" s="561"/>
      <c r="X103" s="561"/>
      <c r="Y103" s="561"/>
      <c r="Z103" s="561"/>
      <c r="AA103" s="561"/>
      <c r="AB103" s="561"/>
      <c r="AC103" s="561"/>
      <c r="AD103" s="561"/>
      <c r="AE103" s="561"/>
      <c r="AF103" s="561"/>
      <c r="AG103" s="561"/>
      <c r="AH103" s="561"/>
      <c r="AI103" s="561"/>
      <c r="AJ103" s="561"/>
      <c r="AK103" s="561"/>
      <c r="AL103" s="561"/>
      <c r="AM103" s="561"/>
      <c r="AN103" s="561"/>
      <c r="AO103" s="561"/>
      <c r="AP103" s="561"/>
      <c r="AQ103" s="561"/>
      <c r="AR103" s="561"/>
      <c r="AS103" s="561"/>
      <c r="AT103" s="561"/>
      <c r="AU103" s="561"/>
      <c r="AV103" s="561"/>
      <c r="AW103" s="561"/>
      <c r="AX103" s="561"/>
      <c r="AY103" s="561"/>
      <c r="AZ103" s="561"/>
      <c r="BA103" s="561"/>
      <c r="BB103" s="561"/>
      <c r="BC103" s="561"/>
      <c r="BD103" s="561"/>
      <c r="BE103" s="561"/>
      <c r="BF103" s="561"/>
      <c r="BG103" s="561"/>
      <c r="BH103" s="561"/>
      <c r="BI103" s="561"/>
      <c r="BJ103" s="561"/>
      <c r="BK103" s="561"/>
      <c r="BL103" s="561"/>
      <c r="BM103" s="561"/>
      <c r="BN103" s="561"/>
      <c r="BO103" s="561"/>
      <c r="BP103" s="561"/>
      <c r="BQ103" s="561"/>
      <c r="BR103" s="561"/>
      <c r="BS103" s="561"/>
      <c r="BT103" s="561"/>
      <c r="BU103" s="561"/>
      <c r="BV103" s="561"/>
      <c r="BW103" s="561"/>
      <c r="BX103" s="561"/>
      <c r="BY103" s="561"/>
      <c r="BZ103" s="561"/>
      <c r="CA103" s="561"/>
      <c r="CB103" s="561"/>
      <c r="CC103" s="561"/>
      <c r="CD103" s="561"/>
      <c r="CE103" s="561"/>
      <c r="CF103" s="561"/>
      <c r="CG103" s="561"/>
      <c r="CH103" s="561"/>
      <c r="CI103" s="561"/>
      <c r="CJ103" s="561"/>
      <c r="CK103" s="561"/>
      <c r="CL103" s="561"/>
      <c r="CM103" s="561"/>
      <c r="CN103" s="561"/>
      <c r="CO103" s="561"/>
      <c r="CP103" s="561"/>
      <c r="CQ103" s="561"/>
      <c r="CR103" s="561"/>
      <c r="CS103" s="561"/>
      <c r="CT103" s="561"/>
      <c r="CU103" s="561"/>
      <c r="CV103" s="561"/>
      <c r="CW103" s="561"/>
      <c r="CX103" s="561"/>
      <c r="CY103" s="561"/>
      <c r="CZ103" s="561"/>
      <c r="DA103" s="561"/>
      <c r="DB103" s="561"/>
      <c r="DC103" s="561"/>
      <c r="DD103" s="561"/>
      <c r="DE103" s="561"/>
      <c r="DF103" s="561"/>
      <c r="DG103" s="561"/>
      <c r="DH103" s="561"/>
      <c r="DI103" s="561"/>
      <c r="DJ103" s="561"/>
      <c r="DK103" s="561"/>
      <c r="DL103" s="561"/>
      <c r="DM103" s="561"/>
      <c r="DN103" s="561"/>
      <c r="DO103" s="561"/>
      <c r="DP103" s="561"/>
      <c r="DQ103" s="561"/>
      <c r="DR103" s="561"/>
      <c r="DS103" s="561"/>
      <c r="DT103" s="561"/>
      <c r="DU103" s="561"/>
      <c r="DV103" s="561"/>
      <c r="DW103" s="561"/>
      <c r="DX103" s="561"/>
      <c r="DY103" s="561"/>
      <c r="DZ103" s="561"/>
      <c r="EA103" s="561"/>
      <c r="EB103" s="561"/>
      <c r="EC103" s="561"/>
      <c r="ED103" s="561"/>
      <c r="EE103" s="561"/>
      <c r="EF103" s="561"/>
      <c r="EG103" s="561"/>
      <c r="EH103" s="561"/>
      <c r="EI103" s="561"/>
      <c r="EJ103" s="561"/>
      <c r="EK103" s="561"/>
      <c r="EL103" s="561"/>
      <c r="EM103" s="561"/>
      <c r="EN103" s="561"/>
      <c r="EO103" s="561"/>
      <c r="EP103" s="561"/>
      <c r="EQ103" s="561"/>
      <c r="ER103" s="561"/>
      <c r="ES103" s="561"/>
      <c r="ET103" s="561"/>
      <c r="EU103" s="561"/>
      <c r="EV103" s="561"/>
      <c r="EW103" s="561"/>
      <c r="EX103" s="561"/>
      <c r="EY103" s="561"/>
      <c r="EZ103" s="561"/>
      <c r="FA103" s="561"/>
      <c r="FB103" s="561"/>
      <c r="FC103" s="561"/>
      <c r="FD103" s="561"/>
      <c r="FE103" s="561"/>
      <c r="FF103" s="561"/>
      <c r="FG103" s="561"/>
      <c r="FH103" s="561"/>
      <c r="FI103" s="561"/>
      <c r="FJ103" s="561"/>
      <c r="FK103" s="561"/>
      <c r="FL103" s="561"/>
      <c r="FM103" s="561"/>
      <c r="FN103" s="561"/>
      <c r="FO103" s="561"/>
      <c r="FP103" s="561"/>
      <c r="FQ103" s="561"/>
      <c r="FR103" s="561"/>
      <c r="FS103" s="561"/>
      <c r="FT103" s="561"/>
      <c r="FU103" s="561"/>
      <c r="FV103" s="561"/>
      <c r="FW103" s="561"/>
      <c r="FX103" s="561"/>
      <c r="FY103" s="561"/>
      <c r="FZ103" s="561"/>
      <c r="GA103" s="561"/>
      <c r="GB103" s="561"/>
      <c r="GC103" s="561"/>
      <c r="GD103" s="561"/>
      <c r="GE103" s="561"/>
      <c r="GF103" s="561"/>
      <c r="GG103" s="561"/>
      <c r="GH103" s="561"/>
      <c r="GI103" s="561"/>
      <c r="GJ103" s="561"/>
      <c r="GK103" s="561"/>
      <c r="GL103" s="561"/>
      <c r="GM103" s="561"/>
      <c r="GN103" s="561"/>
      <c r="GO103" s="561"/>
      <c r="GP103" s="561"/>
      <c r="GQ103" s="561"/>
      <c r="GR103" s="561"/>
      <c r="GS103" s="561"/>
      <c r="GT103" s="561"/>
      <c r="GU103" s="561"/>
      <c r="GV103" s="561"/>
      <c r="GW103" s="561"/>
      <c r="GX103" s="561"/>
      <c r="GY103" s="561"/>
      <c r="GZ103" s="561"/>
      <c r="HA103" s="561"/>
      <c r="HB103" s="561"/>
      <c r="HC103" s="561"/>
      <c r="HD103" s="561"/>
      <c r="HE103" s="561"/>
      <c r="HF103" s="561"/>
      <c r="HG103" s="561"/>
      <c r="HH103" s="561"/>
      <c r="HI103" s="561"/>
      <c r="HJ103" s="561"/>
      <c r="HK103" s="561"/>
      <c r="HL103" s="561"/>
      <c r="HM103" s="561"/>
      <c r="HN103" s="561"/>
      <c r="HO103" s="561"/>
      <c r="HP103" s="561"/>
      <c r="HQ103" s="561"/>
      <c r="HR103" s="561"/>
      <c r="HS103" s="561"/>
      <c r="HT103" s="561"/>
      <c r="HU103" s="561"/>
      <c r="HV103" s="561"/>
      <c r="HW103" s="561"/>
      <c r="HX103" s="561"/>
      <c r="HY103" s="561"/>
      <c r="HZ103" s="561"/>
      <c r="IA103" s="561"/>
      <c r="IB103" s="561"/>
      <c r="IC103" s="561"/>
      <c r="ID103" s="561"/>
      <c r="IE103" s="561"/>
      <c r="IF103" s="561"/>
      <c r="IG103" s="561"/>
      <c r="IH103" s="561"/>
      <c r="II103" s="561"/>
      <c r="IJ103" s="561"/>
      <c r="IK103" s="561"/>
      <c r="IL103" s="561"/>
      <c r="IM103" s="561"/>
      <c r="IN103" s="561"/>
      <c r="IO103" s="561"/>
      <c r="IP103" s="561"/>
      <c r="IQ103" s="561"/>
      <c r="IR103" s="561"/>
      <c r="IS103" s="561"/>
      <c r="IT103" s="561"/>
      <c r="IU103" s="561"/>
      <c r="IV103" s="561"/>
      <c r="IW103" s="561"/>
    </row>
    <row r="104" customFormat="false" ht="12.75" hidden="false" customHeight="false" outlineLevel="1" collapsed="false">
      <c r="A104" s="574" t="s">
        <v>1040</v>
      </c>
      <c r="B104" s="575"/>
      <c r="C104" s="576"/>
      <c r="D104" s="554"/>
      <c r="E104" s="555"/>
      <c r="F104" s="556"/>
      <c r="H104" s="577"/>
      <c r="I104" s="558" t="n">
        <f aca="false">IF(D110=0,0,I110/D110)</f>
        <v>0</v>
      </c>
      <c r="J104" s="558" t="n">
        <f aca="false">1-I104</f>
        <v>1</v>
      </c>
      <c r="K104" s="559" t="n">
        <f aca="false">IF(D110=0,0,K110/D110)</f>
        <v>0</v>
      </c>
      <c r="L104" s="559" t="n">
        <f aca="false">1-K104</f>
        <v>1</v>
      </c>
      <c r="M104" s="561"/>
      <c r="N104" s="561"/>
      <c r="O104" s="561"/>
      <c r="P104" s="561"/>
      <c r="Q104" s="561"/>
      <c r="R104" s="561"/>
      <c r="S104" s="561"/>
      <c r="T104" s="561"/>
      <c r="U104" s="561"/>
      <c r="V104" s="561"/>
      <c r="W104" s="561"/>
      <c r="X104" s="561"/>
      <c r="Y104" s="561"/>
      <c r="Z104" s="561"/>
      <c r="AA104" s="561"/>
      <c r="AB104" s="561"/>
      <c r="AC104" s="561"/>
      <c r="AD104" s="561"/>
      <c r="AE104" s="561"/>
      <c r="AF104" s="561"/>
      <c r="AG104" s="561"/>
      <c r="AH104" s="561"/>
      <c r="AI104" s="561"/>
      <c r="AJ104" s="561"/>
      <c r="AK104" s="561"/>
      <c r="AL104" s="561"/>
      <c r="AM104" s="561"/>
      <c r="AN104" s="561"/>
      <c r="AO104" s="561"/>
      <c r="AP104" s="561"/>
      <c r="AQ104" s="561"/>
      <c r="AR104" s="561"/>
      <c r="AS104" s="561"/>
      <c r="AT104" s="561"/>
      <c r="AU104" s="561"/>
      <c r="AV104" s="561"/>
      <c r="AW104" s="561"/>
      <c r="AX104" s="561"/>
      <c r="AY104" s="561"/>
      <c r="AZ104" s="561"/>
      <c r="BA104" s="561"/>
      <c r="BB104" s="561"/>
      <c r="BC104" s="561"/>
      <c r="BD104" s="561"/>
      <c r="BE104" s="561"/>
      <c r="BF104" s="561"/>
      <c r="BG104" s="561"/>
      <c r="BH104" s="561"/>
      <c r="BI104" s="561"/>
      <c r="BJ104" s="561"/>
      <c r="BK104" s="561"/>
      <c r="BL104" s="561"/>
      <c r="BM104" s="561"/>
      <c r="BN104" s="561"/>
      <c r="BO104" s="561"/>
      <c r="BP104" s="561"/>
      <c r="BQ104" s="561"/>
      <c r="BR104" s="561"/>
      <c r="BS104" s="561"/>
      <c r="BT104" s="561"/>
      <c r="BU104" s="561"/>
      <c r="BV104" s="561"/>
      <c r="BW104" s="561"/>
      <c r="BX104" s="561"/>
      <c r="BY104" s="561"/>
      <c r="BZ104" s="561"/>
      <c r="CA104" s="561"/>
      <c r="CB104" s="561"/>
      <c r="CC104" s="561"/>
      <c r="CD104" s="561"/>
      <c r="CE104" s="561"/>
      <c r="CF104" s="561"/>
      <c r="CG104" s="561"/>
      <c r="CH104" s="561"/>
      <c r="CI104" s="561"/>
      <c r="CJ104" s="561"/>
      <c r="CK104" s="561"/>
      <c r="CL104" s="561"/>
      <c r="CM104" s="561"/>
      <c r="CN104" s="561"/>
      <c r="CO104" s="561"/>
      <c r="CP104" s="561"/>
      <c r="CQ104" s="561"/>
      <c r="CR104" s="561"/>
      <c r="CS104" s="561"/>
      <c r="CT104" s="561"/>
      <c r="CU104" s="561"/>
      <c r="CV104" s="561"/>
      <c r="CW104" s="561"/>
      <c r="CX104" s="561"/>
      <c r="CY104" s="561"/>
      <c r="CZ104" s="561"/>
      <c r="DA104" s="561"/>
      <c r="DB104" s="561"/>
      <c r="DC104" s="561"/>
      <c r="DD104" s="561"/>
      <c r="DE104" s="561"/>
      <c r="DF104" s="561"/>
      <c r="DG104" s="561"/>
      <c r="DH104" s="561"/>
      <c r="DI104" s="561"/>
      <c r="DJ104" s="561"/>
      <c r="DK104" s="561"/>
      <c r="DL104" s="561"/>
      <c r="DM104" s="561"/>
      <c r="DN104" s="561"/>
      <c r="DO104" s="561"/>
      <c r="DP104" s="561"/>
      <c r="DQ104" s="561"/>
      <c r="DR104" s="561"/>
      <c r="DS104" s="561"/>
      <c r="DT104" s="561"/>
      <c r="DU104" s="561"/>
      <c r="DV104" s="561"/>
      <c r="DW104" s="561"/>
      <c r="DX104" s="561"/>
      <c r="DY104" s="561"/>
      <c r="DZ104" s="561"/>
      <c r="EA104" s="561"/>
      <c r="EB104" s="561"/>
      <c r="EC104" s="561"/>
      <c r="ED104" s="561"/>
      <c r="EE104" s="561"/>
      <c r="EF104" s="561"/>
      <c r="EG104" s="561"/>
      <c r="EH104" s="561"/>
      <c r="EI104" s="561"/>
      <c r="EJ104" s="561"/>
      <c r="EK104" s="561"/>
      <c r="EL104" s="561"/>
      <c r="EM104" s="561"/>
      <c r="EN104" s="561"/>
      <c r="EO104" s="561"/>
      <c r="EP104" s="561"/>
      <c r="EQ104" s="561"/>
      <c r="ER104" s="561"/>
      <c r="ES104" s="561"/>
      <c r="ET104" s="561"/>
      <c r="EU104" s="561"/>
      <c r="EV104" s="561"/>
      <c r="EW104" s="561"/>
      <c r="EX104" s="561"/>
      <c r="EY104" s="561"/>
      <c r="EZ104" s="561"/>
      <c r="FA104" s="561"/>
      <c r="FB104" s="561"/>
      <c r="FC104" s="561"/>
      <c r="FD104" s="561"/>
      <c r="FE104" s="561"/>
      <c r="FF104" s="561"/>
      <c r="FG104" s="561"/>
      <c r="FH104" s="561"/>
      <c r="FI104" s="561"/>
      <c r="FJ104" s="561"/>
      <c r="FK104" s="561"/>
      <c r="FL104" s="561"/>
      <c r="FM104" s="561"/>
      <c r="FN104" s="561"/>
      <c r="FO104" s="561"/>
      <c r="FP104" s="561"/>
      <c r="FQ104" s="561"/>
      <c r="FR104" s="561"/>
      <c r="FS104" s="561"/>
      <c r="FT104" s="561"/>
      <c r="FU104" s="561"/>
      <c r="FV104" s="561"/>
      <c r="FW104" s="561"/>
      <c r="FX104" s="561"/>
      <c r="FY104" s="561"/>
      <c r="FZ104" s="561"/>
      <c r="GA104" s="561"/>
      <c r="GB104" s="561"/>
      <c r="GC104" s="561"/>
      <c r="GD104" s="561"/>
      <c r="GE104" s="561"/>
      <c r="GF104" s="561"/>
      <c r="GG104" s="561"/>
      <c r="GH104" s="561"/>
      <c r="GI104" s="561"/>
      <c r="GJ104" s="561"/>
      <c r="GK104" s="561"/>
      <c r="GL104" s="561"/>
      <c r="GM104" s="561"/>
      <c r="GN104" s="561"/>
      <c r="GO104" s="561"/>
      <c r="GP104" s="561"/>
      <c r="GQ104" s="561"/>
      <c r="GR104" s="561"/>
      <c r="GS104" s="561"/>
      <c r="GT104" s="561"/>
      <c r="GU104" s="561"/>
      <c r="GV104" s="561"/>
      <c r="GW104" s="561"/>
      <c r="GX104" s="561"/>
      <c r="GY104" s="561"/>
      <c r="GZ104" s="561"/>
      <c r="HA104" s="561"/>
      <c r="HB104" s="561"/>
      <c r="HC104" s="561"/>
      <c r="HD104" s="561"/>
      <c r="HE104" s="561"/>
      <c r="HF104" s="561"/>
      <c r="HG104" s="561"/>
      <c r="HH104" s="561"/>
      <c r="HI104" s="561"/>
      <c r="HJ104" s="561"/>
      <c r="HK104" s="561"/>
      <c r="HL104" s="561"/>
      <c r="HM104" s="561"/>
      <c r="HN104" s="561"/>
      <c r="HO104" s="561"/>
      <c r="HP104" s="561"/>
      <c r="HQ104" s="561"/>
      <c r="HR104" s="561"/>
      <c r="HS104" s="561"/>
      <c r="HT104" s="561"/>
      <c r="HU104" s="561"/>
      <c r="HV104" s="561"/>
      <c r="HW104" s="561"/>
      <c r="HX104" s="561"/>
      <c r="HY104" s="561"/>
      <c r="HZ104" s="561"/>
      <c r="IA104" s="561"/>
      <c r="IB104" s="561"/>
      <c r="IC104" s="561"/>
      <c r="ID104" s="561"/>
      <c r="IE104" s="561"/>
      <c r="IF104" s="561"/>
      <c r="IG104" s="561"/>
      <c r="IH104" s="561"/>
      <c r="II104" s="561"/>
      <c r="IJ104" s="561"/>
      <c r="IK104" s="561"/>
      <c r="IL104" s="561"/>
      <c r="IM104" s="561"/>
      <c r="IN104" s="561"/>
      <c r="IO104" s="561"/>
      <c r="IP104" s="561"/>
      <c r="IQ104" s="561"/>
      <c r="IR104" s="561"/>
      <c r="IS104" s="561"/>
      <c r="IT104" s="561"/>
      <c r="IU104" s="561"/>
      <c r="IV104" s="561"/>
      <c r="IW104" s="561"/>
    </row>
    <row r="105" customFormat="false" ht="12.75" hidden="false" customHeight="false" outlineLevel="2" collapsed="false">
      <c r="A105" s="316"/>
      <c r="B105" s="569" t="str">
        <f aca="false">'Plant Configuration'!C144</f>
        <v>Operations Support Personnel</v>
      </c>
      <c r="C105" s="44"/>
      <c r="D105" s="578" t="n">
        <f aca="false">IF($O$7=6,0,HLOOKUP($D$5,Plant_Configuration,'Plant Configuration'!A144,FALSE()))+IF($R$7=6,0,HLOOKUP($E$5,Plant_Configuration,'Plant Configuration'!A144,FALSE()))+IF($U$7=6,0,HLOOKUP($F$5,Plant_Configuration,'Plant Configuration'!A144,FALSE()))</f>
        <v>0</v>
      </c>
      <c r="E105" s="342" t="n">
        <v>0</v>
      </c>
      <c r="F105" s="566" t="n">
        <v>1</v>
      </c>
      <c r="H105" s="316" t="s">
        <v>1041</v>
      </c>
      <c r="I105" s="567" t="n">
        <f aca="false">D105-J105</f>
        <v>0</v>
      </c>
      <c r="J105" s="567" t="n">
        <f aca="false">E105*D105</f>
        <v>0</v>
      </c>
      <c r="K105" s="317" t="n">
        <f aca="false">F105*D105</f>
        <v>0</v>
      </c>
      <c r="L105" s="317" t="n">
        <f aca="false">D105-K105</f>
        <v>0</v>
      </c>
      <c r="N105" s="45"/>
      <c r="O105" s="45"/>
    </row>
    <row r="106" customFormat="false" ht="12.75" hidden="false" customHeight="false" outlineLevel="2" collapsed="false">
      <c r="A106" s="316"/>
      <c r="B106" s="569" t="str">
        <f aca="false">'Plant Configuration'!C145</f>
        <v>    Per diem </v>
      </c>
      <c r="C106" s="44"/>
      <c r="D106" s="578" t="n">
        <f aca="false">IF($O$7=6,0,HLOOKUP($D$5,Plant_Configuration,'Plant Configuration'!A145,FALSE()))+IF($R$7=6,0,HLOOKUP($E$5,Plant_Configuration,'Plant Configuration'!A145,FALSE()))+IF($U$7=6,0,HLOOKUP($F$5,Plant_Configuration,'Plant Configuration'!A145,FALSE()))</f>
        <v>0</v>
      </c>
      <c r="E106" s="342" t="n">
        <v>0</v>
      </c>
      <c r="F106" s="566" t="n">
        <v>1</v>
      </c>
      <c r="H106" s="316" t="s">
        <v>1042</v>
      </c>
      <c r="I106" s="567" t="n">
        <f aca="false">D106-J106</f>
        <v>0</v>
      </c>
      <c r="J106" s="567" t="n">
        <f aca="false">E106*D106</f>
        <v>0</v>
      </c>
      <c r="K106" s="317" t="n">
        <f aca="false">F106*D106</f>
        <v>0</v>
      </c>
      <c r="L106" s="317" t="n">
        <f aca="false">D106-K106</f>
        <v>0</v>
      </c>
      <c r="N106" s="45"/>
      <c r="O106" s="45"/>
    </row>
    <row r="107" customFormat="false" ht="12.75" hidden="false" customHeight="false" outlineLevel="2" collapsed="false">
      <c r="A107" s="316"/>
      <c r="B107" s="569" t="str">
        <f aca="false">'Plant Configuration'!C146</f>
        <v>    Home leave, travel</v>
      </c>
      <c r="C107" s="44"/>
      <c r="D107" s="578" t="n">
        <f aca="false">IF($O$7=6,0,HLOOKUP($D$5,Plant_Configuration,'Plant Configuration'!A146,FALSE()))+IF($R$7=6,0,HLOOKUP($E$5,Plant_Configuration,'Plant Configuration'!A146,FALSE()))+IF($U$7=6,0,HLOOKUP($F$5,Plant_Configuration,'Plant Configuration'!A146,FALSE()))</f>
        <v>0</v>
      </c>
      <c r="E107" s="342" t="n">
        <v>0</v>
      </c>
      <c r="F107" s="566" t="n">
        <v>1</v>
      </c>
      <c r="H107" s="316" t="s">
        <v>1043</v>
      </c>
      <c r="I107" s="567" t="n">
        <f aca="false">D107-J107</f>
        <v>0</v>
      </c>
      <c r="J107" s="567" t="n">
        <f aca="false">E107*D107</f>
        <v>0</v>
      </c>
      <c r="K107" s="317" t="n">
        <f aca="false">F107*D107</f>
        <v>0</v>
      </c>
      <c r="L107" s="317" t="n">
        <f aca="false">D107-K107</f>
        <v>0</v>
      </c>
      <c r="N107" s="45"/>
      <c r="O107" s="45"/>
    </row>
    <row r="108" customFormat="false" ht="12.75" hidden="false" customHeight="false" outlineLevel="2" collapsed="false">
      <c r="A108" s="316"/>
      <c r="B108" s="569" t="str">
        <f aca="false">'Plant Configuration'!C147</f>
        <v>   Tax Protection (over 6 months)</v>
      </c>
      <c r="C108" s="44"/>
      <c r="D108" s="578" t="n">
        <f aca="false">IF($O$7=6,0,HLOOKUP($D$5,Plant_Configuration,'Plant Configuration'!A147,FALSE()))+IF($R$7=6,0,HLOOKUP($E$5,Plant_Configuration,'Plant Configuration'!A147,FALSE()))+IF($U$7=6,0,HLOOKUP($F$5,Plant_Configuration,'Plant Configuration'!A147,FALSE()))</f>
        <v>0</v>
      </c>
      <c r="E108" s="342" t="n">
        <v>0</v>
      </c>
      <c r="F108" s="566" t="n">
        <v>1</v>
      </c>
      <c r="H108" s="316" t="s">
        <v>1044</v>
      </c>
      <c r="I108" s="567" t="n">
        <f aca="false">D108-J108</f>
        <v>0</v>
      </c>
      <c r="J108" s="567" t="n">
        <f aca="false">E108*D108</f>
        <v>0</v>
      </c>
      <c r="K108" s="317" t="n">
        <f aca="false">F108*D108</f>
        <v>0</v>
      </c>
      <c r="L108" s="317" t="n">
        <f aca="false">D108-K108</f>
        <v>0</v>
      </c>
      <c r="N108" s="45"/>
      <c r="O108" s="45"/>
    </row>
    <row r="109" customFormat="false" ht="12.75" hidden="false" customHeight="false" outlineLevel="2" collapsed="false">
      <c r="A109" s="316"/>
      <c r="B109" s="569" t="str">
        <f aca="false">'Plant Configuration'!C148</f>
        <v>Other</v>
      </c>
      <c r="C109" s="44"/>
      <c r="D109" s="578" t="n">
        <f aca="false">IF($O$7=6,0,HLOOKUP($D$5,Plant_Configuration,'Plant Configuration'!A148,FALSE()))+IF($R$7=6,0,HLOOKUP($E$5,Plant_Configuration,'Plant Configuration'!A148,FALSE()))+IF($U$7=6,0,HLOOKUP($F$5,Plant_Configuration,'Plant Configuration'!A148,FALSE()))</f>
        <v>0</v>
      </c>
      <c r="E109" s="342" t="n">
        <v>0</v>
      </c>
      <c r="F109" s="566" t="n">
        <v>1</v>
      </c>
      <c r="H109" s="316"/>
      <c r="I109" s="567" t="n">
        <f aca="false">D109-J109</f>
        <v>0</v>
      </c>
      <c r="J109" s="567" t="n">
        <f aca="false">E109*D109</f>
        <v>0</v>
      </c>
      <c r="K109" s="317"/>
      <c r="L109" s="317"/>
      <c r="N109" s="45"/>
      <c r="O109" s="45"/>
    </row>
    <row r="110" customFormat="false" ht="12.75" hidden="false" customHeight="false" outlineLevel="1" collapsed="false">
      <c r="A110" s="579"/>
      <c r="B110" s="570" t="s">
        <v>431</v>
      </c>
      <c r="C110" s="0"/>
      <c r="D110" s="571" t="n">
        <f aca="false">SUBTOTAL(9,D105:D108)</f>
        <v>0</v>
      </c>
      <c r="E110" s="572"/>
      <c r="F110" s="573"/>
      <c r="H110" s="316" t="s">
        <v>1045</v>
      </c>
      <c r="I110" s="571" t="n">
        <f aca="false">SUBTOTAL(9,I105:I108)</f>
        <v>0</v>
      </c>
      <c r="J110" s="571" t="n">
        <f aca="false">SUBTOTAL(9,J105:J108)</f>
        <v>0</v>
      </c>
      <c r="K110" s="571" t="n">
        <f aca="false">SUBTOTAL(9,K105:K108)</f>
        <v>0</v>
      </c>
      <c r="L110" s="571" t="n">
        <f aca="false">SUBTOTAL(9,L105:L108)</f>
        <v>0</v>
      </c>
      <c r="M110" s="561"/>
      <c r="N110" s="561"/>
      <c r="O110" s="561"/>
      <c r="P110" s="561"/>
      <c r="Q110" s="561"/>
      <c r="R110" s="561"/>
      <c r="S110" s="561"/>
      <c r="T110" s="561"/>
      <c r="U110" s="561"/>
      <c r="V110" s="561"/>
      <c r="W110" s="561"/>
      <c r="X110" s="561"/>
      <c r="Y110" s="561"/>
      <c r="Z110" s="561"/>
      <c r="AA110" s="561"/>
      <c r="AB110" s="561"/>
      <c r="AC110" s="561"/>
      <c r="AD110" s="561"/>
      <c r="AE110" s="561"/>
      <c r="AF110" s="561"/>
      <c r="AG110" s="561"/>
      <c r="AH110" s="561"/>
      <c r="AI110" s="561"/>
      <c r="AJ110" s="561"/>
      <c r="AK110" s="561"/>
      <c r="AL110" s="561"/>
      <c r="AM110" s="561"/>
      <c r="AN110" s="561"/>
      <c r="AO110" s="561"/>
      <c r="AP110" s="561"/>
      <c r="AQ110" s="561"/>
      <c r="AR110" s="561"/>
      <c r="AS110" s="561"/>
      <c r="AT110" s="561"/>
      <c r="AU110" s="561"/>
      <c r="AV110" s="561"/>
      <c r="AW110" s="561"/>
      <c r="AX110" s="561"/>
      <c r="AY110" s="561"/>
      <c r="AZ110" s="561"/>
      <c r="BA110" s="561"/>
      <c r="BB110" s="561"/>
      <c r="BC110" s="561"/>
      <c r="BD110" s="561"/>
      <c r="BE110" s="561"/>
      <c r="BF110" s="561"/>
      <c r="BG110" s="561"/>
      <c r="BH110" s="561"/>
      <c r="BI110" s="561"/>
      <c r="BJ110" s="561"/>
      <c r="BK110" s="561"/>
      <c r="BL110" s="561"/>
      <c r="BM110" s="561"/>
      <c r="BN110" s="561"/>
      <c r="BO110" s="561"/>
      <c r="BP110" s="561"/>
      <c r="BQ110" s="561"/>
      <c r="BR110" s="561"/>
      <c r="BS110" s="561"/>
      <c r="BT110" s="561"/>
      <c r="BU110" s="561"/>
      <c r="BV110" s="561"/>
      <c r="BW110" s="561"/>
      <c r="BX110" s="561"/>
      <c r="BY110" s="561"/>
      <c r="BZ110" s="561"/>
      <c r="CA110" s="561"/>
      <c r="CB110" s="561"/>
      <c r="CC110" s="561"/>
      <c r="CD110" s="561"/>
      <c r="CE110" s="561"/>
      <c r="CF110" s="561"/>
      <c r="CG110" s="561"/>
      <c r="CH110" s="561"/>
      <c r="CI110" s="561"/>
      <c r="CJ110" s="561"/>
      <c r="CK110" s="561"/>
      <c r="CL110" s="561"/>
      <c r="CM110" s="561"/>
      <c r="CN110" s="561"/>
      <c r="CO110" s="561"/>
      <c r="CP110" s="561"/>
      <c r="CQ110" s="561"/>
      <c r="CR110" s="561"/>
      <c r="CS110" s="561"/>
      <c r="CT110" s="561"/>
      <c r="CU110" s="561"/>
      <c r="CV110" s="561"/>
      <c r="CW110" s="561"/>
      <c r="CX110" s="561"/>
      <c r="CY110" s="561"/>
      <c r="CZ110" s="561"/>
      <c r="DA110" s="561"/>
      <c r="DB110" s="561"/>
      <c r="DC110" s="561"/>
      <c r="DD110" s="561"/>
      <c r="DE110" s="561"/>
      <c r="DF110" s="561"/>
      <c r="DG110" s="561"/>
      <c r="DH110" s="561"/>
      <c r="DI110" s="561"/>
      <c r="DJ110" s="561"/>
      <c r="DK110" s="561"/>
      <c r="DL110" s="561"/>
      <c r="DM110" s="561"/>
      <c r="DN110" s="561"/>
      <c r="DO110" s="561"/>
      <c r="DP110" s="561"/>
      <c r="DQ110" s="561"/>
      <c r="DR110" s="561"/>
      <c r="DS110" s="561"/>
      <c r="DT110" s="561"/>
      <c r="DU110" s="561"/>
      <c r="DV110" s="561"/>
      <c r="DW110" s="561"/>
      <c r="DX110" s="561"/>
      <c r="DY110" s="561"/>
      <c r="DZ110" s="561"/>
      <c r="EA110" s="561"/>
      <c r="EB110" s="561"/>
      <c r="EC110" s="561"/>
      <c r="ED110" s="561"/>
      <c r="EE110" s="561"/>
      <c r="EF110" s="561"/>
      <c r="EG110" s="561"/>
      <c r="EH110" s="561"/>
      <c r="EI110" s="561"/>
      <c r="EJ110" s="561"/>
      <c r="EK110" s="561"/>
      <c r="EL110" s="561"/>
      <c r="EM110" s="561"/>
      <c r="EN110" s="561"/>
      <c r="EO110" s="561"/>
      <c r="EP110" s="561"/>
      <c r="EQ110" s="561"/>
      <c r="ER110" s="561"/>
      <c r="ES110" s="561"/>
      <c r="ET110" s="561"/>
      <c r="EU110" s="561"/>
      <c r="EV110" s="561"/>
      <c r="EW110" s="561"/>
      <c r="EX110" s="561"/>
      <c r="EY110" s="561"/>
      <c r="EZ110" s="561"/>
      <c r="FA110" s="561"/>
      <c r="FB110" s="561"/>
      <c r="FC110" s="561"/>
      <c r="FD110" s="561"/>
      <c r="FE110" s="561"/>
      <c r="FF110" s="561"/>
      <c r="FG110" s="561"/>
      <c r="FH110" s="561"/>
      <c r="FI110" s="561"/>
      <c r="FJ110" s="561"/>
      <c r="FK110" s="561"/>
      <c r="FL110" s="561"/>
      <c r="FM110" s="561"/>
      <c r="FN110" s="561"/>
      <c r="FO110" s="561"/>
      <c r="FP110" s="561"/>
      <c r="FQ110" s="561"/>
      <c r="FR110" s="561"/>
      <c r="FS110" s="561"/>
      <c r="FT110" s="561"/>
      <c r="FU110" s="561"/>
      <c r="FV110" s="561"/>
      <c r="FW110" s="561"/>
      <c r="FX110" s="561"/>
      <c r="FY110" s="561"/>
      <c r="FZ110" s="561"/>
      <c r="GA110" s="561"/>
      <c r="GB110" s="561"/>
      <c r="GC110" s="561"/>
      <c r="GD110" s="561"/>
      <c r="GE110" s="561"/>
      <c r="GF110" s="561"/>
      <c r="GG110" s="561"/>
      <c r="GH110" s="561"/>
      <c r="GI110" s="561"/>
      <c r="GJ110" s="561"/>
      <c r="GK110" s="561"/>
      <c r="GL110" s="561"/>
      <c r="GM110" s="561"/>
      <c r="GN110" s="561"/>
      <c r="GO110" s="561"/>
      <c r="GP110" s="561"/>
      <c r="GQ110" s="561"/>
      <c r="GR110" s="561"/>
      <c r="GS110" s="561"/>
      <c r="GT110" s="561"/>
      <c r="GU110" s="561"/>
      <c r="GV110" s="561"/>
      <c r="GW110" s="561"/>
      <c r="GX110" s="561"/>
      <c r="GY110" s="561"/>
      <c r="GZ110" s="561"/>
      <c r="HA110" s="561"/>
      <c r="HB110" s="561"/>
      <c r="HC110" s="561"/>
      <c r="HD110" s="561"/>
      <c r="HE110" s="561"/>
      <c r="HF110" s="561"/>
      <c r="HG110" s="561"/>
      <c r="HH110" s="561"/>
      <c r="HI110" s="561"/>
      <c r="HJ110" s="561"/>
      <c r="HK110" s="561"/>
      <c r="HL110" s="561"/>
      <c r="HM110" s="561"/>
      <c r="HN110" s="561"/>
      <c r="HO110" s="561"/>
      <c r="HP110" s="561"/>
      <c r="HQ110" s="561"/>
      <c r="HR110" s="561"/>
      <c r="HS110" s="561"/>
      <c r="HT110" s="561"/>
      <c r="HU110" s="561"/>
      <c r="HV110" s="561"/>
      <c r="HW110" s="561"/>
      <c r="HX110" s="561"/>
      <c r="HY110" s="561"/>
      <c r="HZ110" s="561"/>
      <c r="IA110" s="561"/>
      <c r="IB110" s="561"/>
      <c r="IC110" s="561"/>
      <c r="ID110" s="561"/>
      <c r="IE110" s="561"/>
      <c r="IF110" s="561"/>
      <c r="IG110" s="561"/>
      <c r="IH110" s="561"/>
      <c r="II110" s="561"/>
      <c r="IJ110" s="561"/>
      <c r="IK110" s="561"/>
      <c r="IL110" s="561"/>
      <c r="IM110" s="561"/>
      <c r="IN110" s="561"/>
      <c r="IO110" s="561"/>
      <c r="IP110" s="561"/>
      <c r="IQ110" s="561"/>
      <c r="IR110" s="561"/>
      <c r="IS110" s="561"/>
      <c r="IT110" s="561"/>
      <c r="IU110" s="561"/>
      <c r="IV110" s="561"/>
      <c r="IW110" s="561"/>
    </row>
    <row r="111" customFormat="false" ht="12.75" hidden="false" customHeight="false" outlineLevel="1" collapsed="false">
      <c r="A111" s="574" t="s">
        <v>1046</v>
      </c>
      <c r="B111" s="575"/>
      <c r="C111" s="576"/>
      <c r="D111" s="554"/>
      <c r="E111" s="555"/>
      <c r="F111" s="556"/>
      <c r="H111" s="577"/>
      <c r="I111" s="558" t="n">
        <f aca="false">IF(D125=0,0,I125/D125)</f>
        <v>0</v>
      </c>
      <c r="J111" s="558" t="n">
        <f aca="false">1-I111</f>
        <v>1</v>
      </c>
      <c r="K111" s="559" t="n">
        <f aca="false">IF(D125=0,0,K125/D125)</f>
        <v>1</v>
      </c>
      <c r="L111" s="559" t="n">
        <f aca="false">1-K111</f>
        <v>0</v>
      </c>
      <c r="M111" s="561"/>
      <c r="N111" s="561"/>
      <c r="O111" s="561"/>
      <c r="P111" s="561"/>
      <c r="Q111" s="561"/>
      <c r="R111" s="561"/>
      <c r="S111" s="561"/>
      <c r="T111" s="561"/>
      <c r="U111" s="561"/>
      <c r="V111" s="561"/>
      <c r="W111" s="561"/>
      <c r="X111" s="561"/>
      <c r="Y111" s="561"/>
      <c r="Z111" s="561"/>
      <c r="AA111" s="561"/>
      <c r="AB111" s="561"/>
      <c r="AC111" s="561"/>
      <c r="AD111" s="561"/>
      <c r="AE111" s="561"/>
      <c r="AF111" s="561"/>
      <c r="AG111" s="561"/>
      <c r="AH111" s="561"/>
      <c r="AI111" s="561"/>
      <c r="AJ111" s="561"/>
      <c r="AK111" s="561"/>
      <c r="AL111" s="561"/>
      <c r="AM111" s="561"/>
      <c r="AN111" s="561"/>
      <c r="AO111" s="561"/>
      <c r="AP111" s="561"/>
      <c r="AQ111" s="561"/>
      <c r="AR111" s="561"/>
      <c r="AS111" s="561"/>
      <c r="AT111" s="561"/>
      <c r="AU111" s="561"/>
      <c r="AV111" s="561"/>
      <c r="AW111" s="561"/>
      <c r="AX111" s="561"/>
      <c r="AY111" s="561"/>
      <c r="AZ111" s="561"/>
      <c r="BA111" s="561"/>
      <c r="BB111" s="561"/>
      <c r="BC111" s="561"/>
      <c r="BD111" s="561"/>
      <c r="BE111" s="561"/>
      <c r="BF111" s="561"/>
      <c r="BG111" s="561"/>
      <c r="BH111" s="561"/>
      <c r="BI111" s="561"/>
      <c r="BJ111" s="561"/>
      <c r="BK111" s="561"/>
      <c r="BL111" s="561"/>
      <c r="BM111" s="561"/>
      <c r="BN111" s="561"/>
      <c r="BO111" s="561"/>
      <c r="BP111" s="561"/>
      <c r="BQ111" s="561"/>
      <c r="BR111" s="561"/>
      <c r="BS111" s="561"/>
      <c r="BT111" s="561"/>
      <c r="BU111" s="561"/>
      <c r="BV111" s="561"/>
      <c r="BW111" s="561"/>
      <c r="BX111" s="561"/>
      <c r="BY111" s="561"/>
      <c r="BZ111" s="561"/>
      <c r="CA111" s="561"/>
      <c r="CB111" s="561"/>
      <c r="CC111" s="561"/>
      <c r="CD111" s="561"/>
      <c r="CE111" s="561"/>
      <c r="CF111" s="561"/>
      <c r="CG111" s="561"/>
      <c r="CH111" s="561"/>
      <c r="CI111" s="561"/>
      <c r="CJ111" s="561"/>
      <c r="CK111" s="561"/>
      <c r="CL111" s="561"/>
      <c r="CM111" s="561"/>
      <c r="CN111" s="561"/>
      <c r="CO111" s="561"/>
      <c r="CP111" s="561"/>
      <c r="CQ111" s="561"/>
      <c r="CR111" s="561"/>
      <c r="CS111" s="561"/>
      <c r="CT111" s="561"/>
      <c r="CU111" s="561"/>
      <c r="CV111" s="561"/>
      <c r="CW111" s="561"/>
      <c r="CX111" s="561"/>
      <c r="CY111" s="561"/>
      <c r="CZ111" s="561"/>
      <c r="DA111" s="561"/>
      <c r="DB111" s="561"/>
      <c r="DC111" s="561"/>
      <c r="DD111" s="561"/>
      <c r="DE111" s="561"/>
      <c r="DF111" s="561"/>
      <c r="DG111" s="561"/>
      <c r="DH111" s="561"/>
      <c r="DI111" s="561"/>
      <c r="DJ111" s="561"/>
      <c r="DK111" s="561"/>
      <c r="DL111" s="561"/>
      <c r="DM111" s="561"/>
      <c r="DN111" s="561"/>
      <c r="DO111" s="561"/>
      <c r="DP111" s="561"/>
      <c r="DQ111" s="561"/>
      <c r="DR111" s="561"/>
      <c r="DS111" s="561"/>
      <c r="DT111" s="561"/>
      <c r="DU111" s="561"/>
      <c r="DV111" s="561"/>
      <c r="DW111" s="561"/>
      <c r="DX111" s="561"/>
      <c r="DY111" s="561"/>
      <c r="DZ111" s="561"/>
      <c r="EA111" s="561"/>
      <c r="EB111" s="561"/>
      <c r="EC111" s="561"/>
      <c r="ED111" s="561"/>
      <c r="EE111" s="561"/>
      <c r="EF111" s="561"/>
      <c r="EG111" s="561"/>
      <c r="EH111" s="561"/>
      <c r="EI111" s="561"/>
      <c r="EJ111" s="561"/>
      <c r="EK111" s="561"/>
      <c r="EL111" s="561"/>
      <c r="EM111" s="561"/>
      <c r="EN111" s="561"/>
      <c r="EO111" s="561"/>
      <c r="EP111" s="561"/>
      <c r="EQ111" s="561"/>
      <c r="ER111" s="561"/>
      <c r="ES111" s="561"/>
      <c r="ET111" s="561"/>
      <c r="EU111" s="561"/>
      <c r="EV111" s="561"/>
      <c r="EW111" s="561"/>
      <c r="EX111" s="561"/>
      <c r="EY111" s="561"/>
      <c r="EZ111" s="561"/>
      <c r="FA111" s="561"/>
      <c r="FB111" s="561"/>
      <c r="FC111" s="561"/>
      <c r="FD111" s="561"/>
      <c r="FE111" s="561"/>
      <c r="FF111" s="561"/>
      <c r="FG111" s="561"/>
      <c r="FH111" s="561"/>
      <c r="FI111" s="561"/>
      <c r="FJ111" s="561"/>
      <c r="FK111" s="561"/>
      <c r="FL111" s="561"/>
      <c r="FM111" s="561"/>
      <c r="FN111" s="561"/>
      <c r="FO111" s="561"/>
      <c r="FP111" s="561"/>
      <c r="FQ111" s="561"/>
      <c r="FR111" s="561"/>
      <c r="FS111" s="561"/>
      <c r="FT111" s="561"/>
      <c r="FU111" s="561"/>
      <c r="FV111" s="561"/>
      <c r="FW111" s="561"/>
      <c r="FX111" s="561"/>
      <c r="FY111" s="561"/>
      <c r="FZ111" s="561"/>
      <c r="GA111" s="561"/>
      <c r="GB111" s="561"/>
      <c r="GC111" s="561"/>
      <c r="GD111" s="561"/>
      <c r="GE111" s="561"/>
      <c r="GF111" s="561"/>
      <c r="GG111" s="561"/>
      <c r="GH111" s="561"/>
      <c r="GI111" s="561"/>
      <c r="GJ111" s="561"/>
      <c r="GK111" s="561"/>
      <c r="GL111" s="561"/>
      <c r="GM111" s="561"/>
      <c r="GN111" s="561"/>
      <c r="GO111" s="561"/>
      <c r="GP111" s="561"/>
      <c r="GQ111" s="561"/>
      <c r="GR111" s="561"/>
      <c r="GS111" s="561"/>
      <c r="GT111" s="561"/>
      <c r="GU111" s="561"/>
      <c r="GV111" s="561"/>
      <c r="GW111" s="561"/>
      <c r="GX111" s="561"/>
      <c r="GY111" s="561"/>
      <c r="GZ111" s="561"/>
      <c r="HA111" s="561"/>
      <c r="HB111" s="561"/>
      <c r="HC111" s="561"/>
      <c r="HD111" s="561"/>
      <c r="HE111" s="561"/>
      <c r="HF111" s="561"/>
      <c r="HG111" s="561"/>
      <c r="HH111" s="561"/>
      <c r="HI111" s="561"/>
      <c r="HJ111" s="561"/>
      <c r="HK111" s="561"/>
      <c r="HL111" s="561"/>
      <c r="HM111" s="561"/>
      <c r="HN111" s="561"/>
      <c r="HO111" s="561"/>
      <c r="HP111" s="561"/>
      <c r="HQ111" s="561"/>
      <c r="HR111" s="561"/>
      <c r="HS111" s="561"/>
      <c r="HT111" s="561"/>
      <c r="HU111" s="561"/>
      <c r="HV111" s="561"/>
      <c r="HW111" s="561"/>
      <c r="HX111" s="561"/>
      <c r="HY111" s="561"/>
      <c r="HZ111" s="561"/>
      <c r="IA111" s="561"/>
      <c r="IB111" s="561"/>
      <c r="IC111" s="561"/>
      <c r="ID111" s="561"/>
      <c r="IE111" s="561"/>
      <c r="IF111" s="561"/>
      <c r="IG111" s="561"/>
      <c r="IH111" s="561"/>
      <c r="II111" s="561"/>
      <c r="IJ111" s="561"/>
      <c r="IK111" s="561"/>
      <c r="IL111" s="561"/>
      <c r="IM111" s="561"/>
      <c r="IN111" s="561"/>
      <c r="IO111" s="561"/>
      <c r="IP111" s="561"/>
      <c r="IQ111" s="561"/>
      <c r="IR111" s="561"/>
      <c r="IS111" s="561"/>
      <c r="IT111" s="561"/>
      <c r="IU111" s="561"/>
      <c r="IV111" s="561"/>
      <c r="IW111" s="561"/>
    </row>
    <row r="112" customFormat="false" ht="12.75" hidden="false" customHeight="false" outlineLevel="2" collapsed="false">
      <c r="A112" s="316"/>
      <c r="B112" s="569" t="str">
        <f aca="false">'Plant Configuration'!C151</f>
        <v>Technical/Professional Services</v>
      </c>
      <c r="C112" s="44"/>
      <c r="D112" s="578" t="n">
        <f aca="false">IF($O$7=6,0,HLOOKUP($D$5,Plant_Configuration,'Plant Configuration'!A151,FALSE()))+IF($R$7=6,0,HLOOKUP($E$5,Plant_Configuration,'Plant Configuration'!A151,FALSE()))+IF($U$7=6,0,HLOOKUP($F$5,Plant_Configuration,'Plant Configuration'!A151,FALSE()))</f>
        <v>0</v>
      </c>
      <c r="E112" s="342" t="n">
        <v>1</v>
      </c>
      <c r="F112" s="566" t="n">
        <v>1</v>
      </c>
      <c r="H112" s="316" t="s">
        <v>1047</v>
      </c>
      <c r="I112" s="567" t="n">
        <f aca="false">D112-J112</f>
        <v>0</v>
      </c>
      <c r="J112" s="567" t="n">
        <f aca="false">E112*D112</f>
        <v>0</v>
      </c>
      <c r="K112" s="317" t="n">
        <f aca="false">F112*D112</f>
        <v>0</v>
      </c>
      <c r="L112" s="317" t="n">
        <f aca="false">D112-K112</f>
        <v>0</v>
      </c>
      <c r="N112" s="45"/>
      <c r="O112" s="45"/>
    </row>
    <row r="113" customFormat="false" ht="12.75" hidden="false" customHeight="false" outlineLevel="2" collapsed="false">
      <c r="A113" s="316"/>
      <c r="B113" s="569" t="str">
        <f aca="false">'Plant Configuration'!C152</f>
        <v>Pretreatment chemicals</v>
      </c>
      <c r="C113" s="49"/>
      <c r="D113" s="578" t="n">
        <f aca="false">IF($O$7=6,0,HLOOKUP($D$5,Plant_Configuration,'Plant Configuration'!A152,FALSE()))+IF($R$7=6,0,HLOOKUP($E$5,Plant_Configuration,'Plant Configuration'!A152,FALSE()))+IF($U$7=6,0,HLOOKUP($F$5,Plant_Configuration,'Plant Configuration'!A152,FALSE()))</f>
        <v>0</v>
      </c>
      <c r="E113" s="342" t="n">
        <v>1</v>
      </c>
      <c r="F113" s="566" t="n">
        <v>1</v>
      </c>
      <c r="H113" s="316" t="s">
        <v>1048</v>
      </c>
      <c r="I113" s="567" t="n">
        <f aca="false">D113-J113</f>
        <v>0</v>
      </c>
      <c r="J113" s="567" t="n">
        <f aca="false">E113*D113</f>
        <v>0</v>
      </c>
      <c r="K113" s="317" t="n">
        <f aca="false">F113*D113</f>
        <v>0</v>
      </c>
      <c r="L113" s="317" t="n">
        <f aca="false">D113-K113</f>
        <v>0</v>
      </c>
      <c r="N113" s="46"/>
      <c r="O113" s="45"/>
    </row>
    <row r="114" customFormat="false" ht="12.75" hidden="false" customHeight="false" outlineLevel="2" collapsed="false">
      <c r="A114" s="316"/>
      <c r="B114" s="569" t="str">
        <f aca="false">'Plant Configuration'!C153</f>
        <v>Demin Acid/Caustic</v>
      </c>
      <c r="C114" s="589"/>
      <c r="D114" s="578" t="n">
        <f aca="false">IF($O$7=6,0,HLOOKUP($D$5,Plant_Configuration,'Plant Configuration'!A153,FALSE()))+IF($R$7=6,0,HLOOKUP($E$5,Plant_Configuration,'Plant Configuration'!A153,FALSE()))+IF($U$7=6,0,HLOOKUP($F$5,Plant_Configuration,'Plant Configuration'!A153,FALSE()))</f>
        <v>0</v>
      </c>
      <c r="E114" s="342" t="n">
        <v>1</v>
      </c>
      <c r="F114" s="566" t="n">
        <v>1</v>
      </c>
      <c r="H114" s="316"/>
      <c r="I114" s="567" t="n">
        <f aca="false">D114-J114</f>
        <v>0</v>
      </c>
      <c r="J114" s="567" t="n">
        <f aca="false">E114*D114</f>
        <v>0</v>
      </c>
      <c r="K114" s="317" t="n">
        <f aca="false">F114*D114</f>
        <v>0</v>
      </c>
      <c r="L114" s="317" t="n">
        <f aca="false">D114-K114</f>
        <v>0</v>
      </c>
      <c r="N114" s="45"/>
      <c r="O114" s="45"/>
    </row>
    <row r="115" customFormat="false" ht="12.75" hidden="false" customHeight="false" outlineLevel="2" collapsed="false">
      <c r="A115" s="316"/>
      <c r="B115" s="569" t="str">
        <f aca="false">'Plant Configuration'!C154</f>
        <v>Resin Replacement</v>
      </c>
      <c r="C115" s="589"/>
      <c r="D115" s="578" t="n">
        <f aca="false">IF($O$7=6,0,HLOOKUP($D$5,Plant_Configuration,'Plant Configuration'!A154,FALSE()))+IF($R$7=6,0,HLOOKUP($E$5,Plant_Configuration,'Plant Configuration'!A154,FALSE()))+IF($U$7=6,0,HLOOKUP($F$5,Plant_Configuration,'Plant Configuration'!A154,FALSE()))</f>
        <v>0</v>
      </c>
      <c r="E115" s="342" t="n">
        <v>1</v>
      </c>
      <c r="F115" s="566" t="n">
        <v>1</v>
      </c>
      <c r="H115" s="590" t="s">
        <v>1049</v>
      </c>
      <c r="I115" s="567" t="n">
        <f aca="false">D115-J115</f>
        <v>0</v>
      </c>
      <c r="J115" s="567" t="n">
        <f aca="false">E115*D115</f>
        <v>0</v>
      </c>
      <c r="K115" s="317" t="n">
        <f aca="false">F115*D115</f>
        <v>0</v>
      </c>
      <c r="L115" s="317" t="n">
        <f aca="false">D115-K115</f>
        <v>0</v>
      </c>
      <c r="N115" s="45"/>
      <c r="O115" s="45"/>
    </row>
    <row r="116" customFormat="false" ht="12.75" hidden="false" customHeight="false" outlineLevel="2" collapsed="false">
      <c r="A116" s="316"/>
      <c r="B116" s="569" t="str">
        <f aca="false">'Plant Configuration'!C155</f>
        <v>CT Chemicals</v>
      </c>
      <c r="C116" s="589"/>
      <c r="D116" s="578" t="n">
        <f aca="false">IF($O$7=6,0,HLOOKUP($D$5,Plant_Configuration,'Plant Configuration'!A155,FALSE()))+IF($R$7=6,0,HLOOKUP($E$5,Plant_Configuration,'Plant Configuration'!A155,FALSE()))+IF($U$7=6,0,HLOOKUP($F$5,Plant_Configuration,'Plant Configuration'!A155,FALSE()))</f>
        <v>86446.2752859367</v>
      </c>
      <c r="E116" s="342" t="n">
        <v>1</v>
      </c>
      <c r="F116" s="566" t="n">
        <v>1</v>
      </c>
      <c r="H116" s="316"/>
      <c r="I116" s="567" t="n">
        <f aca="false">D116-J116</f>
        <v>0</v>
      </c>
      <c r="J116" s="567" t="n">
        <f aca="false">E116*D116</f>
        <v>86446.2752859367</v>
      </c>
      <c r="K116" s="317" t="n">
        <f aca="false">F116*D116</f>
        <v>86446.2752859367</v>
      </c>
      <c r="L116" s="317" t="n">
        <f aca="false">D116-K116</f>
        <v>0</v>
      </c>
      <c r="N116" s="45"/>
      <c r="O116" s="45"/>
    </row>
    <row r="117" customFormat="false" ht="12.75" hidden="false" customHeight="false" outlineLevel="2" collapsed="false">
      <c r="A117" s="316"/>
      <c r="B117" s="569" t="str">
        <f aca="false">'Plant Configuration'!C156</f>
        <v>Boiler Chemicals</v>
      </c>
      <c r="C117" s="589"/>
      <c r="D117" s="578" t="n">
        <f aca="false">IF($O$7=6,0,HLOOKUP($D$5,Plant_Configuration,'Plant Configuration'!A156,FALSE()))+IF($R$7=6,0,HLOOKUP($E$5,Plant_Configuration,'Plant Configuration'!A156,FALSE()))+IF($U$7=6,0,HLOOKUP($F$5,Plant_Configuration,'Plant Configuration'!A156,FALSE()))</f>
        <v>96819.8283202491</v>
      </c>
      <c r="E117" s="342" t="n">
        <v>1</v>
      </c>
      <c r="F117" s="566" t="n">
        <v>1</v>
      </c>
      <c r="H117" s="316"/>
      <c r="I117" s="567" t="n">
        <f aca="false">D117-J117</f>
        <v>0</v>
      </c>
      <c r="J117" s="567" t="n">
        <f aca="false">E117*D117</f>
        <v>96819.8283202491</v>
      </c>
      <c r="K117" s="317" t="n">
        <f aca="false">F117*D117</f>
        <v>96819.8283202491</v>
      </c>
      <c r="L117" s="317" t="n">
        <f aca="false">D117-K117</f>
        <v>0</v>
      </c>
      <c r="N117" s="45"/>
      <c r="O117" s="45"/>
    </row>
    <row r="118" customFormat="false" ht="12.75" hidden="false" customHeight="false" outlineLevel="2" collapsed="false">
      <c r="A118" s="316"/>
      <c r="B118" s="569" t="str">
        <f aca="false">'Plant Configuration'!C157</f>
        <v>SCR Ammonia </v>
      </c>
      <c r="C118" s="44"/>
      <c r="D118" s="578" t="n">
        <f aca="false">IF($O$7=6,0,HLOOKUP($D$5,Plant_Configuration,'Plant Configuration'!A157,FALSE()))+IF($R$7=6,0,HLOOKUP($E$5,Plant_Configuration,'Plant Configuration'!A157,FALSE()))+IF($U$7=6,0,HLOOKUP($F$5,Plant_Configuration,'Plant Configuration'!A157,FALSE()))</f>
        <v>421053.571428571</v>
      </c>
      <c r="E118" s="342" t="n">
        <v>1</v>
      </c>
      <c r="F118" s="566" t="n">
        <v>1</v>
      </c>
      <c r="H118" s="316"/>
      <c r="I118" s="567" t="n">
        <f aca="false">D118-J118</f>
        <v>0</v>
      </c>
      <c r="J118" s="567" t="n">
        <f aca="false">E118*D118</f>
        <v>421053.571428571</v>
      </c>
      <c r="K118" s="317" t="n">
        <f aca="false">F118*D118</f>
        <v>421053.571428571</v>
      </c>
      <c r="L118" s="317" t="n">
        <f aca="false">D118-K118</f>
        <v>0</v>
      </c>
      <c r="N118" s="45"/>
      <c r="O118" s="45"/>
    </row>
    <row r="119" customFormat="false" ht="12.75" hidden="false" customHeight="false" outlineLevel="2" collapsed="false">
      <c r="A119" s="316"/>
      <c r="B119" s="569" t="str">
        <f aca="false">'Plant Configuration'!C158</f>
        <v>Potable Water Chemicals</v>
      </c>
      <c r="C119" s="44"/>
      <c r="D119" s="578" t="n">
        <f aca="false">IF($O$7=6,0,HLOOKUP($D$5,Plant_Configuration,'Plant Configuration'!A158,FALSE()))+IF($R$7=6,0,HLOOKUP($E$5,Plant_Configuration,'Plant Configuration'!A158,FALSE()))+IF($U$7=6,0,HLOOKUP($F$5,Plant_Configuration,'Plant Configuration'!A158,FALSE()))</f>
        <v>0</v>
      </c>
      <c r="E119" s="342" t="n">
        <v>1</v>
      </c>
      <c r="F119" s="566" t="n">
        <v>1</v>
      </c>
      <c r="H119" s="316"/>
      <c r="I119" s="567" t="n">
        <f aca="false">D119-J119</f>
        <v>0</v>
      </c>
      <c r="J119" s="567" t="n">
        <f aca="false">E119*D119</f>
        <v>0</v>
      </c>
      <c r="K119" s="317" t="n">
        <f aca="false">F119*D119</f>
        <v>0</v>
      </c>
      <c r="L119" s="317" t="n">
        <f aca="false">D119-K119</f>
        <v>0</v>
      </c>
      <c r="N119" s="45"/>
      <c r="O119" s="45"/>
    </row>
    <row r="120" customFormat="false" ht="12.75" hidden="false" customHeight="false" outlineLevel="2" collapsed="false">
      <c r="A120" s="316"/>
      <c r="B120" s="569" t="str">
        <f aca="false">'Plant Configuration'!C159</f>
        <v>Hydrogen (generators)</v>
      </c>
      <c r="C120" s="44"/>
      <c r="D120" s="578" t="n">
        <f aca="false">IF($O$7=6,0,HLOOKUP($D$5,Plant_Configuration,'Plant Configuration'!A159,FALSE()))+IF($R$7=6,0,HLOOKUP($E$5,Plant_Configuration,'Plant Configuration'!A159,FALSE()))+IF($U$7=6,0,HLOOKUP($F$5,Plant_Configuration,'Plant Configuration'!A159,FALSE()))</f>
        <v>0</v>
      </c>
      <c r="E120" s="342" t="n">
        <v>1</v>
      </c>
      <c r="F120" s="566" t="n">
        <v>1</v>
      </c>
      <c r="H120" s="316" t="s">
        <v>1050</v>
      </c>
      <c r="I120" s="567" t="n">
        <f aca="false">D120-J120</f>
        <v>0</v>
      </c>
      <c r="J120" s="567" t="n">
        <f aca="false">E120*D120</f>
        <v>0</v>
      </c>
      <c r="K120" s="317" t="n">
        <f aca="false">F120*D120</f>
        <v>0</v>
      </c>
      <c r="L120" s="317" t="n">
        <f aca="false">D120-K120</f>
        <v>0</v>
      </c>
      <c r="N120" s="45"/>
      <c r="O120" s="45"/>
    </row>
    <row r="121" customFormat="false" ht="12.75" hidden="false" customHeight="false" outlineLevel="2" collapsed="false">
      <c r="A121" s="316"/>
      <c r="B121" s="569" t="str">
        <f aca="false">'Plant Configuration'!C160</f>
        <v>Waste Water Treatment</v>
      </c>
      <c r="C121" s="44"/>
      <c r="D121" s="578" t="n">
        <f aca="false">IF($O$7=6,0,HLOOKUP($D$5,Plant_Configuration,'Plant Configuration'!A160,FALSE()))+IF($R$7=6,0,HLOOKUP($E$5,Plant_Configuration,'Plant Configuration'!A160,FALSE()))+IF($U$7=6,0,HLOOKUP($F$5,Plant_Configuration,'Plant Configuration'!A160,FALSE()))</f>
        <v>0</v>
      </c>
      <c r="E121" s="342" t="n">
        <v>1</v>
      </c>
      <c r="F121" s="566" t="n">
        <v>1</v>
      </c>
      <c r="H121" s="316"/>
      <c r="I121" s="567" t="n">
        <f aca="false">D121-J121</f>
        <v>0</v>
      </c>
      <c r="J121" s="567" t="n">
        <f aca="false">E121*D121</f>
        <v>0</v>
      </c>
      <c r="K121" s="317" t="n">
        <f aca="false">F121*D121</f>
        <v>0</v>
      </c>
      <c r="L121" s="317" t="n">
        <f aca="false">D121-K121</f>
        <v>0</v>
      </c>
      <c r="N121" s="45"/>
      <c r="O121" s="45"/>
    </row>
    <row r="122" customFormat="false" ht="12.75" hidden="false" customHeight="false" outlineLevel="2" collapsed="false">
      <c r="A122" s="316"/>
      <c r="B122" s="569" t="str">
        <f aca="false">'Plant Configuration'!C161</f>
        <v>Lubricity Agent</v>
      </c>
      <c r="C122" s="44"/>
      <c r="D122" s="578" t="n">
        <f aca="false">IF($O$7=6,0,HLOOKUP($D$5,Plant_Configuration,'Plant Configuration'!A161,FALSE()))+IF($R$7=6,0,HLOOKUP($E$5,Plant_Configuration,'Plant Configuration'!A161,FALSE()))+IF($U$7=6,0,HLOOKUP($F$5,Plant_Configuration,'Plant Configuration'!A161,FALSE()))</f>
        <v>0</v>
      </c>
      <c r="E122" s="342" t="n">
        <v>1</v>
      </c>
      <c r="F122" s="566" t="n">
        <v>1</v>
      </c>
      <c r="H122" s="316" t="s">
        <v>1051</v>
      </c>
      <c r="I122" s="567" t="n">
        <f aca="false">D122-J122</f>
        <v>0</v>
      </c>
      <c r="J122" s="567" t="n">
        <f aca="false">E122*D122</f>
        <v>0</v>
      </c>
      <c r="K122" s="317" t="n">
        <f aca="false">F122*D122</f>
        <v>0</v>
      </c>
      <c r="L122" s="317" t="n">
        <f aca="false">D122-K122</f>
        <v>0</v>
      </c>
      <c r="N122" s="45"/>
      <c r="O122" s="45"/>
    </row>
    <row r="123" customFormat="false" ht="12.75" hidden="false" customHeight="false" outlineLevel="2" collapsed="false">
      <c r="A123" s="316"/>
      <c r="B123" s="569" t="str">
        <f aca="false">'Plant Configuration'!C162</f>
        <v>Taxes/freight</v>
      </c>
      <c r="C123" s="44"/>
      <c r="D123" s="578" t="n">
        <f aca="false">IF($O$7=6,0,HLOOKUP($D$5,Plant_Configuration,'Plant Configuration'!A162,FALSE()))+IF($R$7=6,0,HLOOKUP($E$5,Plant_Configuration,'Plant Configuration'!A162,FALSE()))+IF($U$7=6,0,HLOOKUP($F$5,Plant_Configuration,'Plant Configuration'!A162,FALSE()))</f>
        <v>0</v>
      </c>
      <c r="E123" s="342" t="n">
        <v>1</v>
      </c>
      <c r="F123" s="566" t="n">
        <v>1</v>
      </c>
      <c r="H123" s="316" t="s">
        <v>1052</v>
      </c>
      <c r="I123" s="567" t="n">
        <f aca="false">D123-J123</f>
        <v>0</v>
      </c>
      <c r="J123" s="567" t="n">
        <f aca="false">E123*D123</f>
        <v>0</v>
      </c>
      <c r="K123" s="317" t="n">
        <f aca="false">F123*D123</f>
        <v>0</v>
      </c>
      <c r="L123" s="317" t="n">
        <f aca="false">D123-K123</f>
        <v>0</v>
      </c>
      <c r="N123" s="45"/>
      <c r="O123" s="45"/>
    </row>
    <row r="124" customFormat="false" ht="12.75" hidden="false" customHeight="false" outlineLevel="2" collapsed="false">
      <c r="A124" s="316"/>
      <c r="B124" s="569" t="str">
        <f aca="false">'Plant Configuration'!C163</f>
        <v>Other</v>
      </c>
      <c r="C124" s="44"/>
      <c r="D124" s="578" t="n">
        <f aca="false">IF($O$7=6,0,HLOOKUP($D$5,Plant_Configuration,'Plant Configuration'!A163,FALSE()))+IF($R$7=6,0,HLOOKUP($E$5,Plant_Configuration,'Plant Configuration'!A163,FALSE()))+IF($U$7=6,0,HLOOKUP($F$5,Plant_Configuration,'Plant Configuration'!A163,FALSE()))</f>
        <v>0</v>
      </c>
      <c r="E124" s="342" t="n">
        <v>1</v>
      </c>
      <c r="F124" s="566" t="n">
        <v>1</v>
      </c>
      <c r="H124" s="316"/>
      <c r="I124" s="567" t="n">
        <f aca="false">D124-J124</f>
        <v>0</v>
      </c>
      <c r="J124" s="567" t="n">
        <f aca="false">E124*D124</f>
        <v>0</v>
      </c>
      <c r="K124" s="317" t="n">
        <f aca="false">D124</f>
        <v>0</v>
      </c>
      <c r="L124" s="317" t="n">
        <f aca="false">D124-K124</f>
        <v>0</v>
      </c>
      <c r="N124" s="45"/>
      <c r="O124" s="45"/>
    </row>
    <row r="125" customFormat="false" ht="12.75" hidden="false" customHeight="false" outlineLevel="1" collapsed="false">
      <c r="A125" s="579"/>
      <c r="B125" s="570" t="s">
        <v>431</v>
      </c>
      <c r="C125" s="0"/>
      <c r="D125" s="571" t="n">
        <f aca="false">SUBTOTAL(9,D112:D124)</f>
        <v>604319.675034757</v>
      </c>
      <c r="E125" s="572"/>
      <c r="F125" s="573"/>
      <c r="H125" s="316" t="s">
        <v>1053</v>
      </c>
      <c r="I125" s="571" t="n">
        <f aca="false">SUBTOTAL(9,I112:I124)</f>
        <v>0</v>
      </c>
      <c r="J125" s="571" t="n">
        <f aca="false">SUBTOTAL(9,J112:J124)</f>
        <v>604319.675034757</v>
      </c>
      <c r="K125" s="571" t="n">
        <f aca="false">SUBTOTAL(9,K112:K124)</f>
        <v>604319.675034757</v>
      </c>
      <c r="L125" s="571" t="n">
        <f aca="false">SUBTOTAL(9,L112:L124)</f>
        <v>0</v>
      </c>
      <c r="M125" s="561"/>
      <c r="N125" s="561"/>
      <c r="O125" s="561"/>
      <c r="P125" s="561"/>
      <c r="Q125" s="561"/>
      <c r="R125" s="561"/>
      <c r="S125" s="561"/>
      <c r="T125" s="561"/>
      <c r="U125" s="561"/>
      <c r="V125" s="561"/>
      <c r="W125" s="561"/>
      <c r="X125" s="561"/>
      <c r="Y125" s="561"/>
      <c r="Z125" s="561"/>
      <c r="AA125" s="561"/>
      <c r="AB125" s="561"/>
      <c r="AC125" s="561"/>
      <c r="AD125" s="561"/>
      <c r="AE125" s="561"/>
      <c r="AF125" s="561"/>
      <c r="AG125" s="561"/>
      <c r="AH125" s="561"/>
      <c r="AI125" s="561"/>
      <c r="AJ125" s="561"/>
      <c r="AK125" s="561"/>
      <c r="AL125" s="561"/>
      <c r="AM125" s="561"/>
      <c r="AN125" s="561"/>
      <c r="AO125" s="561"/>
      <c r="AP125" s="561"/>
      <c r="AQ125" s="561"/>
      <c r="AR125" s="561"/>
      <c r="AS125" s="561"/>
      <c r="AT125" s="561"/>
      <c r="AU125" s="561"/>
      <c r="AV125" s="561"/>
      <c r="AW125" s="561"/>
      <c r="AX125" s="561"/>
      <c r="AY125" s="561"/>
      <c r="AZ125" s="561"/>
      <c r="BA125" s="561"/>
      <c r="BB125" s="561"/>
      <c r="BC125" s="561"/>
      <c r="BD125" s="561"/>
      <c r="BE125" s="561"/>
      <c r="BF125" s="561"/>
      <c r="BG125" s="561"/>
      <c r="BH125" s="561"/>
      <c r="BI125" s="561"/>
      <c r="BJ125" s="561"/>
      <c r="BK125" s="561"/>
      <c r="BL125" s="561"/>
      <c r="BM125" s="561"/>
      <c r="BN125" s="561"/>
      <c r="BO125" s="561"/>
      <c r="BP125" s="561"/>
      <c r="BQ125" s="561"/>
      <c r="BR125" s="561"/>
      <c r="BS125" s="561"/>
      <c r="BT125" s="561"/>
      <c r="BU125" s="561"/>
      <c r="BV125" s="561"/>
      <c r="BW125" s="561"/>
      <c r="BX125" s="561"/>
      <c r="BY125" s="561"/>
      <c r="BZ125" s="561"/>
      <c r="CA125" s="561"/>
      <c r="CB125" s="561"/>
      <c r="CC125" s="561"/>
      <c r="CD125" s="561"/>
      <c r="CE125" s="561"/>
      <c r="CF125" s="561"/>
      <c r="CG125" s="561"/>
      <c r="CH125" s="561"/>
      <c r="CI125" s="561"/>
      <c r="CJ125" s="561"/>
      <c r="CK125" s="561"/>
      <c r="CL125" s="561"/>
      <c r="CM125" s="561"/>
      <c r="CN125" s="561"/>
      <c r="CO125" s="561"/>
      <c r="CP125" s="561"/>
      <c r="CQ125" s="561"/>
      <c r="CR125" s="561"/>
      <c r="CS125" s="561"/>
      <c r="CT125" s="561"/>
      <c r="CU125" s="561"/>
      <c r="CV125" s="561"/>
      <c r="CW125" s="561"/>
      <c r="CX125" s="561"/>
      <c r="CY125" s="561"/>
      <c r="CZ125" s="561"/>
      <c r="DA125" s="561"/>
      <c r="DB125" s="561"/>
      <c r="DC125" s="561"/>
      <c r="DD125" s="561"/>
      <c r="DE125" s="561"/>
      <c r="DF125" s="561"/>
      <c r="DG125" s="561"/>
      <c r="DH125" s="561"/>
      <c r="DI125" s="561"/>
      <c r="DJ125" s="561"/>
      <c r="DK125" s="561"/>
      <c r="DL125" s="561"/>
      <c r="DM125" s="561"/>
      <c r="DN125" s="561"/>
      <c r="DO125" s="561"/>
      <c r="DP125" s="561"/>
      <c r="DQ125" s="561"/>
      <c r="DR125" s="561"/>
      <c r="DS125" s="561"/>
      <c r="DT125" s="561"/>
      <c r="DU125" s="561"/>
      <c r="DV125" s="561"/>
      <c r="DW125" s="561"/>
      <c r="DX125" s="561"/>
      <c r="DY125" s="561"/>
      <c r="DZ125" s="561"/>
      <c r="EA125" s="561"/>
      <c r="EB125" s="561"/>
      <c r="EC125" s="561"/>
      <c r="ED125" s="561"/>
      <c r="EE125" s="561"/>
      <c r="EF125" s="561"/>
      <c r="EG125" s="561"/>
      <c r="EH125" s="561"/>
      <c r="EI125" s="561"/>
      <c r="EJ125" s="561"/>
      <c r="EK125" s="561"/>
      <c r="EL125" s="561"/>
      <c r="EM125" s="561"/>
      <c r="EN125" s="561"/>
      <c r="EO125" s="561"/>
      <c r="EP125" s="561"/>
      <c r="EQ125" s="561"/>
      <c r="ER125" s="561"/>
      <c r="ES125" s="561"/>
      <c r="ET125" s="561"/>
      <c r="EU125" s="561"/>
      <c r="EV125" s="561"/>
      <c r="EW125" s="561"/>
      <c r="EX125" s="561"/>
      <c r="EY125" s="561"/>
      <c r="EZ125" s="561"/>
      <c r="FA125" s="561"/>
      <c r="FB125" s="561"/>
      <c r="FC125" s="561"/>
      <c r="FD125" s="561"/>
      <c r="FE125" s="561"/>
      <c r="FF125" s="561"/>
      <c r="FG125" s="561"/>
      <c r="FH125" s="561"/>
      <c r="FI125" s="561"/>
      <c r="FJ125" s="561"/>
      <c r="FK125" s="561"/>
      <c r="FL125" s="561"/>
      <c r="FM125" s="561"/>
      <c r="FN125" s="561"/>
      <c r="FO125" s="561"/>
      <c r="FP125" s="561"/>
      <c r="FQ125" s="561"/>
      <c r="FR125" s="561"/>
      <c r="FS125" s="561"/>
      <c r="FT125" s="561"/>
      <c r="FU125" s="561"/>
      <c r="FV125" s="561"/>
      <c r="FW125" s="561"/>
      <c r="FX125" s="561"/>
      <c r="FY125" s="561"/>
      <c r="FZ125" s="561"/>
      <c r="GA125" s="561"/>
      <c r="GB125" s="561"/>
      <c r="GC125" s="561"/>
      <c r="GD125" s="561"/>
      <c r="GE125" s="561"/>
      <c r="GF125" s="561"/>
      <c r="GG125" s="561"/>
      <c r="GH125" s="561"/>
      <c r="GI125" s="561"/>
      <c r="GJ125" s="561"/>
      <c r="GK125" s="561"/>
      <c r="GL125" s="561"/>
      <c r="GM125" s="561"/>
      <c r="GN125" s="561"/>
      <c r="GO125" s="561"/>
      <c r="GP125" s="561"/>
      <c r="GQ125" s="561"/>
      <c r="GR125" s="561"/>
      <c r="GS125" s="561"/>
      <c r="GT125" s="561"/>
      <c r="GU125" s="561"/>
      <c r="GV125" s="561"/>
      <c r="GW125" s="561"/>
      <c r="GX125" s="561"/>
      <c r="GY125" s="561"/>
      <c r="GZ125" s="561"/>
      <c r="HA125" s="561"/>
      <c r="HB125" s="561"/>
      <c r="HC125" s="561"/>
      <c r="HD125" s="561"/>
      <c r="HE125" s="561"/>
      <c r="HF125" s="561"/>
      <c r="HG125" s="561"/>
      <c r="HH125" s="561"/>
      <c r="HI125" s="561"/>
      <c r="HJ125" s="561"/>
      <c r="HK125" s="561"/>
      <c r="HL125" s="561"/>
      <c r="HM125" s="561"/>
      <c r="HN125" s="561"/>
      <c r="HO125" s="561"/>
      <c r="HP125" s="561"/>
      <c r="HQ125" s="561"/>
      <c r="HR125" s="561"/>
      <c r="HS125" s="561"/>
      <c r="HT125" s="561"/>
      <c r="HU125" s="561"/>
      <c r="HV125" s="561"/>
      <c r="HW125" s="561"/>
      <c r="HX125" s="561"/>
      <c r="HY125" s="561"/>
      <c r="HZ125" s="561"/>
      <c r="IA125" s="561"/>
      <c r="IB125" s="561"/>
      <c r="IC125" s="561"/>
      <c r="ID125" s="561"/>
      <c r="IE125" s="561"/>
      <c r="IF125" s="561"/>
      <c r="IG125" s="561"/>
      <c r="IH125" s="561"/>
      <c r="II125" s="561"/>
      <c r="IJ125" s="561"/>
      <c r="IK125" s="561"/>
      <c r="IL125" s="561"/>
      <c r="IM125" s="561"/>
      <c r="IN125" s="561"/>
      <c r="IO125" s="561"/>
      <c r="IP125" s="561"/>
      <c r="IQ125" s="561"/>
      <c r="IR125" s="561"/>
      <c r="IS125" s="561"/>
      <c r="IT125" s="561"/>
      <c r="IU125" s="561"/>
      <c r="IV125" s="561"/>
      <c r="IW125" s="561"/>
    </row>
    <row r="126" customFormat="false" ht="12.75" hidden="false" customHeight="false" outlineLevel="1" collapsed="false">
      <c r="A126" s="574" t="s">
        <v>1054</v>
      </c>
      <c r="B126" s="575"/>
      <c r="C126" s="576"/>
      <c r="D126" s="554"/>
      <c r="E126" s="555"/>
      <c r="F126" s="556"/>
      <c r="H126" s="577"/>
      <c r="I126" s="558" t="n">
        <f aca="false">IF(D133=0,0,I133/D133)</f>
        <v>1</v>
      </c>
      <c r="J126" s="558" t="n">
        <f aca="false">1-I126</f>
        <v>0</v>
      </c>
      <c r="K126" s="559" t="n">
        <f aca="false">IF(D133=0,0,K133/D133)</f>
        <v>1</v>
      </c>
      <c r="L126" s="559" t="n">
        <f aca="false">1-K126</f>
        <v>0</v>
      </c>
      <c r="M126" s="561"/>
      <c r="N126" s="561"/>
      <c r="O126" s="561"/>
      <c r="P126" s="561"/>
      <c r="Q126" s="561"/>
      <c r="R126" s="561"/>
      <c r="S126" s="561"/>
      <c r="T126" s="561"/>
      <c r="U126" s="561"/>
      <c r="V126" s="561"/>
      <c r="W126" s="561"/>
      <c r="X126" s="561"/>
      <c r="Y126" s="561"/>
      <c r="Z126" s="561"/>
      <c r="AA126" s="561"/>
      <c r="AB126" s="561"/>
      <c r="AC126" s="561"/>
      <c r="AD126" s="561"/>
      <c r="AE126" s="561"/>
      <c r="AF126" s="561"/>
      <c r="AG126" s="561"/>
      <c r="AH126" s="561"/>
      <c r="AI126" s="561"/>
      <c r="AJ126" s="561"/>
      <c r="AK126" s="561"/>
      <c r="AL126" s="561"/>
      <c r="AM126" s="561"/>
      <c r="AN126" s="561"/>
      <c r="AO126" s="561"/>
      <c r="AP126" s="561"/>
      <c r="AQ126" s="561"/>
      <c r="AR126" s="561"/>
      <c r="AS126" s="561"/>
      <c r="AT126" s="561"/>
      <c r="AU126" s="561"/>
      <c r="AV126" s="561"/>
      <c r="AW126" s="561"/>
      <c r="AX126" s="561"/>
      <c r="AY126" s="561"/>
      <c r="AZ126" s="561"/>
      <c r="BA126" s="561"/>
      <c r="BB126" s="561"/>
      <c r="BC126" s="561"/>
      <c r="BD126" s="561"/>
      <c r="BE126" s="561"/>
      <c r="BF126" s="561"/>
      <c r="BG126" s="561"/>
      <c r="BH126" s="561"/>
      <c r="BI126" s="561"/>
      <c r="BJ126" s="561"/>
      <c r="BK126" s="561"/>
      <c r="BL126" s="561"/>
      <c r="BM126" s="561"/>
      <c r="BN126" s="561"/>
      <c r="BO126" s="561"/>
      <c r="BP126" s="561"/>
      <c r="BQ126" s="561"/>
      <c r="BR126" s="561"/>
      <c r="BS126" s="561"/>
      <c r="BT126" s="561"/>
      <c r="BU126" s="561"/>
      <c r="BV126" s="561"/>
      <c r="BW126" s="561"/>
      <c r="BX126" s="561"/>
      <c r="BY126" s="561"/>
      <c r="BZ126" s="561"/>
      <c r="CA126" s="561"/>
      <c r="CB126" s="561"/>
      <c r="CC126" s="561"/>
      <c r="CD126" s="561"/>
      <c r="CE126" s="561"/>
      <c r="CF126" s="561"/>
      <c r="CG126" s="561"/>
      <c r="CH126" s="561"/>
      <c r="CI126" s="561"/>
      <c r="CJ126" s="561"/>
      <c r="CK126" s="561"/>
      <c r="CL126" s="561"/>
      <c r="CM126" s="561"/>
      <c r="CN126" s="561"/>
      <c r="CO126" s="561"/>
      <c r="CP126" s="561"/>
      <c r="CQ126" s="561"/>
      <c r="CR126" s="561"/>
      <c r="CS126" s="561"/>
      <c r="CT126" s="561"/>
      <c r="CU126" s="561"/>
      <c r="CV126" s="561"/>
      <c r="CW126" s="561"/>
      <c r="CX126" s="561"/>
      <c r="CY126" s="561"/>
      <c r="CZ126" s="561"/>
      <c r="DA126" s="561"/>
      <c r="DB126" s="561"/>
      <c r="DC126" s="561"/>
      <c r="DD126" s="561"/>
      <c r="DE126" s="561"/>
      <c r="DF126" s="561"/>
      <c r="DG126" s="561"/>
      <c r="DH126" s="561"/>
      <c r="DI126" s="561"/>
      <c r="DJ126" s="561"/>
      <c r="DK126" s="561"/>
      <c r="DL126" s="561"/>
      <c r="DM126" s="561"/>
      <c r="DN126" s="561"/>
      <c r="DO126" s="561"/>
      <c r="DP126" s="561"/>
      <c r="DQ126" s="561"/>
      <c r="DR126" s="561"/>
      <c r="DS126" s="561"/>
      <c r="DT126" s="561"/>
      <c r="DU126" s="561"/>
      <c r="DV126" s="561"/>
      <c r="DW126" s="561"/>
      <c r="DX126" s="561"/>
      <c r="DY126" s="561"/>
      <c r="DZ126" s="561"/>
      <c r="EA126" s="561"/>
      <c r="EB126" s="561"/>
      <c r="EC126" s="561"/>
      <c r="ED126" s="561"/>
      <c r="EE126" s="561"/>
      <c r="EF126" s="561"/>
      <c r="EG126" s="561"/>
      <c r="EH126" s="561"/>
      <c r="EI126" s="561"/>
      <c r="EJ126" s="561"/>
      <c r="EK126" s="561"/>
      <c r="EL126" s="561"/>
      <c r="EM126" s="561"/>
      <c r="EN126" s="561"/>
      <c r="EO126" s="561"/>
      <c r="EP126" s="561"/>
      <c r="EQ126" s="561"/>
      <c r="ER126" s="561"/>
      <c r="ES126" s="561"/>
      <c r="ET126" s="561"/>
      <c r="EU126" s="561"/>
      <c r="EV126" s="561"/>
      <c r="EW126" s="561"/>
      <c r="EX126" s="561"/>
      <c r="EY126" s="561"/>
      <c r="EZ126" s="561"/>
      <c r="FA126" s="561"/>
      <c r="FB126" s="561"/>
      <c r="FC126" s="561"/>
      <c r="FD126" s="561"/>
      <c r="FE126" s="561"/>
      <c r="FF126" s="561"/>
      <c r="FG126" s="561"/>
      <c r="FH126" s="561"/>
      <c r="FI126" s="561"/>
      <c r="FJ126" s="561"/>
      <c r="FK126" s="561"/>
      <c r="FL126" s="561"/>
      <c r="FM126" s="561"/>
      <c r="FN126" s="561"/>
      <c r="FO126" s="561"/>
      <c r="FP126" s="561"/>
      <c r="FQ126" s="561"/>
      <c r="FR126" s="561"/>
      <c r="FS126" s="561"/>
      <c r="FT126" s="561"/>
      <c r="FU126" s="561"/>
      <c r="FV126" s="561"/>
      <c r="FW126" s="561"/>
      <c r="FX126" s="561"/>
      <c r="FY126" s="561"/>
      <c r="FZ126" s="561"/>
      <c r="GA126" s="561"/>
      <c r="GB126" s="561"/>
      <c r="GC126" s="561"/>
      <c r="GD126" s="561"/>
      <c r="GE126" s="561"/>
      <c r="GF126" s="561"/>
      <c r="GG126" s="561"/>
      <c r="GH126" s="561"/>
      <c r="GI126" s="561"/>
      <c r="GJ126" s="561"/>
      <c r="GK126" s="561"/>
      <c r="GL126" s="561"/>
      <c r="GM126" s="561"/>
      <c r="GN126" s="561"/>
      <c r="GO126" s="561"/>
      <c r="GP126" s="561"/>
      <c r="GQ126" s="561"/>
      <c r="GR126" s="561"/>
      <c r="GS126" s="561"/>
      <c r="GT126" s="561"/>
      <c r="GU126" s="561"/>
      <c r="GV126" s="561"/>
      <c r="GW126" s="561"/>
      <c r="GX126" s="561"/>
      <c r="GY126" s="561"/>
      <c r="GZ126" s="561"/>
      <c r="HA126" s="561"/>
      <c r="HB126" s="561"/>
      <c r="HC126" s="561"/>
      <c r="HD126" s="561"/>
      <c r="HE126" s="561"/>
      <c r="HF126" s="561"/>
      <c r="HG126" s="561"/>
      <c r="HH126" s="561"/>
      <c r="HI126" s="561"/>
      <c r="HJ126" s="561"/>
      <c r="HK126" s="561"/>
      <c r="HL126" s="561"/>
      <c r="HM126" s="561"/>
      <c r="HN126" s="561"/>
      <c r="HO126" s="561"/>
      <c r="HP126" s="561"/>
      <c r="HQ126" s="561"/>
      <c r="HR126" s="561"/>
      <c r="HS126" s="561"/>
      <c r="HT126" s="561"/>
      <c r="HU126" s="561"/>
      <c r="HV126" s="561"/>
      <c r="HW126" s="561"/>
      <c r="HX126" s="561"/>
      <c r="HY126" s="561"/>
      <c r="HZ126" s="561"/>
      <c r="IA126" s="561"/>
      <c r="IB126" s="561"/>
      <c r="IC126" s="561"/>
      <c r="ID126" s="561"/>
      <c r="IE126" s="561"/>
      <c r="IF126" s="561"/>
      <c r="IG126" s="561"/>
      <c r="IH126" s="561"/>
      <c r="II126" s="561"/>
      <c r="IJ126" s="561"/>
      <c r="IK126" s="561"/>
      <c r="IL126" s="561"/>
      <c r="IM126" s="561"/>
      <c r="IN126" s="561"/>
      <c r="IO126" s="561"/>
      <c r="IP126" s="561"/>
      <c r="IQ126" s="561"/>
      <c r="IR126" s="561"/>
      <c r="IS126" s="561"/>
      <c r="IT126" s="561"/>
      <c r="IU126" s="561"/>
      <c r="IV126" s="561"/>
      <c r="IW126" s="561"/>
    </row>
    <row r="127" customFormat="false" ht="12.75" hidden="false" customHeight="false" outlineLevel="2" collapsed="false">
      <c r="A127" s="316"/>
      <c r="B127" s="569" t="str">
        <f aca="false">'Plant Configuration'!C166</f>
        <v>Paint &amp; Materials</v>
      </c>
      <c r="C127" s="44"/>
      <c r="D127" s="578" t="n">
        <f aca="false">IF($O$7=6,0,HLOOKUP($D$5,Plant_Configuration,'Plant Configuration'!A166,FALSE()))+IF($R$7=6,0,HLOOKUP($E$5,Plant_Configuration,'Plant Configuration'!A166,FALSE()))+IF($U$7=6,0,HLOOKUP($F$5,Plant_Configuration,'Plant Configuration'!A166,FALSE()))</f>
        <v>31099.627690916</v>
      </c>
      <c r="E127" s="342" t="n">
        <v>0</v>
      </c>
      <c r="F127" s="566" t="n">
        <v>1</v>
      </c>
      <c r="H127" s="316" t="s">
        <v>1055</v>
      </c>
      <c r="I127" s="567" t="n">
        <f aca="false">D127-J127</f>
        <v>31099.627690916</v>
      </c>
      <c r="J127" s="567" t="n">
        <f aca="false">E127*D127</f>
        <v>0</v>
      </c>
      <c r="K127" s="317" t="n">
        <f aca="false">F127*D127</f>
        <v>31099.627690916</v>
      </c>
      <c r="L127" s="317" t="n">
        <f aca="false">D127-K127</f>
        <v>0</v>
      </c>
      <c r="N127" s="45"/>
      <c r="O127" s="45"/>
    </row>
    <row r="128" customFormat="false" ht="12.75" hidden="false" customHeight="false" outlineLevel="2" collapsed="false">
      <c r="A128" s="316"/>
      <c r="B128" s="569" t="str">
        <f aca="false">'Plant Configuration'!C167</f>
        <v>Technical/Professional Services</v>
      </c>
      <c r="C128" s="44"/>
      <c r="D128" s="578" t="n">
        <f aca="false">IF($O$7=6,0,HLOOKUP($D$5,Plant_Configuration,'Plant Configuration'!A167,FALSE()))+IF($R$7=6,0,HLOOKUP($E$5,Plant_Configuration,'Plant Configuration'!A167,FALSE()))+IF($U$7=6,0,HLOOKUP($F$5,Plant_Configuration,'Plant Configuration'!A167,FALSE()))</f>
        <v>12439.8510763664</v>
      </c>
      <c r="E128" s="342" t="n">
        <v>0</v>
      </c>
      <c r="F128" s="566" t="n">
        <v>1</v>
      </c>
      <c r="H128" s="316" t="s">
        <v>1056</v>
      </c>
      <c r="I128" s="567" t="n">
        <f aca="false">D128-J128</f>
        <v>12439.8510763664</v>
      </c>
      <c r="J128" s="567" t="n">
        <f aca="false">E128*D128</f>
        <v>0</v>
      </c>
      <c r="K128" s="317" t="n">
        <f aca="false">F128*D128</f>
        <v>12439.8510763664</v>
      </c>
      <c r="L128" s="317"/>
      <c r="N128" s="45"/>
      <c r="O128" s="45"/>
    </row>
    <row r="129" customFormat="false" ht="12.75" hidden="false" customHeight="false" outlineLevel="2" collapsed="false">
      <c r="A129" s="316"/>
      <c r="B129" s="569" t="str">
        <f aca="false">'Plant Configuration'!C168</f>
        <v>Outside Contract Services</v>
      </c>
      <c r="C129" s="44"/>
      <c r="D129" s="578" t="n">
        <f aca="false">IF($O$7=6,0,HLOOKUP($D$5,Plant_Configuration,'Plant Configuration'!A168,FALSE()))+IF($R$7=6,0,HLOOKUP($E$5,Plant_Configuration,'Plant Configuration'!A168,FALSE()))+IF($U$7=6,0,HLOOKUP($F$5,Plant_Configuration,'Plant Configuration'!A168,FALSE()))</f>
        <v>12439.8510763664</v>
      </c>
      <c r="E129" s="342" t="n">
        <v>0</v>
      </c>
      <c r="F129" s="566" t="n">
        <v>1</v>
      </c>
      <c r="H129" s="435" t="s">
        <v>1057</v>
      </c>
      <c r="I129" s="567" t="n">
        <f aca="false">D129-J129</f>
        <v>12439.8510763664</v>
      </c>
      <c r="J129" s="567" t="n">
        <f aca="false">E129*D129</f>
        <v>0</v>
      </c>
      <c r="K129" s="317" t="n">
        <f aca="false">F129*D129</f>
        <v>12439.8510763664</v>
      </c>
      <c r="L129" s="317"/>
      <c r="N129" s="45"/>
      <c r="O129" s="45"/>
    </row>
    <row r="130" customFormat="false" ht="12.75" hidden="false" customHeight="false" outlineLevel="2" collapsed="false">
      <c r="A130" s="316"/>
      <c r="B130" s="569" t="str">
        <f aca="false">'Plant Configuration'!C169</f>
        <v>Equipment rental</v>
      </c>
      <c r="C130" s="44"/>
      <c r="D130" s="578" t="n">
        <f aca="false">IF($O$7=6,0,HLOOKUP($D$5,Plant_Configuration,'Plant Configuration'!A169,FALSE()))+IF($R$7=6,0,HLOOKUP($E$5,Plant_Configuration,'Plant Configuration'!A169,FALSE()))+IF($U$7=6,0,HLOOKUP($F$5,Plant_Configuration,'Plant Configuration'!A169,FALSE()))</f>
        <v>6219.92553818321</v>
      </c>
      <c r="E130" s="342" t="n">
        <v>0</v>
      </c>
      <c r="F130" s="566" t="n">
        <v>1</v>
      </c>
      <c r="H130" s="316"/>
      <c r="I130" s="567" t="n">
        <f aca="false">D130-J130</f>
        <v>6219.92553818321</v>
      </c>
      <c r="J130" s="567" t="n">
        <f aca="false">E130*D130</f>
        <v>0</v>
      </c>
      <c r="K130" s="317" t="n">
        <f aca="false">F130*D130</f>
        <v>6219.92553818321</v>
      </c>
      <c r="L130" s="317"/>
      <c r="O130" s="45"/>
    </row>
    <row r="131" customFormat="false" ht="12.75" hidden="false" customHeight="false" outlineLevel="2" collapsed="false">
      <c r="A131" s="316"/>
      <c r="B131" s="569" t="str">
        <f aca="false">'Plant Configuration'!C170</f>
        <v>Miscellaneous</v>
      </c>
      <c r="C131" s="44"/>
      <c r="D131" s="578" t="n">
        <f aca="false">IF($O$7=6,0,HLOOKUP($D$5,Plant_Configuration,'Plant Configuration'!A170,FALSE()))+IF($R$7=6,0,HLOOKUP($E$5,Plant_Configuration,'Plant Configuration'!A170,FALSE()))+IF($U$7=6,0,HLOOKUP($F$5,Plant_Configuration,'Plant Configuration'!A170,FALSE()))</f>
        <v>0</v>
      </c>
      <c r="E131" s="342" t="n">
        <v>0</v>
      </c>
      <c r="F131" s="566" t="n">
        <v>1</v>
      </c>
      <c r="H131" s="316"/>
      <c r="I131" s="567" t="n">
        <f aca="false">D131-J131</f>
        <v>0</v>
      </c>
      <c r="J131" s="567" t="n">
        <f aca="false">E131*D131</f>
        <v>0</v>
      </c>
      <c r="K131" s="317" t="n">
        <f aca="false">F131*D131</f>
        <v>0</v>
      </c>
      <c r="L131" s="317"/>
      <c r="N131" s="45"/>
      <c r="O131" s="45"/>
    </row>
    <row r="132" customFormat="false" ht="12.75" hidden="false" customHeight="false" outlineLevel="2" collapsed="false">
      <c r="A132" s="316"/>
      <c r="B132" s="569" t="str">
        <f aca="false">'Plant Configuration'!C171</f>
        <v>Other</v>
      </c>
      <c r="C132" s="44"/>
      <c r="D132" s="578" t="n">
        <f aca="false">IF($O$7=6,0,HLOOKUP($D$5,Plant_Configuration,'Plant Configuration'!A171,FALSE()))+IF($R$7=6,0,HLOOKUP($E$5,Plant_Configuration,'Plant Configuration'!A171,FALSE()))+IF($U$7=6,0,HLOOKUP($F$5,Plant_Configuration,'Plant Configuration'!A171,FALSE()))</f>
        <v>0</v>
      </c>
      <c r="E132" s="342" t="n">
        <v>0</v>
      </c>
      <c r="F132" s="566" t="n">
        <v>1</v>
      </c>
      <c r="H132" s="316"/>
      <c r="I132" s="567" t="n">
        <f aca="false">D132-J132</f>
        <v>0</v>
      </c>
      <c r="J132" s="567" t="n">
        <f aca="false">E132*D132</f>
        <v>0</v>
      </c>
      <c r="K132" s="317"/>
      <c r="L132" s="317"/>
      <c r="N132" s="45"/>
      <c r="O132" s="45"/>
    </row>
    <row r="133" customFormat="false" ht="12.75" hidden="false" customHeight="false" outlineLevel="1" collapsed="false">
      <c r="A133" s="579"/>
      <c r="B133" s="570" t="s">
        <v>431</v>
      </c>
      <c r="C133" s="0"/>
      <c r="D133" s="571" t="n">
        <f aca="false">SUBTOTAL(9,D127:D132)</f>
        <v>62199.2553818321</v>
      </c>
      <c r="E133" s="572"/>
      <c r="F133" s="573"/>
      <c r="H133" s="316" t="s">
        <v>1039</v>
      </c>
      <c r="I133" s="571" t="n">
        <f aca="false">SUBTOTAL(9,I127:I131)</f>
        <v>62199.2553818321</v>
      </c>
      <c r="J133" s="571" t="n">
        <f aca="false">SUBTOTAL(9,J127:J131)</f>
        <v>0</v>
      </c>
      <c r="K133" s="571" t="n">
        <f aca="false">SUBTOTAL(9,K127:K131)</f>
        <v>62199.2553818321</v>
      </c>
      <c r="L133" s="571" t="n">
        <f aca="false">SUBTOTAL(9,L127:L131)</f>
        <v>0</v>
      </c>
      <c r="M133" s="561"/>
      <c r="N133" s="45"/>
      <c r="O133" s="561"/>
      <c r="P133" s="561"/>
      <c r="Q133" s="561"/>
      <c r="R133" s="561"/>
      <c r="S133" s="561"/>
      <c r="T133" s="561"/>
      <c r="U133" s="561"/>
      <c r="V133" s="561"/>
      <c r="W133" s="561"/>
      <c r="X133" s="561"/>
      <c r="Y133" s="561"/>
      <c r="Z133" s="561"/>
      <c r="AA133" s="561"/>
      <c r="AB133" s="561"/>
      <c r="AC133" s="561"/>
      <c r="AD133" s="561"/>
      <c r="AE133" s="561"/>
      <c r="AF133" s="561"/>
      <c r="AG133" s="561"/>
      <c r="AH133" s="561"/>
      <c r="AI133" s="561"/>
      <c r="AJ133" s="561"/>
      <c r="AK133" s="561"/>
      <c r="AL133" s="561"/>
      <c r="AM133" s="561"/>
      <c r="AN133" s="561"/>
      <c r="AO133" s="561"/>
      <c r="AP133" s="561"/>
      <c r="AQ133" s="561"/>
      <c r="AR133" s="561"/>
      <c r="AS133" s="561"/>
      <c r="AT133" s="561"/>
      <c r="AU133" s="561"/>
      <c r="AV133" s="561"/>
      <c r="AW133" s="561"/>
      <c r="AX133" s="561"/>
      <c r="AY133" s="561"/>
      <c r="AZ133" s="561"/>
      <c r="BA133" s="561"/>
      <c r="BB133" s="561"/>
      <c r="BC133" s="561"/>
      <c r="BD133" s="561"/>
      <c r="BE133" s="561"/>
      <c r="BF133" s="561"/>
      <c r="BG133" s="561"/>
      <c r="BH133" s="561"/>
      <c r="BI133" s="561"/>
      <c r="BJ133" s="561"/>
      <c r="BK133" s="561"/>
      <c r="BL133" s="561"/>
      <c r="BM133" s="561"/>
      <c r="BN133" s="561"/>
      <c r="BO133" s="561"/>
      <c r="BP133" s="561"/>
      <c r="BQ133" s="561"/>
      <c r="BR133" s="561"/>
      <c r="BS133" s="561"/>
      <c r="BT133" s="561"/>
      <c r="BU133" s="561"/>
      <c r="BV133" s="561"/>
      <c r="BW133" s="561"/>
      <c r="BX133" s="561"/>
      <c r="BY133" s="561"/>
      <c r="BZ133" s="561"/>
      <c r="CA133" s="561"/>
      <c r="CB133" s="561"/>
      <c r="CC133" s="561"/>
      <c r="CD133" s="561"/>
      <c r="CE133" s="561"/>
      <c r="CF133" s="561"/>
      <c r="CG133" s="561"/>
      <c r="CH133" s="561"/>
      <c r="CI133" s="561"/>
      <c r="CJ133" s="561"/>
      <c r="CK133" s="561"/>
      <c r="CL133" s="561"/>
      <c r="CM133" s="561"/>
      <c r="CN133" s="561"/>
      <c r="CO133" s="561"/>
      <c r="CP133" s="561"/>
      <c r="CQ133" s="561"/>
      <c r="CR133" s="561"/>
      <c r="CS133" s="561"/>
      <c r="CT133" s="561"/>
      <c r="CU133" s="561"/>
      <c r="CV133" s="561"/>
      <c r="CW133" s="561"/>
      <c r="CX133" s="561"/>
      <c r="CY133" s="561"/>
      <c r="CZ133" s="561"/>
      <c r="DA133" s="561"/>
      <c r="DB133" s="561"/>
      <c r="DC133" s="561"/>
      <c r="DD133" s="561"/>
      <c r="DE133" s="561"/>
      <c r="DF133" s="561"/>
      <c r="DG133" s="561"/>
      <c r="DH133" s="561"/>
      <c r="DI133" s="561"/>
      <c r="DJ133" s="561"/>
      <c r="DK133" s="561"/>
      <c r="DL133" s="561"/>
      <c r="DM133" s="561"/>
      <c r="DN133" s="561"/>
      <c r="DO133" s="561"/>
      <c r="DP133" s="561"/>
      <c r="DQ133" s="561"/>
      <c r="DR133" s="561"/>
      <c r="DS133" s="561"/>
      <c r="DT133" s="561"/>
      <c r="DU133" s="561"/>
      <c r="DV133" s="561"/>
      <c r="DW133" s="561"/>
      <c r="DX133" s="561"/>
      <c r="DY133" s="561"/>
      <c r="DZ133" s="561"/>
      <c r="EA133" s="561"/>
      <c r="EB133" s="561"/>
      <c r="EC133" s="561"/>
      <c r="ED133" s="561"/>
      <c r="EE133" s="561"/>
      <c r="EF133" s="561"/>
      <c r="EG133" s="561"/>
      <c r="EH133" s="561"/>
      <c r="EI133" s="561"/>
      <c r="EJ133" s="561"/>
      <c r="EK133" s="561"/>
      <c r="EL133" s="561"/>
      <c r="EM133" s="561"/>
      <c r="EN133" s="561"/>
      <c r="EO133" s="561"/>
      <c r="EP133" s="561"/>
      <c r="EQ133" s="561"/>
      <c r="ER133" s="561"/>
      <c r="ES133" s="561"/>
      <c r="ET133" s="561"/>
      <c r="EU133" s="561"/>
      <c r="EV133" s="561"/>
      <c r="EW133" s="561"/>
      <c r="EX133" s="561"/>
      <c r="EY133" s="561"/>
      <c r="EZ133" s="561"/>
      <c r="FA133" s="561"/>
      <c r="FB133" s="561"/>
      <c r="FC133" s="561"/>
      <c r="FD133" s="561"/>
      <c r="FE133" s="561"/>
      <c r="FF133" s="561"/>
      <c r="FG133" s="561"/>
      <c r="FH133" s="561"/>
      <c r="FI133" s="561"/>
      <c r="FJ133" s="561"/>
      <c r="FK133" s="561"/>
      <c r="FL133" s="561"/>
      <c r="FM133" s="561"/>
      <c r="FN133" s="561"/>
      <c r="FO133" s="561"/>
      <c r="FP133" s="561"/>
      <c r="FQ133" s="561"/>
      <c r="FR133" s="561"/>
      <c r="FS133" s="561"/>
      <c r="FT133" s="561"/>
      <c r="FU133" s="561"/>
      <c r="FV133" s="561"/>
      <c r="FW133" s="561"/>
      <c r="FX133" s="561"/>
      <c r="FY133" s="561"/>
      <c r="FZ133" s="561"/>
      <c r="GA133" s="561"/>
      <c r="GB133" s="561"/>
      <c r="GC133" s="561"/>
      <c r="GD133" s="561"/>
      <c r="GE133" s="561"/>
      <c r="GF133" s="561"/>
      <c r="GG133" s="561"/>
      <c r="GH133" s="561"/>
      <c r="GI133" s="561"/>
      <c r="GJ133" s="561"/>
      <c r="GK133" s="561"/>
      <c r="GL133" s="561"/>
      <c r="GM133" s="561"/>
      <c r="GN133" s="561"/>
      <c r="GO133" s="561"/>
      <c r="GP133" s="561"/>
      <c r="GQ133" s="561"/>
      <c r="GR133" s="561"/>
      <c r="GS133" s="561"/>
      <c r="GT133" s="561"/>
      <c r="GU133" s="561"/>
      <c r="GV133" s="561"/>
      <c r="GW133" s="561"/>
      <c r="GX133" s="561"/>
      <c r="GY133" s="561"/>
      <c r="GZ133" s="561"/>
      <c r="HA133" s="561"/>
      <c r="HB133" s="561"/>
      <c r="HC133" s="561"/>
      <c r="HD133" s="561"/>
      <c r="HE133" s="561"/>
      <c r="HF133" s="561"/>
      <c r="HG133" s="561"/>
      <c r="HH133" s="561"/>
      <c r="HI133" s="561"/>
      <c r="HJ133" s="561"/>
      <c r="HK133" s="561"/>
      <c r="HL133" s="561"/>
      <c r="HM133" s="561"/>
      <c r="HN133" s="561"/>
      <c r="HO133" s="561"/>
      <c r="HP133" s="561"/>
      <c r="HQ133" s="561"/>
      <c r="HR133" s="561"/>
      <c r="HS133" s="561"/>
      <c r="HT133" s="561"/>
      <c r="HU133" s="561"/>
      <c r="HV133" s="561"/>
      <c r="HW133" s="561"/>
      <c r="HX133" s="561"/>
      <c r="HY133" s="561"/>
      <c r="HZ133" s="561"/>
      <c r="IA133" s="561"/>
      <c r="IB133" s="561"/>
      <c r="IC133" s="561"/>
      <c r="ID133" s="561"/>
      <c r="IE133" s="561"/>
      <c r="IF133" s="561"/>
      <c r="IG133" s="561"/>
      <c r="IH133" s="561"/>
      <c r="II133" s="561"/>
      <c r="IJ133" s="561"/>
      <c r="IK133" s="561"/>
      <c r="IL133" s="561"/>
      <c r="IM133" s="561"/>
      <c r="IN133" s="561"/>
      <c r="IO133" s="561"/>
      <c r="IP133" s="561"/>
      <c r="IQ133" s="561"/>
      <c r="IR133" s="561"/>
      <c r="IS133" s="561"/>
      <c r="IT133" s="561"/>
      <c r="IU133" s="561"/>
      <c r="IV133" s="561"/>
      <c r="IW133" s="561"/>
    </row>
    <row r="134" customFormat="false" ht="12.75" hidden="false" customHeight="false" outlineLevel="1" collapsed="false">
      <c r="A134" s="574" t="s">
        <v>1058</v>
      </c>
      <c r="B134" s="575"/>
      <c r="C134" s="576"/>
      <c r="D134" s="554"/>
      <c r="E134" s="555"/>
      <c r="F134" s="556"/>
      <c r="H134" s="577"/>
      <c r="I134" s="558" t="n">
        <f aca="false">IF(D143=0,0,I143/D143)</f>
        <v>1</v>
      </c>
      <c r="J134" s="558" t="n">
        <f aca="false">1-I134</f>
        <v>0</v>
      </c>
      <c r="K134" s="559" t="n">
        <f aca="false">IF(D143=0,0,K143/D143)</f>
        <v>1</v>
      </c>
      <c r="L134" s="559" t="n">
        <f aca="false">1-K134</f>
        <v>0</v>
      </c>
      <c r="M134" s="561"/>
      <c r="N134" s="561"/>
      <c r="O134" s="561"/>
      <c r="P134" s="561"/>
      <c r="Q134" s="561"/>
      <c r="R134" s="561"/>
      <c r="S134" s="561"/>
      <c r="T134" s="561"/>
      <c r="U134" s="561"/>
      <c r="V134" s="561"/>
      <c r="W134" s="561"/>
      <c r="X134" s="561"/>
      <c r="Y134" s="561"/>
      <c r="Z134" s="561"/>
      <c r="AA134" s="561"/>
      <c r="AB134" s="561"/>
      <c r="AC134" s="561"/>
      <c r="AD134" s="561"/>
      <c r="AE134" s="561"/>
      <c r="AF134" s="561"/>
      <c r="AG134" s="561"/>
      <c r="AH134" s="561"/>
      <c r="AI134" s="561"/>
      <c r="AJ134" s="561"/>
      <c r="AK134" s="561"/>
      <c r="AL134" s="561"/>
      <c r="AM134" s="561"/>
      <c r="AN134" s="561"/>
      <c r="AO134" s="561"/>
      <c r="AP134" s="561"/>
      <c r="AQ134" s="561"/>
      <c r="AR134" s="561"/>
      <c r="AS134" s="561"/>
      <c r="AT134" s="561"/>
      <c r="AU134" s="561"/>
      <c r="AV134" s="561"/>
      <c r="AW134" s="561"/>
      <c r="AX134" s="561"/>
      <c r="AY134" s="561"/>
      <c r="AZ134" s="561"/>
      <c r="BA134" s="561"/>
      <c r="BB134" s="561"/>
      <c r="BC134" s="561"/>
      <c r="BD134" s="561"/>
      <c r="BE134" s="561"/>
      <c r="BF134" s="561"/>
      <c r="BG134" s="561"/>
      <c r="BH134" s="561"/>
      <c r="BI134" s="561"/>
      <c r="BJ134" s="561"/>
      <c r="BK134" s="561"/>
      <c r="BL134" s="561"/>
      <c r="BM134" s="561"/>
      <c r="BN134" s="561"/>
      <c r="BO134" s="561"/>
      <c r="BP134" s="561"/>
      <c r="BQ134" s="561"/>
      <c r="BR134" s="561"/>
      <c r="BS134" s="561"/>
      <c r="BT134" s="561"/>
      <c r="BU134" s="561"/>
      <c r="BV134" s="561"/>
      <c r="BW134" s="561"/>
      <c r="BX134" s="561"/>
      <c r="BY134" s="561"/>
      <c r="BZ134" s="561"/>
      <c r="CA134" s="561"/>
      <c r="CB134" s="561"/>
      <c r="CC134" s="561"/>
      <c r="CD134" s="561"/>
      <c r="CE134" s="561"/>
      <c r="CF134" s="561"/>
      <c r="CG134" s="561"/>
      <c r="CH134" s="561"/>
      <c r="CI134" s="561"/>
      <c r="CJ134" s="561"/>
      <c r="CK134" s="561"/>
      <c r="CL134" s="561"/>
      <c r="CM134" s="561"/>
      <c r="CN134" s="561"/>
      <c r="CO134" s="561"/>
      <c r="CP134" s="561"/>
      <c r="CQ134" s="561"/>
      <c r="CR134" s="561"/>
      <c r="CS134" s="561"/>
      <c r="CT134" s="561"/>
      <c r="CU134" s="561"/>
      <c r="CV134" s="561"/>
      <c r="CW134" s="561"/>
      <c r="CX134" s="561"/>
      <c r="CY134" s="561"/>
      <c r="CZ134" s="561"/>
      <c r="DA134" s="561"/>
      <c r="DB134" s="561"/>
      <c r="DC134" s="561"/>
      <c r="DD134" s="561"/>
      <c r="DE134" s="561"/>
      <c r="DF134" s="561"/>
      <c r="DG134" s="561"/>
      <c r="DH134" s="561"/>
      <c r="DI134" s="561"/>
      <c r="DJ134" s="561"/>
      <c r="DK134" s="561"/>
      <c r="DL134" s="561"/>
      <c r="DM134" s="561"/>
      <c r="DN134" s="561"/>
      <c r="DO134" s="561"/>
      <c r="DP134" s="561"/>
      <c r="DQ134" s="561"/>
      <c r="DR134" s="561"/>
      <c r="DS134" s="561"/>
      <c r="DT134" s="561"/>
      <c r="DU134" s="561"/>
      <c r="DV134" s="561"/>
      <c r="DW134" s="561"/>
      <c r="DX134" s="561"/>
      <c r="DY134" s="561"/>
      <c r="DZ134" s="561"/>
      <c r="EA134" s="561"/>
      <c r="EB134" s="561"/>
      <c r="EC134" s="561"/>
      <c r="ED134" s="561"/>
      <c r="EE134" s="561"/>
      <c r="EF134" s="561"/>
      <c r="EG134" s="561"/>
      <c r="EH134" s="561"/>
      <c r="EI134" s="561"/>
      <c r="EJ134" s="561"/>
      <c r="EK134" s="561"/>
      <c r="EL134" s="561"/>
      <c r="EM134" s="561"/>
      <c r="EN134" s="561"/>
      <c r="EO134" s="561"/>
      <c r="EP134" s="561"/>
      <c r="EQ134" s="561"/>
      <c r="ER134" s="561"/>
      <c r="ES134" s="561"/>
      <c r="ET134" s="561"/>
      <c r="EU134" s="561"/>
      <c r="EV134" s="561"/>
      <c r="EW134" s="561"/>
      <c r="EX134" s="561"/>
      <c r="EY134" s="561"/>
      <c r="EZ134" s="561"/>
      <c r="FA134" s="561"/>
      <c r="FB134" s="561"/>
      <c r="FC134" s="561"/>
      <c r="FD134" s="561"/>
      <c r="FE134" s="561"/>
      <c r="FF134" s="561"/>
      <c r="FG134" s="561"/>
      <c r="FH134" s="561"/>
      <c r="FI134" s="561"/>
      <c r="FJ134" s="561"/>
      <c r="FK134" s="561"/>
      <c r="FL134" s="561"/>
      <c r="FM134" s="561"/>
      <c r="FN134" s="561"/>
      <c r="FO134" s="561"/>
      <c r="FP134" s="561"/>
      <c r="FQ134" s="561"/>
      <c r="FR134" s="561"/>
      <c r="FS134" s="561"/>
      <c r="FT134" s="561"/>
      <c r="FU134" s="561"/>
      <c r="FV134" s="561"/>
      <c r="FW134" s="561"/>
      <c r="FX134" s="561"/>
      <c r="FY134" s="561"/>
      <c r="FZ134" s="561"/>
      <c r="GA134" s="561"/>
      <c r="GB134" s="561"/>
      <c r="GC134" s="561"/>
      <c r="GD134" s="561"/>
      <c r="GE134" s="561"/>
      <c r="GF134" s="561"/>
      <c r="GG134" s="561"/>
      <c r="GH134" s="561"/>
      <c r="GI134" s="561"/>
      <c r="GJ134" s="561"/>
      <c r="GK134" s="561"/>
      <c r="GL134" s="561"/>
      <c r="GM134" s="561"/>
      <c r="GN134" s="561"/>
      <c r="GO134" s="561"/>
      <c r="GP134" s="561"/>
      <c r="GQ134" s="561"/>
      <c r="GR134" s="561"/>
      <c r="GS134" s="561"/>
      <c r="GT134" s="561"/>
      <c r="GU134" s="561"/>
      <c r="GV134" s="561"/>
      <c r="GW134" s="561"/>
      <c r="GX134" s="561"/>
      <c r="GY134" s="561"/>
      <c r="GZ134" s="561"/>
      <c r="HA134" s="561"/>
      <c r="HB134" s="561"/>
      <c r="HC134" s="561"/>
      <c r="HD134" s="561"/>
      <c r="HE134" s="561"/>
      <c r="HF134" s="561"/>
      <c r="HG134" s="561"/>
      <c r="HH134" s="561"/>
      <c r="HI134" s="561"/>
      <c r="HJ134" s="561"/>
      <c r="HK134" s="561"/>
      <c r="HL134" s="561"/>
      <c r="HM134" s="561"/>
      <c r="HN134" s="561"/>
      <c r="HO134" s="561"/>
      <c r="HP134" s="561"/>
      <c r="HQ134" s="561"/>
      <c r="HR134" s="561"/>
      <c r="HS134" s="561"/>
      <c r="HT134" s="561"/>
      <c r="HU134" s="561"/>
      <c r="HV134" s="561"/>
      <c r="HW134" s="561"/>
      <c r="HX134" s="561"/>
      <c r="HY134" s="561"/>
      <c r="HZ134" s="561"/>
      <c r="IA134" s="561"/>
      <c r="IB134" s="561"/>
      <c r="IC134" s="561"/>
      <c r="ID134" s="561"/>
      <c r="IE134" s="561"/>
      <c r="IF134" s="561"/>
      <c r="IG134" s="561"/>
      <c r="IH134" s="561"/>
      <c r="II134" s="561"/>
      <c r="IJ134" s="561"/>
      <c r="IK134" s="561"/>
      <c r="IL134" s="561"/>
      <c r="IM134" s="561"/>
      <c r="IN134" s="561"/>
      <c r="IO134" s="561"/>
      <c r="IP134" s="561"/>
      <c r="IQ134" s="561"/>
      <c r="IR134" s="561"/>
      <c r="IS134" s="561"/>
      <c r="IT134" s="561"/>
      <c r="IU134" s="561"/>
      <c r="IV134" s="561"/>
      <c r="IW134" s="561"/>
    </row>
    <row r="135" customFormat="false" ht="12.75" hidden="false" customHeight="false" outlineLevel="2" collapsed="false">
      <c r="A135" s="316"/>
      <c r="B135" s="569" t="str">
        <f aca="false">'Plant Configuration'!C174</f>
        <v>Repair Parts</v>
      </c>
      <c r="C135" s="44"/>
      <c r="D135" s="578" t="n">
        <f aca="false">IF($O$7=6,0,HLOOKUP($D$5,Plant_Configuration,'Plant Configuration'!A174,FALSE()))+IF($R$7=6,0,HLOOKUP($E$5,Plant_Configuration,'Plant Configuration'!A174,FALSE()))+IF($U$7=6,0,HLOOKUP($F$5,Plant_Configuration,'Plant Configuration'!A174,FALSE()))</f>
        <v>6666.66666666667</v>
      </c>
      <c r="E135" s="342" t="n">
        <v>0</v>
      </c>
      <c r="F135" s="566" t="n">
        <v>1</v>
      </c>
      <c r="H135" s="316" t="s">
        <v>1059</v>
      </c>
      <c r="I135" s="567" t="n">
        <f aca="false">D135-J135</f>
        <v>6666.66666666667</v>
      </c>
      <c r="J135" s="567" t="n">
        <f aca="false">E135*D135</f>
        <v>0</v>
      </c>
      <c r="K135" s="317" t="n">
        <f aca="false">F135*D135</f>
        <v>6666.66666666667</v>
      </c>
      <c r="L135" s="317" t="n">
        <f aca="false">D135-K135</f>
        <v>0</v>
      </c>
      <c r="N135" s="45"/>
      <c r="O135" s="45"/>
    </row>
    <row r="136" customFormat="false" ht="12.75" hidden="false" customHeight="false" outlineLevel="2" collapsed="false">
      <c r="A136" s="316"/>
      <c r="B136" s="569" t="str">
        <f aca="false">'Plant Configuration'!C175</f>
        <v>Outside Repair Services</v>
      </c>
      <c r="C136" s="44"/>
      <c r="D136" s="578" t="n">
        <f aca="false">IF($O$7=6,0,HLOOKUP($D$5,Plant_Configuration,'Plant Configuration'!A175,FALSE()))+IF($R$7=6,0,HLOOKUP($E$5,Plant_Configuration,'Plant Configuration'!A175,FALSE()))+IF($U$7=6,0,HLOOKUP($F$5,Plant_Configuration,'Plant Configuration'!A175,FALSE()))</f>
        <v>2666.66666666667</v>
      </c>
      <c r="E136" s="342" t="n">
        <v>0</v>
      </c>
      <c r="F136" s="566" t="n">
        <v>1</v>
      </c>
      <c r="H136" s="316" t="s">
        <v>1060</v>
      </c>
      <c r="I136" s="567" t="n">
        <f aca="false">D136-J136</f>
        <v>2666.66666666667</v>
      </c>
      <c r="J136" s="567" t="n">
        <f aca="false">E136*D136</f>
        <v>0</v>
      </c>
      <c r="K136" s="317" t="n">
        <f aca="false">F136*D136</f>
        <v>2666.66666666667</v>
      </c>
      <c r="L136" s="317" t="n">
        <f aca="false">D136-K136</f>
        <v>0</v>
      </c>
      <c r="N136" s="45"/>
      <c r="O136" s="45"/>
    </row>
    <row r="137" customFormat="false" ht="12.75" hidden="false" customHeight="false" outlineLevel="2" collapsed="false">
      <c r="A137" s="316"/>
      <c r="B137" s="569" t="str">
        <f aca="false">'Plant Configuration'!C176</f>
        <v>Technical/Professional Services</v>
      </c>
      <c r="C137" s="44"/>
      <c r="D137" s="578" t="n">
        <f aca="false">IF($O$7=6,0,HLOOKUP($D$5,Plant_Configuration,'Plant Configuration'!A176,FALSE()))+IF($R$7=6,0,HLOOKUP($E$5,Plant_Configuration,'Plant Configuration'!A176,FALSE()))+IF($U$7=6,0,HLOOKUP($F$5,Plant_Configuration,'Plant Configuration'!A176,FALSE()))</f>
        <v>1333.33333333333</v>
      </c>
      <c r="E137" s="342" t="n">
        <v>0</v>
      </c>
      <c r="F137" s="566" t="n">
        <v>1</v>
      </c>
      <c r="H137" s="435" t="s">
        <v>1057</v>
      </c>
      <c r="I137" s="567" t="n">
        <f aca="false">D137-J137</f>
        <v>1333.33333333333</v>
      </c>
      <c r="J137" s="567" t="n">
        <f aca="false">E137*D137</f>
        <v>0</v>
      </c>
      <c r="K137" s="317" t="n">
        <f aca="false">F137*D137</f>
        <v>1333.33333333333</v>
      </c>
      <c r="L137" s="317" t="n">
        <f aca="false">D137-K137</f>
        <v>0</v>
      </c>
      <c r="N137" s="45"/>
      <c r="O137" s="45"/>
    </row>
    <row r="138" customFormat="false" ht="12.75" hidden="false" customHeight="false" outlineLevel="2" collapsed="false">
      <c r="A138" s="316"/>
      <c r="B138" s="569" t="str">
        <f aca="false">'Plant Configuration'!C177</f>
        <v>Outside Contract Services</v>
      </c>
      <c r="C138" s="44"/>
      <c r="D138" s="578" t="n">
        <f aca="false">IF($O$7=6,0,HLOOKUP($D$5,Plant_Configuration,'Plant Configuration'!A177,FALSE()))+IF($R$7=6,0,HLOOKUP($E$5,Plant_Configuration,'Plant Configuration'!A177,FALSE()))+IF($U$7=6,0,HLOOKUP($F$5,Plant_Configuration,'Plant Configuration'!A177,FALSE()))</f>
        <v>2000</v>
      </c>
      <c r="E138" s="342" t="n">
        <v>0</v>
      </c>
      <c r="F138" s="566" t="n">
        <v>1</v>
      </c>
      <c r="H138" s="316"/>
      <c r="I138" s="567" t="n">
        <f aca="false">D138-J138</f>
        <v>2000</v>
      </c>
      <c r="J138" s="567" t="n">
        <f aca="false">E138*D138</f>
        <v>0</v>
      </c>
      <c r="K138" s="317" t="n">
        <f aca="false">F138*D138</f>
        <v>2000</v>
      </c>
      <c r="L138" s="317" t="n">
        <f aca="false">D138-K138</f>
        <v>0</v>
      </c>
      <c r="N138" s="45"/>
      <c r="O138" s="45"/>
    </row>
    <row r="139" customFormat="false" ht="12.75" hidden="false" customHeight="false" outlineLevel="2" collapsed="false">
      <c r="A139" s="316"/>
      <c r="B139" s="569" t="str">
        <f aca="false">'Plant Configuration'!C178</f>
        <v>Equipment rental</v>
      </c>
      <c r="C139" s="44"/>
      <c r="D139" s="578" t="n">
        <f aca="false">IF($O$7=6,0,HLOOKUP($D$5,Plant_Configuration,'Plant Configuration'!A178,FALSE()))+IF($R$7=6,0,HLOOKUP($E$5,Plant_Configuration,'Plant Configuration'!A178,FALSE()))+IF($U$7=6,0,HLOOKUP($F$5,Plant_Configuration,'Plant Configuration'!A178,FALSE()))</f>
        <v>666.666666666667</v>
      </c>
      <c r="E139" s="342" t="n">
        <v>0</v>
      </c>
      <c r="F139" s="566" t="n">
        <v>1</v>
      </c>
      <c r="H139" s="316"/>
      <c r="I139" s="567" t="n">
        <f aca="false">D139-J139</f>
        <v>666.666666666667</v>
      </c>
      <c r="J139" s="567" t="n">
        <f aca="false">E139*D139</f>
        <v>0</v>
      </c>
      <c r="K139" s="317" t="n">
        <f aca="false">F139*D139</f>
        <v>666.666666666667</v>
      </c>
      <c r="L139" s="317" t="n">
        <f aca="false">D139-K139</f>
        <v>0</v>
      </c>
      <c r="N139" s="45"/>
      <c r="O139" s="45"/>
    </row>
    <row r="140" customFormat="false" ht="12.75" hidden="false" customHeight="false" outlineLevel="2" collapsed="false">
      <c r="A140" s="316"/>
      <c r="B140" s="569" t="str">
        <f aca="false">'Plant Configuration'!C179</f>
        <v>Freight</v>
      </c>
      <c r="C140" s="44"/>
      <c r="D140" s="578" t="n">
        <f aca="false">IF($O$7=6,0,HLOOKUP($D$5,Plant_Configuration,'Plant Configuration'!A179,FALSE()))+IF($R$7=6,0,HLOOKUP($E$5,Plant_Configuration,'Plant Configuration'!A179,FALSE()))+IF($U$7=6,0,HLOOKUP($F$5,Plant_Configuration,'Plant Configuration'!A179,FALSE()))</f>
        <v>0</v>
      </c>
      <c r="E140" s="342" t="n">
        <v>0</v>
      </c>
      <c r="F140" s="566" t="n">
        <v>1</v>
      </c>
      <c r="H140" s="316"/>
      <c r="I140" s="567" t="n">
        <f aca="false">D140-J140</f>
        <v>0</v>
      </c>
      <c r="J140" s="567" t="n">
        <f aca="false">E140*D140</f>
        <v>0</v>
      </c>
      <c r="K140" s="317" t="n">
        <f aca="false">F140*D140</f>
        <v>0</v>
      </c>
      <c r="L140" s="317" t="n">
        <f aca="false">D140-K140</f>
        <v>0</v>
      </c>
      <c r="N140" s="45"/>
      <c r="O140" s="45"/>
    </row>
    <row r="141" customFormat="false" ht="12.75" hidden="false" customHeight="false" outlineLevel="2" collapsed="false">
      <c r="A141" s="316"/>
      <c r="B141" s="569" t="str">
        <f aca="false">'Plant Configuration'!C180</f>
        <v>Other</v>
      </c>
      <c r="C141" s="44"/>
      <c r="D141" s="578" t="n">
        <f aca="false">IF($O$7=6,0,HLOOKUP($D$5,Plant_Configuration,'Plant Configuration'!A180,FALSE()))+IF($R$7=6,0,HLOOKUP($E$5,Plant_Configuration,'Plant Configuration'!A180,FALSE()))+IF($U$7=6,0,HLOOKUP($F$5,Plant_Configuration,'Plant Configuration'!A180,FALSE()))</f>
        <v>0</v>
      </c>
      <c r="E141" s="342" t="n">
        <v>0</v>
      </c>
      <c r="F141" s="566" t="n">
        <v>1</v>
      </c>
      <c r="H141" s="316" t="s">
        <v>1038</v>
      </c>
      <c r="I141" s="567" t="n">
        <f aca="false">D141-J141</f>
        <v>0</v>
      </c>
      <c r="J141" s="567" t="n">
        <f aca="false">E141*D141</f>
        <v>0</v>
      </c>
      <c r="K141" s="317" t="n">
        <f aca="false">F141*D141</f>
        <v>0</v>
      </c>
      <c r="L141" s="317" t="n">
        <f aca="false">D141-K141</f>
        <v>0</v>
      </c>
      <c r="N141" s="45"/>
      <c r="O141" s="45"/>
    </row>
    <row r="142" customFormat="false" ht="12.75" hidden="false" customHeight="false" outlineLevel="2" collapsed="false">
      <c r="A142" s="316"/>
      <c r="B142" s="569" t="str">
        <f aca="false">'Plant Configuration'!C181</f>
        <v>Other</v>
      </c>
      <c r="C142" s="44"/>
      <c r="D142" s="578" t="n">
        <f aca="false">IF($O$7=6,0,HLOOKUP($D$5,Plant_Configuration,'Plant Configuration'!A181,FALSE()))+IF($R$7=6,0,HLOOKUP($E$5,Plant_Configuration,'Plant Configuration'!A181,FALSE()))+IF($U$7=6,0,HLOOKUP($F$5,Plant_Configuration,'Plant Configuration'!A181,FALSE()))</f>
        <v>0</v>
      </c>
      <c r="E142" s="342" t="n">
        <v>0</v>
      </c>
      <c r="F142" s="566" t="n">
        <v>1</v>
      </c>
      <c r="H142" s="316"/>
      <c r="I142" s="567" t="n">
        <f aca="false">D142-J142</f>
        <v>0</v>
      </c>
      <c r="J142" s="567" t="n">
        <f aca="false">E142*D142</f>
        <v>0</v>
      </c>
      <c r="K142" s="317"/>
      <c r="L142" s="317"/>
      <c r="N142" s="45"/>
      <c r="O142" s="45"/>
    </row>
    <row r="143" customFormat="false" ht="12.75" hidden="false" customHeight="false" outlineLevel="1" collapsed="false">
      <c r="A143" s="579"/>
      <c r="B143" s="570" t="s">
        <v>431</v>
      </c>
      <c r="C143" s="0"/>
      <c r="D143" s="571" t="n">
        <f aca="false">SUBTOTAL(9,D135:D142)</f>
        <v>13333.3333333333</v>
      </c>
      <c r="E143" s="572"/>
      <c r="F143" s="573"/>
      <c r="H143" s="316" t="s">
        <v>1039</v>
      </c>
      <c r="I143" s="571" t="n">
        <f aca="false">SUBTOTAL(9,I135:I142)</f>
        <v>13333.3333333333</v>
      </c>
      <c r="J143" s="571" t="n">
        <f aca="false">SUBTOTAL(9,J135:J142)</f>
        <v>0</v>
      </c>
      <c r="K143" s="571" t="n">
        <f aca="false">SUBTOTAL(9,K135:K142)</f>
        <v>13333.3333333333</v>
      </c>
      <c r="L143" s="571" t="n">
        <f aca="false">SUBTOTAL(9,L135:L142)</f>
        <v>0</v>
      </c>
      <c r="M143" s="561"/>
      <c r="N143" s="561"/>
      <c r="O143" s="561"/>
      <c r="P143" s="561"/>
      <c r="Q143" s="561"/>
      <c r="R143" s="561"/>
      <c r="S143" s="561"/>
      <c r="T143" s="561"/>
      <c r="U143" s="561"/>
      <c r="V143" s="561"/>
      <c r="W143" s="561"/>
      <c r="X143" s="561"/>
      <c r="Y143" s="561"/>
      <c r="Z143" s="561"/>
      <c r="AA143" s="561"/>
      <c r="AB143" s="561"/>
      <c r="AC143" s="561"/>
      <c r="AD143" s="561"/>
      <c r="AE143" s="561"/>
      <c r="AF143" s="561"/>
      <c r="AG143" s="561"/>
      <c r="AH143" s="561"/>
      <c r="AI143" s="561"/>
      <c r="AJ143" s="561"/>
      <c r="AK143" s="561"/>
      <c r="AL143" s="561"/>
      <c r="AM143" s="561"/>
      <c r="AN143" s="561"/>
      <c r="AO143" s="561"/>
      <c r="AP143" s="561"/>
      <c r="AQ143" s="561"/>
      <c r="AR143" s="561"/>
      <c r="AS143" s="561"/>
      <c r="AT143" s="561"/>
      <c r="AU143" s="561"/>
      <c r="AV143" s="561"/>
      <c r="AW143" s="561"/>
      <c r="AX143" s="561"/>
      <c r="AY143" s="561"/>
      <c r="AZ143" s="561"/>
      <c r="BA143" s="561"/>
      <c r="BB143" s="561"/>
      <c r="BC143" s="561"/>
      <c r="BD143" s="561"/>
      <c r="BE143" s="561"/>
      <c r="BF143" s="561"/>
      <c r="BG143" s="561"/>
      <c r="BH143" s="561"/>
      <c r="BI143" s="561"/>
      <c r="BJ143" s="561"/>
      <c r="BK143" s="561"/>
      <c r="BL143" s="561"/>
      <c r="BM143" s="561"/>
      <c r="BN143" s="561"/>
      <c r="BO143" s="561"/>
      <c r="BP143" s="561"/>
      <c r="BQ143" s="561"/>
      <c r="BR143" s="561"/>
      <c r="BS143" s="561"/>
      <c r="BT143" s="561"/>
      <c r="BU143" s="561"/>
      <c r="BV143" s="561"/>
      <c r="BW143" s="561"/>
      <c r="BX143" s="561"/>
      <c r="BY143" s="561"/>
      <c r="BZ143" s="561"/>
      <c r="CA143" s="561"/>
      <c r="CB143" s="561"/>
      <c r="CC143" s="561"/>
      <c r="CD143" s="561"/>
      <c r="CE143" s="561"/>
      <c r="CF143" s="561"/>
      <c r="CG143" s="561"/>
      <c r="CH143" s="561"/>
      <c r="CI143" s="561"/>
      <c r="CJ143" s="561"/>
      <c r="CK143" s="561"/>
      <c r="CL143" s="561"/>
      <c r="CM143" s="561"/>
      <c r="CN143" s="561"/>
      <c r="CO143" s="561"/>
      <c r="CP143" s="561"/>
      <c r="CQ143" s="561"/>
      <c r="CR143" s="561"/>
      <c r="CS143" s="561"/>
      <c r="CT143" s="561"/>
      <c r="CU143" s="561"/>
      <c r="CV143" s="561"/>
      <c r="CW143" s="561"/>
      <c r="CX143" s="561"/>
      <c r="CY143" s="561"/>
      <c r="CZ143" s="561"/>
      <c r="DA143" s="561"/>
      <c r="DB143" s="561"/>
      <c r="DC143" s="561"/>
      <c r="DD143" s="561"/>
      <c r="DE143" s="561"/>
      <c r="DF143" s="561"/>
      <c r="DG143" s="561"/>
      <c r="DH143" s="561"/>
      <c r="DI143" s="561"/>
      <c r="DJ143" s="561"/>
      <c r="DK143" s="561"/>
      <c r="DL143" s="561"/>
      <c r="DM143" s="561"/>
      <c r="DN143" s="561"/>
      <c r="DO143" s="561"/>
      <c r="DP143" s="561"/>
      <c r="DQ143" s="561"/>
      <c r="DR143" s="561"/>
      <c r="DS143" s="561"/>
      <c r="DT143" s="561"/>
      <c r="DU143" s="561"/>
      <c r="DV143" s="561"/>
      <c r="DW143" s="561"/>
      <c r="DX143" s="561"/>
      <c r="DY143" s="561"/>
      <c r="DZ143" s="561"/>
      <c r="EA143" s="561"/>
      <c r="EB143" s="561"/>
      <c r="EC143" s="561"/>
      <c r="ED143" s="561"/>
      <c r="EE143" s="561"/>
      <c r="EF143" s="561"/>
      <c r="EG143" s="561"/>
      <c r="EH143" s="561"/>
      <c r="EI143" s="561"/>
      <c r="EJ143" s="561"/>
      <c r="EK143" s="561"/>
      <c r="EL143" s="561"/>
      <c r="EM143" s="561"/>
      <c r="EN143" s="561"/>
      <c r="EO143" s="561"/>
      <c r="EP143" s="561"/>
      <c r="EQ143" s="561"/>
      <c r="ER143" s="561"/>
      <c r="ES143" s="561"/>
      <c r="ET143" s="561"/>
      <c r="EU143" s="561"/>
      <c r="EV143" s="561"/>
      <c r="EW143" s="561"/>
      <c r="EX143" s="561"/>
      <c r="EY143" s="561"/>
      <c r="EZ143" s="561"/>
      <c r="FA143" s="561"/>
      <c r="FB143" s="561"/>
      <c r="FC143" s="561"/>
      <c r="FD143" s="561"/>
      <c r="FE143" s="561"/>
      <c r="FF143" s="561"/>
      <c r="FG143" s="561"/>
      <c r="FH143" s="561"/>
      <c r="FI143" s="561"/>
      <c r="FJ143" s="561"/>
      <c r="FK143" s="561"/>
      <c r="FL143" s="561"/>
      <c r="FM143" s="561"/>
      <c r="FN143" s="561"/>
      <c r="FO143" s="561"/>
      <c r="FP143" s="561"/>
      <c r="FQ143" s="561"/>
      <c r="FR143" s="561"/>
      <c r="FS143" s="561"/>
      <c r="FT143" s="561"/>
      <c r="FU143" s="561"/>
      <c r="FV143" s="561"/>
      <c r="FW143" s="561"/>
      <c r="FX143" s="561"/>
      <c r="FY143" s="561"/>
      <c r="FZ143" s="561"/>
      <c r="GA143" s="561"/>
      <c r="GB143" s="561"/>
      <c r="GC143" s="561"/>
      <c r="GD143" s="561"/>
      <c r="GE143" s="561"/>
      <c r="GF143" s="561"/>
      <c r="GG143" s="561"/>
      <c r="GH143" s="561"/>
      <c r="GI143" s="561"/>
      <c r="GJ143" s="561"/>
      <c r="GK143" s="561"/>
      <c r="GL143" s="561"/>
      <c r="GM143" s="561"/>
      <c r="GN143" s="561"/>
      <c r="GO143" s="561"/>
      <c r="GP143" s="561"/>
      <c r="GQ143" s="561"/>
      <c r="GR143" s="561"/>
      <c r="GS143" s="561"/>
      <c r="GT143" s="561"/>
      <c r="GU143" s="561"/>
      <c r="GV143" s="561"/>
      <c r="GW143" s="561"/>
      <c r="GX143" s="561"/>
      <c r="GY143" s="561"/>
      <c r="GZ143" s="561"/>
      <c r="HA143" s="561"/>
      <c r="HB143" s="561"/>
      <c r="HC143" s="561"/>
      <c r="HD143" s="561"/>
      <c r="HE143" s="561"/>
      <c r="HF143" s="561"/>
      <c r="HG143" s="561"/>
      <c r="HH143" s="561"/>
      <c r="HI143" s="561"/>
      <c r="HJ143" s="561"/>
      <c r="HK143" s="561"/>
      <c r="HL143" s="561"/>
      <c r="HM143" s="561"/>
      <c r="HN143" s="561"/>
      <c r="HO143" s="561"/>
      <c r="HP143" s="561"/>
      <c r="HQ143" s="561"/>
      <c r="HR143" s="561"/>
      <c r="HS143" s="561"/>
      <c r="HT143" s="561"/>
      <c r="HU143" s="561"/>
      <c r="HV143" s="561"/>
      <c r="HW143" s="561"/>
      <c r="HX143" s="561"/>
      <c r="HY143" s="561"/>
      <c r="HZ143" s="561"/>
      <c r="IA143" s="561"/>
      <c r="IB143" s="561"/>
      <c r="IC143" s="561"/>
      <c r="ID143" s="561"/>
      <c r="IE143" s="561"/>
      <c r="IF143" s="561"/>
      <c r="IG143" s="561"/>
      <c r="IH143" s="561"/>
      <c r="II143" s="561"/>
      <c r="IJ143" s="561"/>
      <c r="IK143" s="561"/>
      <c r="IL143" s="561"/>
      <c r="IM143" s="561"/>
      <c r="IN143" s="561"/>
      <c r="IO143" s="561"/>
      <c r="IP143" s="561"/>
      <c r="IQ143" s="561"/>
      <c r="IR143" s="561"/>
      <c r="IS143" s="561"/>
      <c r="IT143" s="561"/>
      <c r="IU143" s="561"/>
      <c r="IV143" s="561"/>
      <c r="IW143" s="561"/>
    </row>
    <row r="144" customFormat="false" ht="12.75" hidden="false" customHeight="false" outlineLevel="1" collapsed="false">
      <c r="A144" s="574" t="s">
        <v>1061</v>
      </c>
      <c r="B144" s="575"/>
      <c r="C144" s="576"/>
      <c r="D144" s="554"/>
      <c r="E144" s="555"/>
      <c r="F144" s="556"/>
      <c r="H144" s="577"/>
      <c r="I144" s="558" t="n">
        <f aca="false">IF(D152=0,0,I152/D152)</f>
        <v>1</v>
      </c>
      <c r="J144" s="558" t="n">
        <f aca="false">1-I144</f>
        <v>0</v>
      </c>
      <c r="K144" s="559" t="n">
        <f aca="false">IF(D152=0,0,K152/D152)</f>
        <v>1</v>
      </c>
      <c r="L144" s="559" t="n">
        <f aca="false">1-K144</f>
        <v>0</v>
      </c>
      <c r="M144" s="561"/>
      <c r="N144" s="561"/>
      <c r="O144" s="561"/>
      <c r="P144" s="561"/>
      <c r="Q144" s="561"/>
      <c r="R144" s="561"/>
      <c r="S144" s="561"/>
      <c r="T144" s="561"/>
      <c r="U144" s="561"/>
      <c r="V144" s="561"/>
      <c r="W144" s="561"/>
      <c r="X144" s="561"/>
      <c r="Y144" s="561"/>
      <c r="Z144" s="561"/>
      <c r="AA144" s="561"/>
      <c r="AB144" s="561"/>
      <c r="AC144" s="561"/>
      <c r="AD144" s="561"/>
      <c r="AE144" s="561"/>
      <c r="AF144" s="561"/>
      <c r="AG144" s="561"/>
      <c r="AH144" s="561"/>
      <c r="AI144" s="561"/>
      <c r="AJ144" s="561"/>
      <c r="AK144" s="561"/>
      <c r="AL144" s="561"/>
      <c r="AM144" s="561"/>
      <c r="AN144" s="561"/>
      <c r="AO144" s="561"/>
      <c r="AP144" s="561"/>
      <c r="AQ144" s="561"/>
      <c r="AR144" s="561"/>
      <c r="AS144" s="561"/>
      <c r="AT144" s="561"/>
      <c r="AU144" s="561"/>
      <c r="AV144" s="561"/>
      <c r="AW144" s="561"/>
      <c r="AX144" s="561"/>
      <c r="AY144" s="561"/>
      <c r="AZ144" s="561"/>
      <c r="BA144" s="561"/>
      <c r="BB144" s="561"/>
      <c r="BC144" s="561"/>
      <c r="BD144" s="561"/>
      <c r="BE144" s="561"/>
      <c r="BF144" s="561"/>
      <c r="BG144" s="561"/>
      <c r="BH144" s="561"/>
      <c r="BI144" s="561"/>
      <c r="BJ144" s="561"/>
      <c r="BK144" s="561"/>
      <c r="BL144" s="561"/>
      <c r="BM144" s="561"/>
      <c r="BN144" s="561"/>
      <c r="BO144" s="561"/>
      <c r="BP144" s="561"/>
      <c r="BQ144" s="561"/>
      <c r="BR144" s="561"/>
      <c r="BS144" s="561"/>
      <c r="BT144" s="561"/>
      <c r="BU144" s="561"/>
      <c r="BV144" s="561"/>
      <c r="BW144" s="561"/>
      <c r="BX144" s="561"/>
      <c r="BY144" s="561"/>
      <c r="BZ144" s="561"/>
      <c r="CA144" s="561"/>
      <c r="CB144" s="561"/>
      <c r="CC144" s="561"/>
      <c r="CD144" s="561"/>
      <c r="CE144" s="561"/>
      <c r="CF144" s="561"/>
      <c r="CG144" s="561"/>
      <c r="CH144" s="561"/>
      <c r="CI144" s="561"/>
      <c r="CJ144" s="561"/>
      <c r="CK144" s="561"/>
      <c r="CL144" s="561"/>
      <c r="CM144" s="561"/>
      <c r="CN144" s="561"/>
      <c r="CO144" s="561"/>
      <c r="CP144" s="561"/>
      <c r="CQ144" s="561"/>
      <c r="CR144" s="561"/>
      <c r="CS144" s="561"/>
      <c r="CT144" s="561"/>
      <c r="CU144" s="561"/>
      <c r="CV144" s="561"/>
      <c r="CW144" s="561"/>
      <c r="CX144" s="561"/>
      <c r="CY144" s="561"/>
      <c r="CZ144" s="561"/>
      <c r="DA144" s="561"/>
      <c r="DB144" s="561"/>
      <c r="DC144" s="561"/>
      <c r="DD144" s="561"/>
      <c r="DE144" s="561"/>
      <c r="DF144" s="561"/>
      <c r="DG144" s="561"/>
      <c r="DH144" s="561"/>
      <c r="DI144" s="561"/>
      <c r="DJ144" s="561"/>
      <c r="DK144" s="561"/>
      <c r="DL144" s="561"/>
      <c r="DM144" s="561"/>
      <c r="DN144" s="561"/>
      <c r="DO144" s="561"/>
      <c r="DP144" s="561"/>
      <c r="DQ144" s="561"/>
      <c r="DR144" s="561"/>
      <c r="DS144" s="561"/>
      <c r="DT144" s="561"/>
      <c r="DU144" s="561"/>
      <c r="DV144" s="561"/>
      <c r="DW144" s="561"/>
      <c r="DX144" s="561"/>
      <c r="DY144" s="561"/>
      <c r="DZ144" s="561"/>
      <c r="EA144" s="561"/>
      <c r="EB144" s="561"/>
      <c r="EC144" s="561"/>
      <c r="ED144" s="561"/>
      <c r="EE144" s="561"/>
      <c r="EF144" s="561"/>
      <c r="EG144" s="561"/>
      <c r="EH144" s="561"/>
      <c r="EI144" s="561"/>
      <c r="EJ144" s="561"/>
      <c r="EK144" s="561"/>
      <c r="EL144" s="561"/>
      <c r="EM144" s="561"/>
      <c r="EN144" s="561"/>
      <c r="EO144" s="561"/>
      <c r="EP144" s="561"/>
      <c r="EQ144" s="561"/>
      <c r="ER144" s="561"/>
      <c r="ES144" s="561"/>
      <c r="ET144" s="561"/>
      <c r="EU144" s="561"/>
      <c r="EV144" s="561"/>
      <c r="EW144" s="561"/>
      <c r="EX144" s="561"/>
      <c r="EY144" s="561"/>
      <c r="EZ144" s="561"/>
      <c r="FA144" s="561"/>
      <c r="FB144" s="561"/>
      <c r="FC144" s="561"/>
      <c r="FD144" s="561"/>
      <c r="FE144" s="561"/>
      <c r="FF144" s="561"/>
      <c r="FG144" s="561"/>
      <c r="FH144" s="561"/>
      <c r="FI144" s="561"/>
      <c r="FJ144" s="561"/>
      <c r="FK144" s="561"/>
      <c r="FL144" s="561"/>
      <c r="FM144" s="561"/>
      <c r="FN144" s="561"/>
      <c r="FO144" s="561"/>
      <c r="FP144" s="561"/>
      <c r="FQ144" s="561"/>
      <c r="FR144" s="561"/>
      <c r="FS144" s="561"/>
      <c r="FT144" s="561"/>
      <c r="FU144" s="561"/>
      <c r="FV144" s="561"/>
      <c r="FW144" s="561"/>
      <c r="FX144" s="561"/>
      <c r="FY144" s="561"/>
      <c r="FZ144" s="561"/>
      <c r="GA144" s="561"/>
      <c r="GB144" s="561"/>
      <c r="GC144" s="561"/>
      <c r="GD144" s="561"/>
      <c r="GE144" s="561"/>
      <c r="GF144" s="561"/>
      <c r="GG144" s="561"/>
      <c r="GH144" s="561"/>
      <c r="GI144" s="561"/>
      <c r="GJ144" s="561"/>
      <c r="GK144" s="561"/>
      <c r="GL144" s="561"/>
      <c r="GM144" s="561"/>
      <c r="GN144" s="561"/>
      <c r="GO144" s="561"/>
      <c r="GP144" s="561"/>
      <c r="GQ144" s="561"/>
      <c r="GR144" s="561"/>
      <c r="GS144" s="561"/>
      <c r="GT144" s="561"/>
      <c r="GU144" s="561"/>
      <c r="GV144" s="561"/>
      <c r="GW144" s="561"/>
      <c r="GX144" s="561"/>
      <c r="GY144" s="561"/>
      <c r="GZ144" s="561"/>
      <c r="HA144" s="561"/>
      <c r="HB144" s="561"/>
      <c r="HC144" s="561"/>
      <c r="HD144" s="561"/>
      <c r="HE144" s="561"/>
      <c r="HF144" s="561"/>
      <c r="HG144" s="561"/>
      <c r="HH144" s="561"/>
      <c r="HI144" s="561"/>
      <c r="HJ144" s="561"/>
      <c r="HK144" s="561"/>
      <c r="HL144" s="561"/>
      <c r="HM144" s="561"/>
      <c r="HN144" s="561"/>
      <c r="HO144" s="561"/>
      <c r="HP144" s="561"/>
      <c r="HQ144" s="561"/>
      <c r="HR144" s="561"/>
      <c r="HS144" s="561"/>
      <c r="HT144" s="561"/>
      <c r="HU144" s="561"/>
      <c r="HV144" s="561"/>
      <c r="HW144" s="561"/>
      <c r="HX144" s="561"/>
      <c r="HY144" s="561"/>
      <c r="HZ144" s="561"/>
      <c r="IA144" s="561"/>
      <c r="IB144" s="561"/>
      <c r="IC144" s="561"/>
      <c r="ID144" s="561"/>
      <c r="IE144" s="561"/>
      <c r="IF144" s="561"/>
      <c r="IG144" s="561"/>
      <c r="IH144" s="561"/>
      <c r="II144" s="561"/>
      <c r="IJ144" s="561"/>
      <c r="IK144" s="561"/>
      <c r="IL144" s="561"/>
      <c r="IM144" s="561"/>
      <c r="IN144" s="561"/>
      <c r="IO144" s="561"/>
      <c r="IP144" s="561"/>
      <c r="IQ144" s="561"/>
      <c r="IR144" s="561"/>
      <c r="IS144" s="561"/>
      <c r="IT144" s="561"/>
      <c r="IU144" s="561"/>
      <c r="IV144" s="561"/>
      <c r="IW144" s="561"/>
    </row>
    <row r="145" customFormat="false" ht="12.75" hidden="false" customHeight="false" outlineLevel="2" collapsed="false">
      <c r="A145" s="316"/>
      <c r="B145" s="569" t="str">
        <f aca="false">'Plant Configuration'!C184</f>
        <v>Repair Parts</v>
      </c>
      <c r="C145" s="44"/>
      <c r="D145" s="578" t="n">
        <f aca="false">IF($O$7=6,0,HLOOKUP($D$5,Plant_Configuration,'Plant Configuration'!A184,FALSE()))+IF($R$7=6,0,HLOOKUP($E$5,Plant_Configuration,'Plant Configuration'!A184,FALSE()))+IF($U$7=6,0,HLOOKUP($F$5,Plant_Configuration,'Plant Configuration'!A184,FALSE()))</f>
        <v>62199.2553818321</v>
      </c>
      <c r="E145" s="342" t="n">
        <v>0</v>
      </c>
      <c r="F145" s="566" t="n">
        <v>1</v>
      </c>
      <c r="H145" s="316" t="s">
        <v>1062</v>
      </c>
      <c r="I145" s="567" t="n">
        <f aca="false">D145-J145</f>
        <v>62199.2553818321</v>
      </c>
      <c r="J145" s="567" t="n">
        <f aca="false">E145*D145</f>
        <v>0</v>
      </c>
      <c r="K145" s="317" t="n">
        <f aca="false">F145*D145</f>
        <v>62199.2553818321</v>
      </c>
      <c r="L145" s="317" t="n">
        <f aca="false">D145-K145</f>
        <v>0</v>
      </c>
      <c r="N145" s="45"/>
      <c r="O145" s="45"/>
    </row>
    <row r="146" customFormat="false" ht="12.75" hidden="false" customHeight="false" outlineLevel="2" collapsed="false">
      <c r="A146" s="316"/>
      <c r="B146" s="569" t="str">
        <f aca="false">'Plant Configuration'!C185</f>
        <v>Outside Repair Services</v>
      </c>
      <c r="C146" s="44"/>
      <c r="D146" s="578" t="n">
        <f aca="false">IF($O$7=6,0,HLOOKUP($D$5,Plant_Configuration,'Plant Configuration'!A185,FALSE()))+IF($R$7=6,0,HLOOKUP($E$5,Plant_Configuration,'Plant Configuration'!A185,FALSE()))+IF($U$7=6,0,HLOOKUP($F$5,Plant_Configuration,'Plant Configuration'!A185,FALSE()))</f>
        <v>24879.7021527328</v>
      </c>
      <c r="E146" s="342" t="n">
        <v>0</v>
      </c>
      <c r="F146" s="566" t="n">
        <v>1</v>
      </c>
      <c r="H146" s="316" t="s">
        <v>1063</v>
      </c>
      <c r="I146" s="567" t="n">
        <f aca="false">D146-J146</f>
        <v>24879.7021527328</v>
      </c>
      <c r="J146" s="567" t="n">
        <f aca="false">E146*D146</f>
        <v>0</v>
      </c>
      <c r="K146" s="317" t="n">
        <f aca="false">F146*D146</f>
        <v>24879.7021527328</v>
      </c>
      <c r="L146" s="317" t="n">
        <f aca="false">D146-K146</f>
        <v>0</v>
      </c>
      <c r="N146" s="45"/>
      <c r="O146" s="45"/>
    </row>
    <row r="147" customFormat="false" ht="12.75" hidden="false" customHeight="false" outlineLevel="2" collapsed="false">
      <c r="A147" s="316"/>
      <c r="B147" s="569" t="str">
        <f aca="false">'Plant Configuration'!C186</f>
        <v>Technical/Professional Services</v>
      </c>
      <c r="C147" s="44"/>
      <c r="D147" s="578" t="n">
        <f aca="false">IF($O$7=6,0,HLOOKUP($D$5,Plant_Configuration,'Plant Configuration'!A186,FALSE()))+IF($R$7=6,0,HLOOKUP($E$5,Plant_Configuration,'Plant Configuration'!A186,FALSE()))+IF($U$7=6,0,HLOOKUP($F$5,Plant_Configuration,'Plant Configuration'!A186,FALSE()))</f>
        <v>12439.8510763664</v>
      </c>
      <c r="E147" s="342" t="n">
        <v>0</v>
      </c>
      <c r="F147" s="566" t="n">
        <v>1</v>
      </c>
      <c r="H147" s="435" t="s">
        <v>1057</v>
      </c>
      <c r="I147" s="567" t="n">
        <f aca="false">D147-J147</f>
        <v>12439.8510763664</v>
      </c>
      <c r="J147" s="567" t="n">
        <f aca="false">E147*D147</f>
        <v>0</v>
      </c>
      <c r="K147" s="317" t="n">
        <f aca="false">F147*D147</f>
        <v>12439.8510763664</v>
      </c>
      <c r="L147" s="317" t="n">
        <f aca="false">D147-K147</f>
        <v>0</v>
      </c>
      <c r="N147" s="45"/>
      <c r="O147" s="45"/>
    </row>
    <row r="148" customFormat="false" ht="12.75" hidden="false" customHeight="false" outlineLevel="2" collapsed="false">
      <c r="A148" s="316"/>
      <c r="B148" s="569" t="str">
        <f aca="false">'Plant Configuration'!C187</f>
        <v>Outside Contract Labor</v>
      </c>
      <c r="C148" s="44"/>
      <c r="D148" s="578" t="n">
        <f aca="false">IF($O$7=6,0,HLOOKUP($D$5,Plant_Configuration,'Plant Configuration'!A187,FALSE()))+IF($R$7=6,0,HLOOKUP($E$5,Plant_Configuration,'Plant Configuration'!A187,FALSE()))+IF($U$7=6,0,HLOOKUP($F$5,Plant_Configuration,'Plant Configuration'!A187,FALSE()))</f>
        <v>18659.7766145496</v>
      </c>
      <c r="E148" s="342" t="n">
        <v>0</v>
      </c>
      <c r="F148" s="566" t="n">
        <v>1</v>
      </c>
      <c r="H148" s="316"/>
      <c r="I148" s="567" t="n">
        <f aca="false">D148-J148</f>
        <v>18659.7766145496</v>
      </c>
      <c r="J148" s="567" t="n">
        <f aca="false">E148*D148</f>
        <v>0</v>
      </c>
      <c r="K148" s="317" t="n">
        <f aca="false">F148*D148</f>
        <v>18659.7766145496</v>
      </c>
      <c r="L148" s="317" t="n">
        <f aca="false">D148-K148</f>
        <v>0</v>
      </c>
      <c r="N148" s="45"/>
      <c r="O148" s="45"/>
    </row>
    <row r="149" customFormat="false" ht="12.75" hidden="false" customHeight="false" outlineLevel="2" collapsed="false">
      <c r="A149" s="316"/>
      <c r="B149" s="569" t="str">
        <f aca="false">'Plant Configuration'!C188</f>
        <v>Equipment rental</v>
      </c>
      <c r="C149" s="44"/>
      <c r="D149" s="578" t="n">
        <f aca="false">IF($O$7=6,0,HLOOKUP($D$5,Plant_Configuration,'Plant Configuration'!A188,FALSE()))+IF($R$7=6,0,HLOOKUP($E$5,Plant_Configuration,'Plant Configuration'!A188,FALSE()))+IF($U$7=6,0,HLOOKUP($F$5,Plant_Configuration,'Plant Configuration'!A188,FALSE()))</f>
        <v>6219.92553818321</v>
      </c>
      <c r="E149" s="342" t="n">
        <v>0</v>
      </c>
      <c r="F149" s="566" t="n">
        <v>1</v>
      </c>
      <c r="H149" s="316"/>
      <c r="I149" s="567" t="n">
        <f aca="false">D149-J149</f>
        <v>6219.92553818321</v>
      </c>
      <c r="J149" s="567" t="n">
        <f aca="false">E149*D149</f>
        <v>0</v>
      </c>
      <c r="K149" s="317" t="n">
        <f aca="false">F149*D149</f>
        <v>6219.92553818321</v>
      </c>
      <c r="L149" s="317" t="n">
        <f aca="false">D149-K149</f>
        <v>0</v>
      </c>
      <c r="N149" s="45"/>
      <c r="O149" s="45"/>
    </row>
    <row r="150" customFormat="false" ht="12.75" hidden="false" customHeight="false" outlineLevel="2" collapsed="false">
      <c r="A150" s="316"/>
      <c r="B150" s="569" t="str">
        <f aca="false">'Plant Configuration'!C189</f>
        <v>Miscellaneous</v>
      </c>
      <c r="C150" s="44"/>
      <c r="D150" s="578" t="n">
        <f aca="false">IF($O$7=6,0,HLOOKUP($D$5,Plant_Configuration,'Plant Configuration'!A189,FALSE()))+IF($R$7=6,0,HLOOKUP($E$5,Plant_Configuration,'Plant Configuration'!A189,FALSE()))+IF($U$7=6,0,HLOOKUP($F$5,Plant_Configuration,'Plant Configuration'!A189,FALSE()))</f>
        <v>0</v>
      </c>
      <c r="E150" s="342" t="n">
        <v>0</v>
      </c>
      <c r="F150" s="566" t="n">
        <v>1</v>
      </c>
      <c r="H150" s="316"/>
      <c r="I150" s="567" t="n">
        <f aca="false">D150-J150</f>
        <v>0</v>
      </c>
      <c r="J150" s="567" t="n">
        <f aca="false">E150*D150</f>
        <v>0</v>
      </c>
      <c r="K150" s="317" t="n">
        <f aca="false">F150*D150</f>
        <v>0</v>
      </c>
      <c r="L150" s="317" t="n">
        <f aca="false">D150-K150</f>
        <v>0</v>
      </c>
      <c r="N150" s="45"/>
      <c r="O150" s="45"/>
    </row>
    <row r="151" customFormat="false" ht="12.75" hidden="false" customHeight="false" outlineLevel="2" collapsed="false">
      <c r="A151" s="316"/>
      <c r="B151" s="569" t="str">
        <f aca="false">'Plant Configuration'!C190</f>
        <v>Freight</v>
      </c>
      <c r="C151" s="44"/>
      <c r="D151" s="578" t="n">
        <f aca="false">IF($O$7=6,0,HLOOKUP($D$5,Plant_Configuration,'Plant Configuration'!A190,FALSE()))+IF($R$7=6,0,HLOOKUP($E$5,Plant_Configuration,'Plant Configuration'!A190,FALSE()))+IF($U$7=6,0,HLOOKUP($F$5,Plant_Configuration,'Plant Configuration'!A190,FALSE()))</f>
        <v>0</v>
      </c>
      <c r="E151" s="342" t="n">
        <v>0</v>
      </c>
      <c r="F151" s="566" t="n">
        <v>1</v>
      </c>
      <c r="H151" s="316" t="s">
        <v>1038</v>
      </c>
      <c r="I151" s="567" t="n">
        <f aca="false">D151-J151</f>
        <v>0</v>
      </c>
      <c r="J151" s="567" t="n">
        <f aca="false">E151*D151</f>
        <v>0</v>
      </c>
      <c r="K151" s="317" t="n">
        <f aca="false">F151*D151</f>
        <v>0</v>
      </c>
      <c r="L151" s="317" t="n">
        <f aca="false">D151-K151</f>
        <v>0</v>
      </c>
      <c r="N151" s="45"/>
      <c r="O151" s="45"/>
    </row>
    <row r="152" customFormat="false" ht="12.75" hidden="false" customHeight="false" outlineLevel="1" collapsed="false">
      <c r="A152" s="579"/>
      <c r="B152" s="570" t="s">
        <v>431</v>
      </c>
      <c r="C152" s="0"/>
      <c r="D152" s="571" t="n">
        <f aca="false">SUBTOTAL(9,D145:D151)</f>
        <v>124398.510763664</v>
      </c>
      <c r="E152" s="572"/>
      <c r="F152" s="573"/>
      <c r="H152" s="316" t="s">
        <v>1064</v>
      </c>
      <c r="I152" s="571" t="n">
        <f aca="false">SUBTOTAL(9,I145:I151)</f>
        <v>124398.510763664</v>
      </c>
      <c r="J152" s="571" t="n">
        <f aca="false">SUBTOTAL(9,J145:J151)</f>
        <v>0</v>
      </c>
      <c r="K152" s="571" t="n">
        <f aca="false">SUBTOTAL(9,K145:K151)</f>
        <v>124398.510763664</v>
      </c>
      <c r="L152" s="571" t="n">
        <f aca="false">SUBTOTAL(9,L145:L151)</f>
        <v>0</v>
      </c>
      <c r="M152" s="561"/>
      <c r="N152" s="561"/>
      <c r="O152" s="561"/>
      <c r="P152" s="561"/>
      <c r="Q152" s="561"/>
      <c r="R152" s="561"/>
      <c r="S152" s="561"/>
      <c r="T152" s="561"/>
      <c r="U152" s="561"/>
      <c r="V152" s="561"/>
      <c r="W152" s="561"/>
      <c r="X152" s="561"/>
      <c r="Y152" s="561"/>
      <c r="Z152" s="561"/>
      <c r="AA152" s="561"/>
      <c r="AB152" s="561"/>
      <c r="AC152" s="561"/>
      <c r="AD152" s="561"/>
      <c r="AE152" s="561"/>
      <c r="AF152" s="561"/>
      <c r="AG152" s="561"/>
      <c r="AH152" s="561"/>
      <c r="AI152" s="561"/>
      <c r="AJ152" s="561"/>
      <c r="AK152" s="561"/>
      <c r="AL152" s="561"/>
      <c r="AM152" s="561"/>
      <c r="AN152" s="561"/>
      <c r="AO152" s="561"/>
      <c r="AP152" s="561"/>
      <c r="AQ152" s="561"/>
      <c r="AR152" s="561"/>
      <c r="AS152" s="561"/>
      <c r="AT152" s="561"/>
      <c r="AU152" s="561"/>
      <c r="AV152" s="561"/>
      <c r="AW152" s="561"/>
      <c r="AX152" s="561"/>
      <c r="AY152" s="561"/>
      <c r="AZ152" s="561"/>
      <c r="BA152" s="561"/>
      <c r="BB152" s="561"/>
      <c r="BC152" s="561"/>
      <c r="BD152" s="561"/>
      <c r="BE152" s="561"/>
      <c r="BF152" s="561"/>
      <c r="BG152" s="561"/>
      <c r="BH152" s="561"/>
      <c r="BI152" s="561"/>
      <c r="BJ152" s="561"/>
      <c r="BK152" s="561"/>
      <c r="BL152" s="561"/>
      <c r="BM152" s="561"/>
      <c r="BN152" s="561"/>
      <c r="BO152" s="561"/>
      <c r="BP152" s="561"/>
      <c r="BQ152" s="561"/>
      <c r="BR152" s="561"/>
      <c r="BS152" s="561"/>
      <c r="BT152" s="561"/>
      <c r="BU152" s="561"/>
      <c r="BV152" s="561"/>
      <c r="BW152" s="561"/>
      <c r="BX152" s="561"/>
      <c r="BY152" s="561"/>
      <c r="BZ152" s="561"/>
      <c r="CA152" s="561"/>
      <c r="CB152" s="561"/>
      <c r="CC152" s="561"/>
      <c r="CD152" s="561"/>
      <c r="CE152" s="561"/>
      <c r="CF152" s="561"/>
      <c r="CG152" s="561"/>
      <c r="CH152" s="561"/>
      <c r="CI152" s="561"/>
      <c r="CJ152" s="561"/>
      <c r="CK152" s="561"/>
      <c r="CL152" s="561"/>
      <c r="CM152" s="561"/>
      <c r="CN152" s="561"/>
      <c r="CO152" s="561"/>
      <c r="CP152" s="561"/>
      <c r="CQ152" s="561"/>
      <c r="CR152" s="561"/>
      <c r="CS152" s="561"/>
      <c r="CT152" s="561"/>
      <c r="CU152" s="561"/>
      <c r="CV152" s="561"/>
      <c r="CW152" s="561"/>
      <c r="CX152" s="561"/>
      <c r="CY152" s="561"/>
      <c r="CZ152" s="561"/>
      <c r="DA152" s="561"/>
      <c r="DB152" s="561"/>
      <c r="DC152" s="561"/>
      <c r="DD152" s="561"/>
      <c r="DE152" s="561"/>
      <c r="DF152" s="561"/>
      <c r="DG152" s="561"/>
      <c r="DH152" s="561"/>
      <c r="DI152" s="561"/>
      <c r="DJ152" s="561"/>
      <c r="DK152" s="561"/>
      <c r="DL152" s="561"/>
      <c r="DM152" s="561"/>
      <c r="DN152" s="561"/>
      <c r="DO152" s="561"/>
      <c r="DP152" s="561"/>
      <c r="DQ152" s="561"/>
      <c r="DR152" s="561"/>
      <c r="DS152" s="561"/>
      <c r="DT152" s="561"/>
      <c r="DU152" s="561"/>
      <c r="DV152" s="561"/>
      <c r="DW152" s="561"/>
      <c r="DX152" s="561"/>
      <c r="DY152" s="561"/>
      <c r="DZ152" s="561"/>
      <c r="EA152" s="561"/>
      <c r="EB152" s="561"/>
      <c r="EC152" s="561"/>
      <c r="ED152" s="561"/>
      <c r="EE152" s="561"/>
      <c r="EF152" s="561"/>
      <c r="EG152" s="561"/>
      <c r="EH152" s="561"/>
      <c r="EI152" s="561"/>
      <c r="EJ152" s="561"/>
      <c r="EK152" s="561"/>
      <c r="EL152" s="561"/>
      <c r="EM152" s="561"/>
      <c r="EN152" s="561"/>
      <c r="EO152" s="561"/>
      <c r="EP152" s="561"/>
      <c r="EQ152" s="561"/>
      <c r="ER152" s="561"/>
      <c r="ES152" s="561"/>
      <c r="ET152" s="561"/>
      <c r="EU152" s="561"/>
      <c r="EV152" s="561"/>
      <c r="EW152" s="561"/>
      <c r="EX152" s="561"/>
      <c r="EY152" s="561"/>
      <c r="EZ152" s="561"/>
      <c r="FA152" s="561"/>
      <c r="FB152" s="561"/>
      <c r="FC152" s="561"/>
      <c r="FD152" s="561"/>
      <c r="FE152" s="561"/>
      <c r="FF152" s="561"/>
      <c r="FG152" s="561"/>
      <c r="FH152" s="561"/>
      <c r="FI152" s="561"/>
      <c r="FJ152" s="561"/>
      <c r="FK152" s="561"/>
      <c r="FL152" s="561"/>
      <c r="FM152" s="561"/>
      <c r="FN152" s="561"/>
      <c r="FO152" s="561"/>
      <c r="FP152" s="561"/>
      <c r="FQ152" s="561"/>
      <c r="FR152" s="561"/>
      <c r="FS152" s="561"/>
      <c r="FT152" s="561"/>
      <c r="FU152" s="561"/>
      <c r="FV152" s="561"/>
      <c r="FW152" s="561"/>
      <c r="FX152" s="561"/>
      <c r="FY152" s="561"/>
      <c r="FZ152" s="561"/>
      <c r="GA152" s="561"/>
      <c r="GB152" s="561"/>
      <c r="GC152" s="561"/>
      <c r="GD152" s="561"/>
      <c r="GE152" s="561"/>
      <c r="GF152" s="561"/>
      <c r="GG152" s="561"/>
      <c r="GH152" s="561"/>
      <c r="GI152" s="561"/>
      <c r="GJ152" s="561"/>
      <c r="GK152" s="561"/>
      <c r="GL152" s="561"/>
      <c r="GM152" s="561"/>
      <c r="GN152" s="561"/>
      <c r="GO152" s="561"/>
      <c r="GP152" s="561"/>
      <c r="GQ152" s="561"/>
      <c r="GR152" s="561"/>
      <c r="GS152" s="561"/>
      <c r="GT152" s="561"/>
      <c r="GU152" s="561"/>
      <c r="GV152" s="561"/>
      <c r="GW152" s="561"/>
      <c r="GX152" s="561"/>
      <c r="GY152" s="561"/>
      <c r="GZ152" s="561"/>
      <c r="HA152" s="561"/>
      <c r="HB152" s="561"/>
      <c r="HC152" s="561"/>
      <c r="HD152" s="561"/>
      <c r="HE152" s="561"/>
      <c r="HF152" s="561"/>
      <c r="HG152" s="561"/>
      <c r="HH152" s="561"/>
      <c r="HI152" s="561"/>
      <c r="HJ152" s="561"/>
      <c r="HK152" s="561"/>
      <c r="HL152" s="561"/>
      <c r="HM152" s="561"/>
      <c r="HN152" s="561"/>
      <c r="HO152" s="561"/>
      <c r="HP152" s="561"/>
      <c r="HQ152" s="561"/>
      <c r="HR152" s="561"/>
      <c r="HS152" s="561"/>
      <c r="HT152" s="561"/>
      <c r="HU152" s="561"/>
      <c r="HV152" s="561"/>
      <c r="HW152" s="561"/>
      <c r="HX152" s="561"/>
      <c r="HY152" s="561"/>
      <c r="HZ152" s="561"/>
      <c r="IA152" s="561"/>
      <c r="IB152" s="561"/>
      <c r="IC152" s="561"/>
      <c r="ID152" s="561"/>
      <c r="IE152" s="561"/>
      <c r="IF152" s="561"/>
      <c r="IG152" s="561"/>
      <c r="IH152" s="561"/>
      <c r="II152" s="561"/>
      <c r="IJ152" s="561"/>
      <c r="IK152" s="561"/>
      <c r="IL152" s="561"/>
      <c r="IM152" s="561"/>
      <c r="IN152" s="561"/>
      <c r="IO152" s="561"/>
      <c r="IP152" s="561"/>
      <c r="IQ152" s="561"/>
      <c r="IR152" s="561"/>
      <c r="IS152" s="561"/>
      <c r="IT152" s="561"/>
      <c r="IU152" s="561"/>
      <c r="IV152" s="561"/>
      <c r="IW152" s="561"/>
    </row>
    <row r="153" customFormat="false" ht="12.75" hidden="false" customHeight="false" outlineLevel="1" collapsed="false">
      <c r="A153" s="574" t="s">
        <v>1065</v>
      </c>
      <c r="B153" s="575"/>
      <c r="C153" s="576"/>
      <c r="D153" s="554"/>
      <c r="E153" s="555"/>
      <c r="F153" s="556"/>
      <c r="H153" s="577"/>
      <c r="I153" s="558" t="n">
        <f aca="false">IF(D162=0,0,I162/D162)</f>
        <v>1</v>
      </c>
      <c r="J153" s="558" t="n">
        <f aca="false">1-I153</f>
        <v>0</v>
      </c>
      <c r="K153" s="559" t="n">
        <f aca="false">IF(D162=0,0,K162/D162)</f>
        <v>1</v>
      </c>
      <c r="L153" s="559" t="n">
        <f aca="false">1-K153</f>
        <v>0</v>
      </c>
      <c r="M153" s="561"/>
      <c r="N153" s="561"/>
      <c r="O153" s="561"/>
      <c r="P153" s="561"/>
      <c r="Q153" s="561"/>
      <c r="R153" s="561"/>
      <c r="S153" s="561"/>
      <c r="T153" s="561"/>
      <c r="U153" s="561"/>
      <c r="V153" s="561"/>
      <c r="W153" s="561"/>
      <c r="X153" s="561"/>
      <c r="Y153" s="561"/>
      <c r="Z153" s="561"/>
      <c r="AA153" s="561"/>
      <c r="AB153" s="561"/>
      <c r="AC153" s="561"/>
      <c r="AD153" s="561"/>
      <c r="AE153" s="561"/>
      <c r="AF153" s="561"/>
      <c r="AG153" s="561"/>
      <c r="AH153" s="561"/>
      <c r="AI153" s="561"/>
      <c r="AJ153" s="561"/>
      <c r="AK153" s="561"/>
      <c r="AL153" s="561"/>
      <c r="AM153" s="561"/>
      <c r="AN153" s="561"/>
      <c r="AO153" s="561"/>
      <c r="AP153" s="561"/>
      <c r="AQ153" s="561"/>
      <c r="AR153" s="561"/>
      <c r="AS153" s="561"/>
      <c r="AT153" s="561"/>
      <c r="AU153" s="561"/>
      <c r="AV153" s="561"/>
      <c r="AW153" s="561"/>
      <c r="AX153" s="561"/>
      <c r="AY153" s="561"/>
      <c r="AZ153" s="561"/>
      <c r="BA153" s="561"/>
      <c r="BB153" s="561"/>
      <c r="BC153" s="561"/>
      <c r="BD153" s="561"/>
      <c r="BE153" s="561"/>
      <c r="BF153" s="561"/>
      <c r="BG153" s="561"/>
      <c r="BH153" s="561"/>
      <c r="BI153" s="561"/>
      <c r="BJ153" s="561"/>
      <c r="BK153" s="561"/>
      <c r="BL153" s="561"/>
      <c r="BM153" s="561"/>
      <c r="BN153" s="561"/>
      <c r="BO153" s="561"/>
      <c r="BP153" s="561"/>
      <c r="BQ153" s="561"/>
      <c r="BR153" s="561"/>
      <c r="BS153" s="561"/>
      <c r="BT153" s="561"/>
      <c r="BU153" s="561"/>
      <c r="BV153" s="561"/>
      <c r="BW153" s="561"/>
      <c r="BX153" s="561"/>
      <c r="BY153" s="561"/>
      <c r="BZ153" s="561"/>
      <c r="CA153" s="561"/>
      <c r="CB153" s="561"/>
      <c r="CC153" s="561"/>
      <c r="CD153" s="561"/>
      <c r="CE153" s="561"/>
      <c r="CF153" s="561"/>
      <c r="CG153" s="561"/>
      <c r="CH153" s="561"/>
      <c r="CI153" s="561"/>
      <c r="CJ153" s="561"/>
      <c r="CK153" s="561"/>
      <c r="CL153" s="561"/>
      <c r="CM153" s="561"/>
      <c r="CN153" s="561"/>
      <c r="CO153" s="561"/>
      <c r="CP153" s="561"/>
      <c r="CQ153" s="561"/>
      <c r="CR153" s="561"/>
      <c r="CS153" s="561"/>
      <c r="CT153" s="561"/>
      <c r="CU153" s="561"/>
      <c r="CV153" s="561"/>
      <c r="CW153" s="561"/>
      <c r="CX153" s="561"/>
      <c r="CY153" s="561"/>
      <c r="CZ153" s="561"/>
      <c r="DA153" s="561"/>
      <c r="DB153" s="561"/>
      <c r="DC153" s="561"/>
      <c r="DD153" s="561"/>
      <c r="DE153" s="561"/>
      <c r="DF153" s="561"/>
      <c r="DG153" s="561"/>
      <c r="DH153" s="561"/>
      <c r="DI153" s="561"/>
      <c r="DJ153" s="561"/>
      <c r="DK153" s="561"/>
      <c r="DL153" s="561"/>
      <c r="DM153" s="561"/>
      <c r="DN153" s="561"/>
      <c r="DO153" s="561"/>
      <c r="DP153" s="561"/>
      <c r="DQ153" s="561"/>
      <c r="DR153" s="561"/>
      <c r="DS153" s="561"/>
      <c r="DT153" s="561"/>
      <c r="DU153" s="561"/>
      <c r="DV153" s="561"/>
      <c r="DW153" s="561"/>
      <c r="DX153" s="561"/>
      <c r="DY153" s="561"/>
      <c r="DZ153" s="561"/>
      <c r="EA153" s="561"/>
      <c r="EB153" s="561"/>
      <c r="EC153" s="561"/>
      <c r="ED153" s="561"/>
      <c r="EE153" s="561"/>
      <c r="EF153" s="561"/>
      <c r="EG153" s="561"/>
      <c r="EH153" s="561"/>
      <c r="EI153" s="561"/>
      <c r="EJ153" s="561"/>
      <c r="EK153" s="561"/>
      <c r="EL153" s="561"/>
      <c r="EM153" s="561"/>
      <c r="EN153" s="561"/>
      <c r="EO153" s="561"/>
      <c r="EP153" s="561"/>
      <c r="EQ153" s="561"/>
      <c r="ER153" s="561"/>
      <c r="ES153" s="561"/>
      <c r="ET153" s="561"/>
      <c r="EU153" s="561"/>
      <c r="EV153" s="561"/>
      <c r="EW153" s="561"/>
      <c r="EX153" s="561"/>
      <c r="EY153" s="561"/>
      <c r="EZ153" s="561"/>
      <c r="FA153" s="561"/>
      <c r="FB153" s="561"/>
      <c r="FC153" s="561"/>
      <c r="FD153" s="561"/>
      <c r="FE153" s="561"/>
      <c r="FF153" s="561"/>
      <c r="FG153" s="561"/>
      <c r="FH153" s="561"/>
      <c r="FI153" s="561"/>
      <c r="FJ153" s="561"/>
      <c r="FK153" s="561"/>
      <c r="FL153" s="561"/>
      <c r="FM153" s="561"/>
      <c r="FN153" s="561"/>
      <c r="FO153" s="561"/>
      <c r="FP153" s="561"/>
      <c r="FQ153" s="561"/>
      <c r="FR153" s="561"/>
      <c r="FS153" s="561"/>
      <c r="FT153" s="561"/>
      <c r="FU153" s="561"/>
      <c r="FV153" s="561"/>
      <c r="FW153" s="561"/>
      <c r="FX153" s="561"/>
      <c r="FY153" s="561"/>
      <c r="FZ153" s="561"/>
      <c r="GA153" s="561"/>
      <c r="GB153" s="561"/>
      <c r="GC153" s="561"/>
      <c r="GD153" s="561"/>
      <c r="GE153" s="561"/>
      <c r="GF153" s="561"/>
      <c r="GG153" s="561"/>
      <c r="GH153" s="561"/>
      <c r="GI153" s="561"/>
      <c r="GJ153" s="561"/>
      <c r="GK153" s="561"/>
      <c r="GL153" s="561"/>
      <c r="GM153" s="561"/>
      <c r="GN153" s="561"/>
      <c r="GO153" s="561"/>
      <c r="GP153" s="561"/>
      <c r="GQ153" s="561"/>
      <c r="GR153" s="561"/>
      <c r="GS153" s="561"/>
      <c r="GT153" s="561"/>
      <c r="GU153" s="561"/>
      <c r="GV153" s="561"/>
      <c r="GW153" s="561"/>
      <c r="GX153" s="561"/>
      <c r="GY153" s="561"/>
      <c r="GZ153" s="561"/>
      <c r="HA153" s="561"/>
      <c r="HB153" s="561"/>
      <c r="HC153" s="561"/>
      <c r="HD153" s="561"/>
      <c r="HE153" s="561"/>
      <c r="HF153" s="561"/>
      <c r="HG153" s="561"/>
      <c r="HH153" s="561"/>
      <c r="HI153" s="561"/>
      <c r="HJ153" s="561"/>
      <c r="HK153" s="561"/>
      <c r="HL153" s="561"/>
      <c r="HM153" s="561"/>
      <c r="HN153" s="561"/>
      <c r="HO153" s="561"/>
      <c r="HP153" s="561"/>
      <c r="HQ153" s="561"/>
      <c r="HR153" s="561"/>
      <c r="HS153" s="561"/>
      <c r="HT153" s="561"/>
      <c r="HU153" s="561"/>
      <c r="HV153" s="561"/>
      <c r="HW153" s="561"/>
      <c r="HX153" s="561"/>
      <c r="HY153" s="561"/>
      <c r="HZ153" s="561"/>
      <c r="IA153" s="561"/>
      <c r="IB153" s="561"/>
      <c r="IC153" s="561"/>
      <c r="ID153" s="561"/>
      <c r="IE153" s="561"/>
      <c r="IF153" s="561"/>
      <c r="IG153" s="561"/>
      <c r="IH153" s="561"/>
      <c r="II153" s="561"/>
      <c r="IJ153" s="561"/>
      <c r="IK153" s="561"/>
      <c r="IL153" s="561"/>
      <c r="IM153" s="561"/>
      <c r="IN153" s="561"/>
      <c r="IO153" s="561"/>
      <c r="IP153" s="561"/>
      <c r="IQ153" s="561"/>
      <c r="IR153" s="561"/>
      <c r="IS153" s="561"/>
      <c r="IT153" s="561"/>
      <c r="IU153" s="561"/>
      <c r="IV153" s="561"/>
      <c r="IW153" s="561"/>
    </row>
    <row r="154" customFormat="false" ht="12.75" hidden="false" customHeight="false" outlineLevel="2" collapsed="false">
      <c r="A154" s="316"/>
      <c r="B154" s="569" t="str">
        <f aca="false">'Plant Configuration'!C193</f>
        <v>Repair Parts</v>
      </c>
      <c r="C154" s="44"/>
      <c r="D154" s="578" t="n">
        <f aca="false">IF($O$7=6,0,HLOOKUP($D$5,Plant_Configuration,'Plant Configuration'!A193,FALSE()))+IF($R$7=6,0,HLOOKUP($E$5,Plant_Configuration,'Plant Configuration'!A193,FALSE()))+IF($U$7=6,0,HLOOKUP($F$5,Plant_Configuration,'Plant Configuration'!A193,FALSE()))</f>
        <v>79526.1908096282</v>
      </c>
      <c r="E154" s="342" t="n">
        <v>0</v>
      </c>
      <c r="F154" s="566" t="n">
        <v>1</v>
      </c>
      <c r="H154" s="316" t="s">
        <v>1055</v>
      </c>
      <c r="I154" s="567" t="n">
        <f aca="false">D154-J154</f>
        <v>79526.1908096282</v>
      </c>
      <c r="J154" s="567" t="n">
        <f aca="false">E154*D154</f>
        <v>0</v>
      </c>
      <c r="K154" s="317" t="n">
        <f aca="false">F154*D154</f>
        <v>79526.1908096282</v>
      </c>
      <c r="L154" s="317" t="n">
        <f aca="false">D154-K154</f>
        <v>0</v>
      </c>
      <c r="N154" s="45"/>
      <c r="O154" s="45"/>
    </row>
    <row r="155" customFormat="false" ht="12.75" hidden="false" customHeight="false" outlineLevel="2" collapsed="false">
      <c r="A155" s="316"/>
      <c r="B155" s="569" t="str">
        <f aca="false">'Plant Configuration'!C194</f>
        <v>Outside Repair Services</v>
      </c>
      <c r="C155" s="44"/>
      <c r="D155" s="578" t="n">
        <f aca="false">IF($O$7=6,0,HLOOKUP($D$5,Plant_Configuration,'Plant Configuration'!A194,FALSE()))+IF($R$7=6,0,HLOOKUP($E$5,Plant_Configuration,'Plant Configuration'!A194,FALSE()))+IF($U$7=6,0,HLOOKUP($F$5,Plant_Configuration,'Plant Configuration'!A194,FALSE()))</f>
        <v>31810.4763238513</v>
      </c>
      <c r="E155" s="342" t="n">
        <v>0</v>
      </c>
      <c r="F155" s="566" t="n">
        <v>1</v>
      </c>
      <c r="H155" s="316" t="s">
        <v>1066</v>
      </c>
      <c r="I155" s="567" t="n">
        <f aca="false">D155-J155</f>
        <v>31810.4763238513</v>
      </c>
      <c r="J155" s="567" t="n">
        <f aca="false">E155*D155</f>
        <v>0</v>
      </c>
      <c r="K155" s="317" t="n">
        <f aca="false">F155*D155</f>
        <v>31810.4763238513</v>
      </c>
      <c r="L155" s="317" t="n">
        <f aca="false">D155-K155</f>
        <v>0</v>
      </c>
      <c r="N155" s="45"/>
      <c r="O155" s="45"/>
    </row>
    <row r="156" customFormat="false" ht="12.75" hidden="false" customHeight="false" outlineLevel="2" collapsed="false">
      <c r="A156" s="316"/>
      <c r="B156" s="569" t="str">
        <f aca="false">'Plant Configuration'!C195</f>
        <v>Technical/Professional Services</v>
      </c>
      <c r="C156" s="44"/>
      <c r="D156" s="578" t="n">
        <f aca="false">IF($O$7=6,0,HLOOKUP($D$5,Plant_Configuration,'Plant Configuration'!A195,FALSE()))+IF($R$7=6,0,HLOOKUP($E$5,Plant_Configuration,'Plant Configuration'!A195,FALSE()))+IF($U$7=6,0,HLOOKUP($F$5,Plant_Configuration,'Plant Configuration'!A195,FALSE()))</f>
        <v>15905.2381619256</v>
      </c>
      <c r="E156" s="342" t="n">
        <v>0</v>
      </c>
      <c r="F156" s="566" t="n">
        <v>1</v>
      </c>
      <c r="H156" s="435" t="s">
        <v>1057</v>
      </c>
      <c r="I156" s="567" t="n">
        <f aca="false">D156-J156</f>
        <v>15905.2381619256</v>
      </c>
      <c r="J156" s="567" t="n">
        <f aca="false">E156*D156</f>
        <v>0</v>
      </c>
      <c r="K156" s="317" t="n">
        <f aca="false">F156*D156</f>
        <v>15905.2381619256</v>
      </c>
      <c r="L156" s="317" t="n">
        <f aca="false">D156-K156</f>
        <v>0</v>
      </c>
      <c r="N156" s="45"/>
      <c r="O156" s="45"/>
    </row>
    <row r="157" customFormat="false" ht="12.75" hidden="false" customHeight="false" outlineLevel="2" collapsed="false">
      <c r="A157" s="316"/>
      <c r="B157" s="569" t="str">
        <f aca="false">'Plant Configuration'!C196</f>
        <v>Outside Contract Labor</v>
      </c>
      <c r="C157" s="44"/>
      <c r="D157" s="578" t="n">
        <f aca="false">IF($O$7=6,0,HLOOKUP($D$5,Plant_Configuration,'Plant Configuration'!A196,FALSE()))+IF($R$7=6,0,HLOOKUP($E$5,Plant_Configuration,'Plant Configuration'!A196,FALSE()))+IF($U$7=6,0,HLOOKUP($F$5,Plant_Configuration,'Plant Configuration'!A196,FALSE()))</f>
        <v>23857.8572428885</v>
      </c>
      <c r="E157" s="342" t="n">
        <v>0</v>
      </c>
      <c r="F157" s="566" t="n">
        <v>1</v>
      </c>
      <c r="H157" s="316"/>
      <c r="I157" s="567" t="n">
        <f aca="false">D157-J157</f>
        <v>23857.8572428885</v>
      </c>
      <c r="J157" s="567" t="n">
        <f aca="false">E157*D157</f>
        <v>0</v>
      </c>
      <c r="K157" s="317" t="n">
        <f aca="false">F157*D157</f>
        <v>23857.8572428885</v>
      </c>
      <c r="L157" s="317" t="n">
        <f aca="false">D157-K157</f>
        <v>0</v>
      </c>
      <c r="N157" s="45"/>
      <c r="O157" s="45"/>
    </row>
    <row r="158" customFormat="false" ht="12.75" hidden="false" customHeight="false" outlineLevel="2" collapsed="false">
      <c r="A158" s="316"/>
      <c r="B158" s="569" t="str">
        <f aca="false">'Plant Configuration'!C197</f>
        <v>Equipment rental</v>
      </c>
      <c r="C158" s="44"/>
      <c r="D158" s="578" t="n">
        <f aca="false">IF($O$7=6,0,HLOOKUP($D$5,Plant_Configuration,'Plant Configuration'!A197,FALSE()))+IF($R$7=6,0,HLOOKUP($E$5,Plant_Configuration,'Plant Configuration'!A197,FALSE()))+IF($U$7=6,0,HLOOKUP($F$5,Plant_Configuration,'Plant Configuration'!A197,FALSE()))</f>
        <v>7952.61908096282</v>
      </c>
      <c r="E158" s="342" t="n">
        <v>0</v>
      </c>
      <c r="F158" s="566" t="n">
        <v>1</v>
      </c>
      <c r="H158" s="316"/>
      <c r="I158" s="567" t="n">
        <f aca="false">D158-J158</f>
        <v>7952.61908096282</v>
      </c>
      <c r="J158" s="567" t="n">
        <f aca="false">E158*D158</f>
        <v>0</v>
      </c>
      <c r="K158" s="317" t="n">
        <f aca="false">F158*D158</f>
        <v>7952.61908096282</v>
      </c>
      <c r="L158" s="317" t="n">
        <f aca="false">D158-K158</f>
        <v>0</v>
      </c>
      <c r="N158" s="45"/>
      <c r="O158" s="45"/>
    </row>
    <row r="159" customFormat="false" ht="12.75" hidden="false" customHeight="false" outlineLevel="2" collapsed="false">
      <c r="A159" s="316"/>
      <c r="B159" s="569" t="str">
        <f aca="false">'Plant Configuration'!C198</f>
        <v>Miscellaneous (chillers)</v>
      </c>
      <c r="C159" s="44"/>
      <c r="D159" s="578" t="n">
        <f aca="false">IF($O$7=6,0,HLOOKUP($D$5,Plant_Configuration,'Plant Configuration'!A198,FALSE()))+IF($R$7=6,0,HLOOKUP($E$5,Plant_Configuration,'Plant Configuration'!A198,FALSE()))+IF($U$7=6,0,HLOOKUP($F$5,Plant_Configuration,'Plant Configuration'!A198,FALSE()))</f>
        <v>0</v>
      </c>
      <c r="E159" s="342" t="n">
        <v>0</v>
      </c>
      <c r="F159" s="566" t="n">
        <v>1</v>
      </c>
      <c r="H159" s="316"/>
      <c r="I159" s="567" t="n">
        <f aca="false">D159-J159</f>
        <v>0</v>
      </c>
      <c r="J159" s="567" t="n">
        <f aca="false">E159*D159</f>
        <v>0</v>
      </c>
      <c r="K159" s="317" t="n">
        <f aca="false">F159*D159</f>
        <v>0</v>
      </c>
      <c r="L159" s="317" t="n">
        <f aca="false">D159-K159</f>
        <v>0</v>
      </c>
      <c r="N159" s="45"/>
      <c r="O159" s="45"/>
    </row>
    <row r="160" customFormat="false" ht="12.75" hidden="false" customHeight="false" outlineLevel="2" collapsed="false">
      <c r="A160" s="316"/>
      <c r="B160" s="569" t="str">
        <f aca="false">'Plant Configuration'!C199</f>
        <v>Freight</v>
      </c>
      <c r="C160" s="44"/>
      <c r="D160" s="578" t="n">
        <f aca="false">IF($O$7=6,0,HLOOKUP($D$5,Plant_Configuration,'Plant Configuration'!A199,FALSE()))+IF($R$7=6,0,HLOOKUP($E$5,Plant_Configuration,'Plant Configuration'!A199,FALSE()))+IF($U$7=6,0,HLOOKUP($F$5,Plant_Configuration,'Plant Configuration'!A199,FALSE()))</f>
        <v>0</v>
      </c>
      <c r="E160" s="342" t="n">
        <v>0</v>
      </c>
      <c r="F160" s="566" t="n">
        <v>1</v>
      </c>
      <c r="H160" s="316" t="s">
        <v>1038</v>
      </c>
      <c r="I160" s="567" t="n">
        <f aca="false">D160-J160</f>
        <v>0</v>
      </c>
      <c r="J160" s="567" t="n">
        <f aca="false">E160*D160</f>
        <v>0</v>
      </c>
      <c r="K160" s="317" t="n">
        <f aca="false">F160*D160</f>
        <v>0</v>
      </c>
      <c r="L160" s="317" t="n">
        <f aca="false">D160-K160</f>
        <v>0</v>
      </c>
      <c r="N160" s="45"/>
      <c r="O160" s="45"/>
    </row>
    <row r="161" customFormat="false" ht="12.75" hidden="false" customHeight="false" outlineLevel="2" collapsed="false">
      <c r="A161" s="316"/>
      <c r="B161" s="569" t="str">
        <f aca="false">'Plant Configuration'!C200</f>
        <v>Other</v>
      </c>
      <c r="C161" s="44"/>
      <c r="D161" s="578" t="n">
        <f aca="false">IF($O$7=6,0,HLOOKUP($D$5,Plant_Configuration,'Plant Configuration'!A200,FALSE()))+IF($R$7=6,0,HLOOKUP($E$5,Plant_Configuration,'Plant Configuration'!A200,FALSE()))+IF($U$7=6,0,HLOOKUP($F$5,Plant_Configuration,'Plant Configuration'!A200,FALSE()))</f>
        <v>0</v>
      </c>
      <c r="E161" s="342" t="n">
        <v>0</v>
      </c>
      <c r="F161" s="566" t="n">
        <v>1</v>
      </c>
      <c r="H161" s="316"/>
      <c r="I161" s="567" t="n">
        <f aca="false">D161-J161</f>
        <v>0</v>
      </c>
      <c r="J161" s="567" t="n">
        <f aca="false">E161*D161</f>
        <v>0</v>
      </c>
      <c r="K161" s="317"/>
      <c r="L161" s="317"/>
      <c r="N161" s="45"/>
      <c r="O161" s="45"/>
    </row>
    <row r="162" customFormat="false" ht="12.75" hidden="false" customHeight="false" outlineLevel="1" collapsed="false">
      <c r="A162" s="579"/>
      <c r="B162" s="570" t="s">
        <v>431</v>
      </c>
      <c r="C162" s="0"/>
      <c r="D162" s="571" t="n">
        <f aca="false">SUBTOTAL(9,D154:D161)</f>
        <v>159052.381619256</v>
      </c>
      <c r="E162" s="572"/>
      <c r="F162" s="573"/>
      <c r="H162" s="316" t="s">
        <v>1039</v>
      </c>
      <c r="I162" s="571" t="n">
        <f aca="false">SUBTOTAL(9,I154:I161)</f>
        <v>159052.381619256</v>
      </c>
      <c r="J162" s="571" t="n">
        <f aca="false">SUBTOTAL(9,J154:J161)</f>
        <v>0</v>
      </c>
      <c r="K162" s="571" t="n">
        <f aca="false">SUBTOTAL(9,K154:K161)</f>
        <v>159052.381619256</v>
      </c>
      <c r="L162" s="571" t="n">
        <f aca="false">SUBTOTAL(9,L154:L161)</f>
        <v>0</v>
      </c>
      <c r="M162" s="561"/>
      <c r="N162" s="561"/>
      <c r="O162" s="561"/>
      <c r="P162" s="561"/>
      <c r="Q162" s="561"/>
      <c r="R162" s="561"/>
      <c r="S162" s="561"/>
      <c r="T162" s="561"/>
      <c r="U162" s="561"/>
      <c r="V162" s="561"/>
      <c r="W162" s="561"/>
      <c r="X162" s="561"/>
      <c r="Y162" s="561"/>
      <c r="Z162" s="561"/>
      <c r="AA162" s="561"/>
      <c r="AB162" s="561"/>
      <c r="AC162" s="561"/>
      <c r="AD162" s="561"/>
      <c r="AE162" s="561"/>
      <c r="AF162" s="561"/>
      <c r="AG162" s="561"/>
      <c r="AH162" s="561"/>
      <c r="AI162" s="561"/>
      <c r="AJ162" s="561"/>
      <c r="AK162" s="561"/>
      <c r="AL162" s="561"/>
      <c r="AM162" s="561"/>
      <c r="AN162" s="561"/>
      <c r="AO162" s="561"/>
      <c r="AP162" s="561"/>
      <c r="AQ162" s="561"/>
      <c r="AR162" s="561"/>
      <c r="AS162" s="561"/>
      <c r="AT162" s="561"/>
      <c r="AU162" s="561"/>
      <c r="AV162" s="561"/>
      <c r="AW162" s="561"/>
      <c r="AX162" s="561"/>
      <c r="AY162" s="561"/>
      <c r="AZ162" s="561"/>
      <c r="BA162" s="561"/>
      <c r="BB162" s="561"/>
      <c r="BC162" s="561"/>
      <c r="BD162" s="561"/>
      <c r="BE162" s="561"/>
      <c r="BF162" s="561"/>
      <c r="BG162" s="561"/>
      <c r="BH162" s="561"/>
      <c r="BI162" s="561"/>
      <c r="BJ162" s="561"/>
      <c r="BK162" s="561"/>
      <c r="BL162" s="561"/>
      <c r="BM162" s="561"/>
      <c r="BN162" s="561"/>
      <c r="BO162" s="561"/>
      <c r="BP162" s="561"/>
      <c r="BQ162" s="561"/>
      <c r="BR162" s="561"/>
      <c r="BS162" s="561"/>
      <c r="BT162" s="561"/>
      <c r="BU162" s="561"/>
      <c r="BV162" s="561"/>
      <c r="BW162" s="561"/>
      <c r="BX162" s="561"/>
      <c r="BY162" s="561"/>
      <c r="BZ162" s="561"/>
      <c r="CA162" s="561"/>
      <c r="CB162" s="561"/>
      <c r="CC162" s="561"/>
      <c r="CD162" s="561"/>
      <c r="CE162" s="561"/>
      <c r="CF162" s="561"/>
      <c r="CG162" s="561"/>
      <c r="CH162" s="561"/>
      <c r="CI162" s="561"/>
      <c r="CJ162" s="561"/>
      <c r="CK162" s="561"/>
      <c r="CL162" s="561"/>
      <c r="CM162" s="561"/>
      <c r="CN162" s="561"/>
      <c r="CO162" s="561"/>
      <c r="CP162" s="561"/>
      <c r="CQ162" s="561"/>
      <c r="CR162" s="561"/>
      <c r="CS162" s="561"/>
      <c r="CT162" s="561"/>
      <c r="CU162" s="561"/>
      <c r="CV162" s="561"/>
      <c r="CW162" s="561"/>
      <c r="CX162" s="561"/>
      <c r="CY162" s="561"/>
      <c r="CZ162" s="561"/>
      <c r="DA162" s="561"/>
      <c r="DB162" s="561"/>
      <c r="DC162" s="561"/>
      <c r="DD162" s="561"/>
      <c r="DE162" s="561"/>
      <c r="DF162" s="561"/>
      <c r="DG162" s="561"/>
      <c r="DH162" s="561"/>
      <c r="DI162" s="561"/>
      <c r="DJ162" s="561"/>
      <c r="DK162" s="561"/>
      <c r="DL162" s="561"/>
      <c r="DM162" s="561"/>
      <c r="DN162" s="561"/>
      <c r="DO162" s="561"/>
      <c r="DP162" s="561"/>
      <c r="DQ162" s="561"/>
      <c r="DR162" s="561"/>
      <c r="DS162" s="561"/>
      <c r="DT162" s="561"/>
      <c r="DU162" s="561"/>
      <c r="DV162" s="561"/>
      <c r="DW162" s="561"/>
      <c r="DX162" s="561"/>
      <c r="DY162" s="561"/>
      <c r="DZ162" s="561"/>
      <c r="EA162" s="561"/>
      <c r="EB162" s="561"/>
      <c r="EC162" s="561"/>
      <c r="ED162" s="561"/>
      <c r="EE162" s="561"/>
      <c r="EF162" s="561"/>
      <c r="EG162" s="561"/>
      <c r="EH162" s="561"/>
      <c r="EI162" s="561"/>
      <c r="EJ162" s="561"/>
      <c r="EK162" s="561"/>
      <c r="EL162" s="561"/>
      <c r="EM162" s="561"/>
      <c r="EN162" s="561"/>
      <c r="EO162" s="561"/>
      <c r="EP162" s="561"/>
      <c r="EQ162" s="561"/>
      <c r="ER162" s="561"/>
      <c r="ES162" s="561"/>
      <c r="ET162" s="561"/>
      <c r="EU162" s="561"/>
      <c r="EV162" s="561"/>
      <c r="EW162" s="561"/>
      <c r="EX162" s="561"/>
      <c r="EY162" s="561"/>
      <c r="EZ162" s="561"/>
      <c r="FA162" s="561"/>
      <c r="FB162" s="561"/>
      <c r="FC162" s="561"/>
      <c r="FD162" s="561"/>
      <c r="FE162" s="561"/>
      <c r="FF162" s="561"/>
      <c r="FG162" s="561"/>
      <c r="FH162" s="561"/>
      <c r="FI162" s="561"/>
      <c r="FJ162" s="561"/>
      <c r="FK162" s="561"/>
      <c r="FL162" s="561"/>
      <c r="FM162" s="561"/>
      <c r="FN162" s="561"/>
      <c r="FO162" s="561"/>
      <c r="FP162" s="561"/>
      <c r="FQ162" s="561"/>
      <c r="FR162" s="561"/>
      <c r="FS162" s="561"/>
      <c r="FT162" s="561"/>
      <c r="FU162" s="561"/>
      <c r="FV162" s="561"/>
      <c r="FW162" s="561"/>
      <c r="FX162" s="561"/>
      <c r="FY162" s="561"/>
      <c r="FZ162" s="561"/>
      <c r="GA162" s="561"/>
      <c r="GB162" s="561"/>
      <c r="GC162" s="561"/>
      <c r="GD162" s="561"/>
      <c r="GE162" s="561"/>
      <c r="GF162" s="561"/>
      <c r="GG162" s="561"/>
      <c r="GH162" s="561"/>
      <c r="GI162" s="561"/>
      <c r="GJ162" s="561"/>
      <c r="GK162" s="561"/>
      <c r="GL162" s="561"/>
      <c r="GM162" s="561"/>
      <c r="GN162" s="561"/>
      <c r="GO162" s="561"/>
      <c r="GP162" s="561"/>
      <c r="GQ162" s="561"/>
      <c r="GR162" s="561"/>
      <c r="GS162" s="561"/>
      <c r="GT162" s="561"/>
      <c r="GU162" s="561"/>
      <c r="GV162" s="561"/>
      <c r="GW162" s="561"/>
      <c r="GX162" s="561"/>
      <c r="GY162" s="561"/>
      <c r="GZ162" s="561"/>
      <c r="HA162" s="561"/>
      <c r="HB162" s="561"/>
      <c r="HC162" s="561"/>
      <c r="HD162" s="561"/>
      <c r="HE162" s="561"/>
      <c r="HF162" s="561"/>
      <c r="HG162" s="561"/>
      <c r="HH162" s="561"/>
      <c r="HI162" s="561"/>
      <c r="HJ162" s="561"/>
      <c r="HK162" s="561"/>
      <c r="HL162" s="561"/>
      <c r="HM162" s="561"/>
      <c r="HN162" s="561"/>
      <c r="HO162" s="561"/>
      <c r="HP162" s="561"/>
      <c r="HQ162" s="561"/>
      <c r="HR162" s="561"/>
      <c r="HS162" s="561"/>
      <c r="HT162" s="561"/>
      <c r="HU162" s="561"/>
      <c r="HV162" s="561"/>
      <c r="HW162" s="561"/>
      <c r="HX162" s="561"/>
      <c r="HY162" s="561"/>
      <c r="HZ162" s="561"/>
      <c r="IA162" s="561"/>
      <c r="IB162" s="561"/>
      <c r="IC162" s="561"/>
      <c r="ID162" s="561"/>
      <c r="IE162" s="561"/>
      <c r="IF162" s="561"/>
      <c r="IG162" s="561"/>
      <c r="IH162" s="561"/>
      <c r="II162" s="561"/>
      <c r="IJ162" s="561"/>
      <c r="IK162" s="561"/>
      <c r="IL162" s="561"/>
      <c r="IM162" s="561"/>
      <c r="IN162" s="561"/>
      <c r="IO162" s="561"/>
      <c r="IP162" s="561"/>
      <c r="IQ162" s="561"/>
      <c r="IR162" s="561"/>
      <c r="IS162" s="561"/>
      <c r="IT162" s="561"/>
      <c r="IU162" s="561"/>
      <c r="IV162" s="561"/>
      <c r="IW162" s="561"/>
    </row>
    <row r="163" customFormat="false" ht="12.75" hidden="false" customHeight="false" outlineLevel="1" collapsed="false">
      <c r="A163" s="574" t="s">
        <v>1067</v>
      </c>
      <c r="B163" s="575"/>
      <c r="C163" s="576"/>
      <c r="D163" s="554"/>
      <c r="E163" s="555"/>
      <c r="F163" s="556"/>
      <c r="H163" s="577"/>
      <c r="I163" s="558" t="n">
        <f aca="false">IF(D173=0,0,I173/D173)</f>
        <v>1</v>
      </c>
      <c r="J163" s="558" t="n">
        <f aca="false">1-I163</f>
        <v>0</v>
      </c>
      <c r="K163" s="559" t="n">
        <f aca="false">IF(D173=0,0,K173/D173)</f>
        <v>1</v>
      </c>
      <c r="L163" s="559" t="n">
        <f aca="false">1-K163</f>
        <v>0</v>
      </c>
      <c r="M163" s="561"/>
      <c r="N163" s="561"/>
      <c r="O163" s="561"/>
      <c r="P163" s="561"/>
      <c r="Q163" s="561"/>
      <c r="R163" s="561"/>
      <c r="S163" s="561"/>
      <c r="T163" s="561"/>
      <c r="U163" s="561"/>
      <c r="V163" s="561"/>
      <c r="W163" s="561"/>
      <c r="X163" s="561"/>
      <c r="Y163" s="561"/>
      <c r="Z163" s="561"/>
      <c r="AA163" s="561"/>
      <c r="AB163" s="561"/>
      <c r="AC163" s="561"/>
      <c r="AD163" s="561"/>
      <c r="AE163" s="561"/>
      <c r="AF163" s="561"/>
      <c r="AG163" s="561"/>
      <c r="AH163" s="561"/>
      <c r="AI163" s="561"/>
      <c r="AJ163" s="561"/>
      <c r="AK163" s="561"/>
      <c r="AL163" s="561"/>
      <c r="AM163" s="561"/>
      <c r="AN163" s="561"/>
      <c r="AO163" s="561"/>
      <c r="AP163" s="561"/>
      <c r="AQ163" s="561"/>
      <c r="AR163" s="561"/>
      <c r="AS163" s="561"/>
      <c r="AT163" s="561"/>
      <c r="AU163" s="561"/>
      <c r="AV163" s="561"/>
      <c r="AW163" s="561"/>
      <c r="AX163" s="561"/>
      <c r="AY163" s="561"/>
      <c r="AZ163" s="561"/>
      <c r="BA163" s="561"/>
      <c r="BB163" s="561"/>
      <c r="BC163" s="561"/>
      <c r="BD163" s="561"/>
      <c r="BE163" s="561"/>
      <c r="BF163" s="561"/>
      <c r="BG163" s="561"/>
      <c r="BH163" s="561"/>
      <c r="BI163" s="561"/>
      <c r="BJ163" s="561"/>
      <c r="BK163" s="561"/>
      <c r="BL163" s="561"/>
      <c r="BM163" s="561"/>
      <c r="BN163" s="561"/>
      <c r="BO163" s="561"/>
      <c r="BP163" s="561"/>
      <c r="BQ163" s="561"/>
      <c r="BR163" s="561"/>
      <c r="BS163" s="561"/>
      <c r="BT163" s="561"/>
      <c r="BU163" s="561"/>
      <c r="BV163" s="561"/>
      <c r="BW163" s="561"/>
      <c r="BX163" s="561"/>
      <c r="BY163" s="561"/>
      <c r="BZ163" s="561"/>
      <c r="CA163" s="561"/>
      <c r="CB163" s="561"/>
      <c r="CC163" s="561"/>
      <c r="CD163" s="561"/>
      <c r="CE163" s="561"/>
      <c r="CF163" s="561"/>
      <c r="CG163" s="561"/>
      <c r="CH163" s="561"/>
      <c r="CI163" s="561"/>
      <c r="CJ163" s="561"/>
      <c r="CK163" s="561"/>
      <c r="CL163" s="561"/>
      <c r="CM163" s="561"/>
      <c r="CN163" s="561"/>
      <c r="CO163" s="561"/>
      <c r="CP163" s="561"/>
      <c r="CQ163" s="561"/>
      <c r="CR163" s="561"/>
      <c r="CS163" s="561"/>
      <c r="CT163" s="561"/>
      <c r="CU163" s="561"/>
      <c r="CV163" s="561"/>
      <c r="CW163" s="561"/>
      <c r="CX163" s="561"/>
      <c r="CY163" s="561"/>
      <c r="CZ163" s="561"/>
      <c r="DA163" s="561"/>
      <c r="DB163" s="561"/>
      <c r="DC163" s="561"/>
      <c r="DD163" s="561"/>
      <c r="DE163" s="561"/>
      <c r="DF163" s="561"/>
      <c r="DG163" s="561"/>
      <c r="DH163" s="561"/>
      <c r="DI163" s="561"/>
      <c r="DJ163" s="561"/>
      <c r="DK163" s="561"/>
      <c r="DL163" s="561"/>
      <c r="DM163" s="561"/>
      <c r="DN163" s="561"/>
      <c r="DO163" s="561"/>
      <c r="DP163" s="561"/>
      <c r="DQ163" s="561"/>
      <c r="DR163" s="561"/>
      <c r="DS163" s="561"/>
      <c r="DT163" s="561"/>
      <c r="DU163" s="561"/>
      <c r="DV163" s="561"/>
      <c r="DW163" s="561"/>
      <c r="DX163" s="561"/>
      <c r="DY163" s="561"/>
      <c r="DZ163" s="561"/>
      <c r="EA163" s="561"/>
      <c r="EB163" s="561"/>
      <c r="EC163" s="561"/>
      <c r="ED163" s="561"/>
      <c r="EE163" s="561"/>
      <c r="EF163" s="561"/>
      <c r="EG163" s="561"/>
      <c r="EH163" s="561"/>
      <c r="EI163" s="561"/>
      <c r="EJ163" s="561"/>
      <c r="EK163" s="561"/>
      <c r="EL163" s="561"/>
      <c r="EM163" s="561"/>
      <c r="EN163" s="561"/>
      <c r="EO163" s="561"/>
      <c r="EP163" s="561"/>
      <c r="EQ163" s="561"/>
      <c r="ER163" s="561"/>
      <c r="ES163" s="561"/>
      <c r="ET163" s="561"/>
      <c r="EU163" s="561"/>
      <c r="EV163" s="561"/>
      <c r="EW163" s="561"/>
      <c r="EX163" s="561"/>
      <c r="EY163" s="561"/>
      <c r="EZ163" s="561"/>
      <c r="FA163" s="561"/>
      <c r="FB163" s="561"/>
      <c r="FC163" s="561"/>
      <c r="FD163" s="561"/>
      <c r="FE163" s="561"/>
      <c r="FF163" s="561"/>
      <c r="FG163" s="561"/>
      <c r="FH163" s="561"/>
      <c r="FI163" s="561"/>
      <c r="FJ163" s="561"/>
      <c r="FK163" s="561"/>
      <c r="FL163" s="561"/>
      <c r="FM163" s="561"/>
      <c r="FN163" s="561"/>
      <c r="FO163" s="561"/>
      <c r="FP163" s="561"/>
      <c r="FQ163" s="561"/>
      <c r="FR163" s="561"/>
      <c r="FS163" s="561"/>
      <c r="FT163" s="561"/>
      <c r="FU163" s="561"/>
      <c r="FV163" s="561"/>
      <c r="FW163" s="561"/>
      <c r="FX163" s="561"/>
      <c r="FY163" s="561"/>
      <c r="FZ163" s="561"/>
      <c r="GA163" s="561"/>
      <c r="GB163" s="561"/>
      <c r="GC163" s="561"/>
      <c r="GD163" s="561"/>
      <c r="GE163" s="561"/>
      <c r="GF163" s="561"/>
      <c r="GG163" s="561"/>
      <c r="GH163" s="561"/>
      <c r="GI163" s="561"/>
      <c r="GJ163" s="561"/>
      <c r="GK163" s="561"/>
      <c r="GL163" s="561"/>
      <c r="GM163" s="561"/>
      <c r="GN163" s="561"/>
      <c r="GO163" s="561"/>
      <c r="GP163" s="561"/>
      <c r="GQ163" s="561"/>
      <c r="GR163" s="561"/>
      <c r="GS163" s="561"/>
      <c r="GT163" s="561"/>
      <c r="GU163" s="561"/>
      <c r="GV163" s="561"/>
      <c r="GW163" s="561"/>
      <c r="GX163" s="561"/>
      <c r="GY163" s="561"/>
      <c r="GZ163" s="561"/>
      <c r="HA163" s="561"/>
      <c r="HB163" s="561"/>
      <c r="HC163" s="561"/>
      <c r="HD163" s="561"/>
      <c r="HE163" s="561"/>
      <c r="HF163" s="561"/>
      <c r="HG163" s="561"/>
      <c r="HH163" s="561"/>
      <c r="HI163" s="561"/>
      <c r="HJ163" s="561"/>
      <c r="HK163" s="561"/>
      <c r="HL163" s="561"/>
      <c r="HM163" s="561"/>
      <c r="HN163" s="561"/>
      <c r="HO163" s="561"/>
      <c r="HP163" s="561"/>
      <c r="HQ163" s="561"/>
      <c r="HR163" s="561"/>
      <c r="HS163" s="561"/>
      <c r="HT163" s="561"/>
      <c r="HU163" s="561"/>
      <c r="HV163" s="561"/>
      <c r="HW163" s="561"/>
      <c r="HX163" s="561"/>
      <c r="HY163" s="561"/>
      <c r="HZ163" s="561"/>
      <c r="IA163" s="561"/>
      <c r="IB163" s="561"/>
      <c r="IC163" s="561"/>
      <c r="ID163" s="561"/>
      <c r="IE163" s="561"/>
      <c r="IF163" s="561"/>
      <c r="IG163" s="561"/>
      <c r="IH163" s="561"/>
      <c r="II163" s="561"/>
      <c r="IJ163" s="561"/>
      <c r="IK163" s="561"/>
      <c r="IL163" s="561"/>
      <c r="IM163" s="561"/>
      <c r="IN163" s="561"/>
      <c r="IO163" s="561"/>
      <c r="IP163" s="561"/>
      <c r="IQ163" s="561"/>
      <c r="IR163" s="561"/>
      <c r="IS163" s="561"/>
      <c r="IT163" s="561"/>
      <c r="IU163" s="561"/>
      <c r="IV163" s="561"/>
      <c r="IW163" s="561"/>
    </row>
    <row r="164" customFormat="false" ht="12.75" hidden="false" customHeight="false" outlineLevel="2" collapsed="false">
      <c r="A164" s="316"/>
      <c r="B164" s="569" t="str">
        <f aca="false">'Plant Configuration'!C203</f>
        <v>Repair Parts</v>
      </c>
      <c r="C164" s="44"/>
      <c r="D164" s="578" t="n">
        <f aca="false">IF($O$7=6,0,HLOOKUP($D$5,Plant_Configuration,'Plant Configuration'!A203,FALSE()))+IF($R$7=6,0,HLOOKUP($E$5,Plant_Configuration,'Plant Configuration'!A203,FALSE()))+IF($U$7=6,0,HLOOKUP($F$5,Plant_Configuration,'Plant Configuration'!A203,FALSE()))</f>
        <v>28052.0554746914</v>
      </c>
      <c r="E164" s="342" t="n">
        <v>0</v>
      </c>
      <c r="F164" s="566" t="n">
        <v>1</v>
      </c>
      <c r="H164" s="316" t="s">
        <v>1068</v>
      </c>
      <c r="I164" s="567" t="n">
        <f aca="false">D164-J164</f>
        <v>28052.0554746914</v>
      </c>
      <c r="J164" s="567" t="n">
        <f aca="false">E164*D164</f>
        <v>0</v>
      </c>
      <c r="K164" s="317" t="n">
        <f aca="false">F164*D164</f>
        <v>28052.0554746914</v>
      </c>
      <c r="L164" s="317" t="n">
        <f aca="false">D164-K164</f>
        <v>0</v>
      </c>
      <c r="N164" s="45"/>
      <c r="O164" s="45"/>
    </row>
    <row r="165" customFormat="false" ht="12.75" hidden="false" customHeight="false" outlineLevel="2" collapsed="false">
      <c r="A165" s="316"/>
      <c r="B165" s="569" t="str">
        <f aca="false">'Plant Configuration'!C204</f>
        <v>Electric Meter Calibration &amp; Testing</v>
      </c>
      <c r="C165" s="44"/>
      <c r="D165" s="578" t="n">
        <f aca="false">IF($O$7=6,0,HLOOKUP($D$5,Plant_Configuration,'Plant Configuration'!A204,FALSE()))+IF($R$7=6,0,HLOOKUP($E$5,Plant_Configuration,'Plant Configuration'!A204,FALSE()))+IF($U$7=6,0,HLOOKUP($F$5,Plant_Configuration,'Plant Configuration'!A204,FALSE()))</f>
        <v>11220.8221898766</v>
      </c>
      <c r="E165" s="342" t="n">
        <v>0</v>
      </c>
      <c r="F165" s="566" t="n">
        <v>1</v>
      </c>
      <c r="H165" s="316" t="s">
        <v>1069</v>
      </c>
      <c r="I165" s="567" t="n">
        <f aca="false">D165-J165</f>
        <v>11220.8221898766</v>
      </c>
      <c r="J165" s="567" t="n">
        <f aca="false">E165*D165</f>
        <v>0</v>
      </c>
      <c r="K165" s="317" t="n">
        <f aca="false">F165*D165</f>
        <v>11220.8221898766</v>
      </c>
      <c r="L165" s="317" t="n">
        <f aca="false">D165-K165</f>
        <v>0</v>
      </c>
      <c r="N165" s="45"/>
      <c r="O165" s="45"/>
    </row>
    <row r="166" customFormat="false" ht="12.75" hidden="false" customHeight="false" outlineLevel="2" collapsed="false">
      <c r="A166" s="316"/>
      <c r="B166" s="569" t="str">
        <f aca="false">'Plant Configuration'!C205</f>
        <v>Outside Repair Services</v>
      </c>
      <c r="C166" s="44"/>
      <c r="D166" s="578" t="n">
        <f aca="false">IF($O$7=6,0,HLOOKUP($D$5,Plant_Configuration,'Plant Configuration'!A205,FALSE()))+IF($R$7=6,0,HLOOKUP($E$5,Plant_Configuration,'Plant Configuration'!A205,FALSE()))+IF($U$7=6,0,HLOOKUP($F$5,Plant_Configuration,'Plant Configuration'!A205,FALSE()))</f>
        <v>5610.41109493828</v>
      </c>
      <c r="E166" s="342" t="n">
        <v>0</v>
      </c>
      <c r="F166" s="566" t="n">
        <v>1</v>
      </c>
      <c r="H166" s="316" t="s">
        <v>1070</v>
      </c>
      <c r="I166" s="567" t="n">
        <f aca="false">D166-J166</f>
        <v>5610.41109493828</v>
      </c>
      <c r="J166" s="567" t="n">
        <f aca="false">E166*D166</f>
        <v>0</v>
      </c>
      <c r="K166" s="317" t="n">
        <f aca="false">F166*D166</f>
        <v>5610.41109493828</v>
      </c>
      <c r="L166" s="317" t="n">
        <f aca="false">D166-K166</f>
        <v>0</v>
      </c>
      <c r="N166" s="45"/>
      <c r="O166" s="45"/>
    </row>
    <row r="167" customFormat="false" ht="12.75" hidden="false" customHeight="false" outlineLevel="2" collapsed="false">
      <c r="A167" s="316"/>
      <c r="B167" s="569" t="str">
        <f aca="false">'Plant Configuration'!C206</f>
        <v>Technical/Professional Services</v>
      </c>
      <c r="C167" s="44"/>
      <c r="D167" s="578" t="n">
        <f aca="false">IF($O$7=6,0,HLOOKUP($D$5,Plant_Configuration,'Plant Configuration'!A206,FALSE()))+IF($R$7=6,0,HLOOKUP($E$5,Plant_Configuration,'Plant Configuration'!A206,FALSE()))+IF($U$7=6,0,HLOOKUP($F$5,Plant_Configuration,'Plant Configuration'!A206,FALSE()))</f>
        <v>2805.20554746914</v>
      </c>
      <c r="E167" s="342" t="n">
        <v>0</v>
      </c>
      <c r="F167" s="566" t="n">
        <v>1</v>
      </c>
      <c r="H167" s="316" t="s">
        <v>1071</v>
      </c>
      <c r="I167" s="567" t="n">
        <f aca="false">D167-J167</f>
        <v>2805.20554746914</v>
      </c>
      <c r="J167" s="567" t="n">
        <f aca="false">E167*D167</f>
        <v>0</v>
      </c>
      <c r="K167" s="317" t="n">
        <f aca="false">F167*D167</f>
        <v>2805.20554746914</v>
      </c>
      <c r="L167" s="317" t="n">
        <f aca="false">D167-K167</f>
        <v>0</v>
      </c>
      <c r="N167" s="45"/>
      <c r="O167" s="45"/>
    </row>
    <row r="168" customFormat="false" ht="12.75" hidden="false" customHeight="false" outlineLevel="2" collapsed="false">
      <c r="A168" s="316"/>
      <c r="B168" s="569" t="str">
        <f aca="false">'Plant Configuration'!C207</f>
        <v>Outside Contract Labor</v>
      </c>
      <c r="C168" s="44"/>
      <c r="D168" s="578" t="n">
        <f aca="false">IF($O$7=6,0,HLOOKUP($D$5,Plant_Configuration,'Plant Configuration'!A207,FALSE()))+IF($R$7=6,0,HLOOKUP($E$5,Plant_Configuration,'Plant Configuration'!A207,FALSE()))+IF($U$7=6,0,HLOOKUP($F$5,Plant_Configuration,'Plant Configuration'!A207,FALSE()))</f>
        <v>5610.41109493828</v>
      </c>
      <c r="E168" s="342" t="n">
        <v>0</v>
      </c>
      <c r="F168" s="566" t="n">
        <v>1</v>
      </c>
      <c r="H168" s="316" t="s">
        <v>1072</v>
      </c>
      <c r="I168" s="567" t="n">
        <f aca="false">D168-J168</f>
        <v>5610.41109493828</v>
      </c>
      <c r="J168" s="567" t="n">
        <f aca="false">E168*D168</f>
        <v>0</v>
      </c>
      <c r="K168" s="317" t="n">
        <f aca="false">F168*D168</f>
        <v>5610.41109493828</v>
      </c>
      <c r="L168" s="317" t="n">
        <f aca="false">D168-K168</f>
        <v>0</v>
      </c>
      <c r="N168" s="45"/>
      <c r="O168" s="45"/>
    </row>
    <row r="169" customFormat="false" ht="12.75" hidden="false" customHeight="false" outlineLevel="2" collapsed="false">
      <c r="A169" s="316"/>
      <c r="B169" s="569" t="str">
        <f aca="false">'Plant Configuration'!C208</f>
        <v>Equipment rental</v>
      </c>
      <c r="C169" s="44"/>
      <c r="D169" s="578" t="n">
        <f aca="false">IF($O$7=6,0,HLOOKUP($D$5,Plant_Configuration,'Plant Configuration'!A208,FALSE()))+IF($R$7=6,0,HLOOKUP($E$5,Plant_Configuration,'Plant Configuration'!A208,FALSE()))+IF($U$7=6,0,HLOOKUP($F$5,Plant_Configuration,'Plant Configuration'!A208,FALSE()))</f>
        <v>2805.20554746914</v>
      </c>
      <c r="E169" s="342" t="n">
        <v>0</v>
      </c>
      <c r="F169" s="566" t="n">
        <v>1</v>
      </c>
      <c r="H169" s="316"/>
      <c r="I169" s="567" t="n">
        <f aca="false">D169-J169</f>
        <v>2805.20554746914</v>
      </c>
      <c r="J169" s="567" t="n">
        <f aca="false">E169*D169</f>
        <v>0</v>
      </c>
      <c r="K169" s="317" t="n">
        <f aca="false">F169*D169</f>
        <v>2805.20554746914</v>
      </c>
      <c r="L169" s="317" t="n">
        <f aca="false">D169-K169</f>
        <v>0</v>
      </c>
      <c r="N169" s="45"/>
      <c r="O169" s="45"/>
    </row>
    <row r="170" customFormat="false" ht="12.75" hidden="false" customHeight="false" outlineLevel="2" collapsed="false">
      <c r="A170" s="316"/>
      <c r="B170" s="569" t="str">
        <f aca="false">'Plant Configuration'!C209</f>
        <v>Miscellaneous</v>
      </c>
      <c r="C170" s="44"/>
      <c r="D170" s="578" t="n">
        <f aca="false">IF($O$7=6,0,HLOOKUP($D$5,Plant_Configuration,'Plant Configuration'!A209,FALSE()))+IF($R$7=6,0,HLOOKUP($E$5,Plant_Configuration,'Plant Configuration'!A209,FALSE()))+IF($U$7=6,0,HLOOKUP($F$5,Plant_Configuration,'Plant Configuration'!A209,FALSE()))</f>
        <v>0</v>
      </c>
      <c r="E170" s="342" t="n">
        <v>0</v>
      </c>
      <c r="F170" s="566" t="n">
        <v>1</v>
      </c>
      <c r="H170" s="316"/>
      <c r="I170" s="567" t="n">
        <f aca="false">D170-J170</f>
        <v>0</v>
      </c>
      <c r="J170" s="567" t="n">
        <f aca="false">E170*D170</f>
        <v>0</v>
      </c>
      <c r="K170" s="317" t="n">
        <f aca="false">F170*D170</f>
        <v>0</v>
      </c>
      <c r="L170" s="317" t="n">
        <f aca="false">D170-K170</f>
        <v>0</v>
      </c>
      <c r="N170" s="45"/>
      <c r="O170" s="45"/>
    </row>
    <row r="171" customFormat="false" ht="12.75" hidden="false" customHeight="false" outlineLevel="2" collapsed="false">
      <c r="A171" s="316"/>
      <c r="B171" s="569" t="str">
        <f aca="false">'Plant Configuration'!C210</f>
        <v>Freight</v>
      </c>
      <c r="C171" s="44"/>
      <c r="D171" s="578" t="n">
        <f aca="false">IF($O$7=6,0,HLOOKUP($D$5,Plant_Configuration,'Plant Configuration'!A210,FALSE()))+IF($R$7=6,0,HLOOKUP($E$5,Plant_Configuration,'Plant Configuration'!A210,FALSE()))+IF($U$7=6,0,HLOOKUP($F$5,Plant_Configuration,'Plant Configuration'!A210,FALSE()))</f>
        <v>0</v>
      </c>
      <c r="E171" s="342" t="n">
        <v>0</v>
      </c>
      <c r="F171" s="566" t="n">
        <v>1</v>
      </c>
      <c r="H171" s="316" t="s">
        <v>1073</v>
      </c>
      <c r="I171" s="567" t="n">
        <f aca="false">D171-J171</f>
        <v>0</v>
      </c>
      <c r="J171" s="567" t="n">
        <f aca="false">E171*D171</f>
        <v>0</v>
      </c>
      <c r="K171" s="317" t="n">
        <f aca="false">F171*D171</f>
        <v>0</v>
      </c>
      <c r="L171" s="317" t="n">
        <f aca="false">D171-K171</f>
        <v>0</v>
      </c>
      <c r="N171" s="45"/>
      <c r="O171" s="45"/>
    </row>
    <row r="172" customFormat="false" ht="12.75" hidden="false" customHeight="false" outlineLevel="2" collapsed="false">
      <c r="A172" s="316"/>
      <c r="B172" s="569" t="str">
        <f aca="false">'Plant Configuration'!C211</f>
        <v>Other</v>
      </c>
      <c r="C172" s="44"/>
      <c r="D172" s="578" t="n">
        <f aca="false">IF($O$7=6,0,HLOOKUP($D$5,Plant_Configuration,'Plant Configuration'!A211,FALSE()))+IF($R$7=6,0,HLOOKUP($E$5,Plant_Configuration,'Plant Configuration'!A211,FALSE()))+IF($U$7=6,0,HLOOKUP($F$5,Plant_Configuration,'Plant Configuration'!A211,FALSE()))</f>
        <v>0</v>
      </c>
      <c r="E172" s="342" t="n">
        <v>0</v>
      </c>
      <c r="F172" s="566" t="n">
        <v>1</v>
      </c>
      <c r="H172" s="316"/>
      <c r="I172" s="567" t="n">
        <f aca="false">D172-J172</f>
        <v>0</v>
      </c>
      <c r="J172" s="567" t="n">
        <f aca="false">E172*D172</f>
        <v>0</v>
      </c>
      <c r="K172" s="317"/>
      <c r="L172" s="317"/>
      <c r="N172" s="45"/>
      <c r="O172" s="45"/>
    </row>
    <row r="173" customFormat="false" ht="12.75" hidden="false" customHeight="false" outlineLevel="1" collapsed="false">
      <c r="A173" s="579"/>
      <c r="B173" s="570" t="s">
        <v>431</v>
      </c>
      <c r="C173" s="0"/>
      <c r="D173" s="571" t="n">
        <f aca="false">SUBTOTAL(9,D164:D172)</f>
        <v>56104.1109493828</v>
      </c>
      <c r="E173" s="572"/>
      <c r="F173" s="573"/>
      <c r="H173" s="316" t="s">
        <v>1074</v>
      </c>
      <c r="I173" s="571" t="n">
        <f aca="false">SUBTOTAL(9,I164:I172)</f>
        <v>56104.1109493828</v>
      </c>
      <c r="J173" s="571" t="n">
        <f aca="false">SUBTOTAL(9,J164:J172)</f>
        <v>0</v>
      </c>
      <c r="K173" s="571" t="n">
        <f aca="false">SUBTOTAL(9,K164:K172)</f>
        <v>56104.1109493828</v>
      </c>
      <c r="L173" s="571" t="n">
        <f aca="false">SUBTOTAL(9,L164:L172)</f>
        <v>0</v>
      </c>
      <c r="M173" s="561"/>
      <c r="N173" s="561"/>
      <c r="O173" s="561"/>
      <c r="P173" s="561"/>
      <c r="Q173" s="561"/>
      <c r="R173" s="561"/>
      <c r="S173" s="561"/>
      <c r="T173" s="561"/>
      <c r="U173" s="561"/>
      <c r="V173" s="561"/>
      <c r="W173" s="561"/>
      <c r="X173" s="561"/>
      <c r="Y173" s="561"/>
      <c r="Z173" s="561"/>
      <c r="AA173" s="561"/>
      <c r="AB173" s="561"/>
      <c r="AC173" s="561"/>
      <c r="AD173" s="561"/>
      <c r="AE173" s="561"/>
      <c r="AF173" s="561"/>
      <c r="AG173" s="561"/>
      <c r="AH173" s="561"/>
      <c r="AI173" s="561"/>
      <c r="AJ173" s="561"/>
      <c r="AK173" s="561"/>
      <c r="AL173" s="561"/>
      <c r="AM173" s="561"/>
      <c r="AN173" s="561"/>
      <c r="AO173" s="561"/>
      <c r="AP173" s="561"/>
      <c r="AQ173" s="561"/>
      <c r="AR173" s="561"/>
      <c r="AS173" s="561"/>
      <c r="AT173" s="561"/>
      <c r="AU173" s="561"/>
      <c r="AV173" s="561"/>
      <c r="AW173" s="561"/>
      <c r="AX173" s="561"/>
      <c r="AY173" s="561"/>
      <c r="AZ173" s="561"/>
      <c r="BA173" s="561"/>
      <c r="BB173" s="561"/>
      <c r="BC173" s="561"/>
      <c r="BD173" s="561"/>
      <c r="BE173" s="561"/>
      <c r="BF173" s="561"/>
      <c r="BG173" s="561"/>
      <c r="BH173" s="561"/>
      <c r="BI173" s="561"/>
      <c r="BJ173" s="561"/>
      <c r="BK173" s="561"/>
      <c r="BL173" s="561"/>
      <c r="BM173" s="561"/>
      <c r="BN173" s="561"/>
      <c r="BO173" s="561"/>
      <c r="BP173" s="561"/>
      <c r="BQ173" s="561"/>
      <c r="BR173" s="561"/>
      <c r="BS173" s="561"/>
      <c r="BT173" s="561"/>
      <c r="BU173" s="561"/>
      <c r="BV173" s="561"/>
      <c r="BW173" s="561"/>
      <c r="BX173" s="561"/>
      <c r="BY173" s="561"/>
      <c r="BZ173" s="561"/>
      <c r="CA173" s="561"/>
      <c r="CB173" s="561"/>
      <c r="CC173" s="561"/>
      <c r="CD173" s="561"/>
      <c r="CE173" s="561"/>
      <c r="CF173" s="561"/>
      <c r="CG173" s="561"/>
      <c r="CH173" s="561"/>
      <c r="CI173" s="561"/>
      <c r="CJ173" s="561"/>
      <c r="CK173" s="561"/>
      <c r="CL173" s="561"/>
      <c r="CM173" s="561"/>
      <c r="CN173" s="561"/>
      <c r="CO173" s="561"/>
      <c r="CP173" s="561"/>
      <c r="CQ173" s="561"/>
      <c r="CR173" s="561"/>
      <c r="CS173" s="561"/>
      <c r="CT173" s="561"/>
      <c r="CU173" s="561"/>
      <c r="CV173" s="561"/>
      <c r="CW173" s="561"/>
      <c r="CX173" s="561"/>
      <c r="CY173" s="561"/>
      <c r="CZ173" s="561"/>
      <c r="DA173" s="561"/>
      <c r="DB173" s="561"/>
      <c r="DC173" s="561"/>
      <c r="DD173" s="561"/>
      <c r="DE173" s="561"/>
      <c r="DF173" s="561"/>
      <c r="DG173" s="561"/>
      <c r="DH173" s="561"/>
      <c r="DI173" s="561"/>
      <c r="DJ173" s="561"/>
      <c r="DK173" s="561"/>
      <c r="DL173" s="561"/>
      <c r="DM173" s="561"/>
      <c r="DN173" s="561"/>
      <c r="DO173" s="561"/>
      <c r="DP173" s="561"/>
      <c r="DQ173" s="561"/>
      <c r="DR173" s="561"/>
      <c r="DS173" s="561"/>
      <c r="DT173" s="561"/>
      <c r="DU173" s="561"/>
      <c r="DV173" s="561"/>
      <c r="DW173" s="561"/>
      <c r="DX173" s="561"/>
      <c r="DY173" s="561"/>
      <c r="DZ173" s="561"/>
      <c r="EA173" s="561"/>
      <c r="EB173" s="561"/>
      <c r="EC173" s="561"/>
      <c r="ED173" s="561"/>
      <c r="EE173" s="561"/>
      <c r="EF173" s="561"/>
      <c r="EG173" s="561"/>
      <c r="EH173" s="561"/>
      <c r="EI173" s="561"/>
      <c r="EJ173" s="561"/>
      <c r="EK173" s="561"/>
      <c r="EL173" s="561"/>
      <c r="EM173" s="561"/>
      <c r="EN173" s="561"/>
      <c r="EO173" s="561"/>
      <c r="EP173" s="561"/>
      <c r="EQ173" s="561"/>
      <c r="ER173" s="561"/>
      <c r="ES173" s="561"/>
      <c r="ET173" s="561"/>
      <c r="EU173" s="561"/>
      <c r="EV173" s="561"/>
      <c r="EW173" s="561"/>
      <c r="EX173" s="561"/>
      <c r="EY173" s="561"/>
      <c r="EZ173" s="561"/>
      <c r="FA173" s="561"/>
      <c r="FB173" s="561"/>
      <c r="FC173" s="561"/>
      <c r="FD173" s="561"/>
      <c r="FE173" s="561"/>
      <c r="FF173" s="561"/>
      <c r="FG173" s="561"/>
      <c r="FH173" s="561"/>
      <c r="FI173" s="561"/>
      <c r="FJ173" s="561"/>
      <c r="FK173" s="561"/>
      <c r="FL173" s="561"/>
      <c r="FM173" s="561"/>
      <c r="FN173" s="561"/>
      <c r="FO173" s="561"/>
      <c r="FP173" s="561"/>
      <c r="FQ173" s="561"/>
      <c r="FR173" s="561"/>
      <c r="FS173" s="561"/>
      <c r="FT173" s="561"/>
      <c r="FU173" s="561"/>
      <c r="FV173" s="561"/>
      <c r="FW173" s="561"/>
      <c r="FX173" s="561"/>
      <c r="FY173" s="561"/>
      <c r="FZ173" s="561"/>
      <c r="GA173" s="561"/>
      <c r="GB173" s="561"/>
      <c r="GC173" s="561"/>
      <c r="GD173" s="561"/>
      <c r="GE173" s="561"/>
      <c r="GF173" s="561"/>
      <c r="GG173" s="561"/>
      <c r="GH173" s="561"/>
      <c r="GI173" s="561"/>
      <c r="GJ173" s="561"/>
      <c r="GK173" s="561"/>
      <c r="GL173" s="561"/>
      <c r="GM173" s="561"/>
      <c r="GN173" s="561"/>
      <c r="GO173" s="561"/>
      <c r="GP173" s="561"/>
      <c r="GQ173" s="561"/>
      <c r="GR173" s="561"/>
      <c r="GS173" s="561"/>
      <c r="GT173" s="561"/>
      <c r="GU173" s="561"/>
      <c r="GV173" s="561"/>
      <c r="GW173" s="561"/>
      <c r="GX173" s="561"/>
      <c r="GY173" s="561"/>
      <c r="GZ173" s="561"/>
      <c r="HA173" s="561"/>
      <c r="HB173" s="561"/>
      <c r="HC173" s="561"/>
      <c r="HD173" s="561"/>
      <c r="HE173" s="561"/>
      <c r="HF173" s="561"/>
      <c r="HG173" s="561"/>
      <c r="HH173" s="561"/>
      <c r="HI173" s="561"/>
      <c r="HJ173" s="561"/>
      <c r="HK173" s="561"/>
      <c r="HL173" s="561"/>
      <c r="HM173" s="561"/>
      <c r="HN173" s="561"/>
      <c r="HO173" s="561"/>
      <c r="HP173" s="561"/>
      <c r="HQ173" s="561"/>
      <c r="HR173" s="561"/>
      <c r="HS173" s="561"/>
      <c r="HT173" s="561"/>
      <c r="HU173" s="561"/>
      <c r="HV173" s="561"/>
      <c r="HW173" s="561"/>
      <c r="HX173" s="561"/>
      <c r="HY173" s="561"/>
      <c r="HZ173" s="561"/>
      <c r="IA173" s="561"/>
      <c r="IB173" s="561"/>
      <c r="IC173" s="561"/>
      <c r="ID173" s="561"/>
      <c r="IE173" s="561"/>
      <c r="IF173" s="561"/>
      <c r="IG173" s="561"/>
      <c r="IH173" s="561"/>
      <c r="II173" s="561"/>
      <c r="IJ173" s="561"/>
      <c r="IK173" s="561"/>
      <c r="IL173" s="561"/>
      <c r="IM173" s="561"/>
      <c r="IN173" s="561"/>
      <c r="IO173" s="561"/>
      <c r="IP173" s="561"/>
      <c r="IQ173" s="561"/>
      <c r="IR173" s="561"/>
      <c r="IS173" s="561"/>
      <c r="IT173" s="561"/>
      <c r="IU173" s="561"/>
      <c r="IV173" s="561"/>
      <c r="IW173" s="561"/>
    </row>
    <row r="174" customFormat="false" ht="12.75" hidden="false" customHeight="false" outlineLevel="1" collapsed="false">
      <c r="A174" s="574" t="s">
        <v>1075</v>
      </c>
      <c r="B174" s="575"/>
      <c r="C174" s="576"/>
      <c r="D174" s="554"/>
      <c r="E174" s="555"/>
      <c r="F174" s="556"/>
      <c r="H174" s="577"/>
      <c r="I174" s="558" t="n">
        <f aca="false">IF(D183=0,0,183/D183)</f>
        <v>0.000368963355100774</v>
      </c>
      <c r="J174" s="558" t="n">
        <f aca="false">1-I174</f>
        <v>0.999631036644899</v>
      </c>
      <c r="K174" s="559" t="n">
        <f aca="false">IF(D183=0,0,K183/D183)</f>
        <v>1</v>
      </c>
      <c r="L174" s="559" t="n">
        <f aca="false">1-K174</f>
        <v>0</v>
      </c>
      <c r="M174" s="561"/>
      <c r="N174" s="561"/>
      <c r="O174" s="561"/>
      <c r="P174" s="561"/>
      <c r="Q174" s="561"/>
      <c r="R174" s="561"/>
      <c r="S174" s="561"/>
      <c r="T174" s="561"/>
      <c r="U174" s="561"/>
      <c r="V174" s="561"/>
      <c r="W174" s="561"/>
      <c r="X174" s="561"/>
      <c r="Y174" s="561"/>
      <c r="Z174" s="561"/>
      <c r="AA174" s="561"/>
      <c r="AB174" s="561"/>
      <c r="AC174" s="561"/>
      <c r="AD174" s="561"/>
      <c r="AE174" s="561"/>
      <c r="AF174" s="561"/>
      <c r="AG174" s="561"/>
      <c r="AH174" s="561"/>
      <c r="AI174" s="561"/>
      <c r="AJ174" s="561"/>
      <c r="AK174" s="561"/>
      <c r="AL174" s="561"/>
      <c r="AM174" s="561"/>
      <c r="AN174" s="561"/>
      <c r="AO174" s="561"/>
      <c r="AP174" s="561"/>
      <c r="AQ174" s="561"/>
      <c r="AR174" s="561"/>
      <c r="AS174" s="561"/>
      <c r="AT174" s="561"/>
      <c r="AU174" s="561"/>
      <c r="AV174" s="561"/>
      <c r="AW174" s="561"/>
      <c r="AX174" s="561"/>
      <c r="AY174" s="561"/>
      <c r="AZ174" s="561"/>
      <c r="BA174" s="561"/>
      <c r="BB174" s="561"/>
      <c r="BC174" s="561"/>
      <c r="BD174" s="561"/>
      <c r="BE174" s="561"/>
      <c r="BF174" s="561"/>
      <c r="BG174" s="561"/>
      <c r="BH174" s="561"/>
      <c r="BI174" s="561"/>
      <c r="BJ174" s="561"/>
      <c r="BK174" s="561"/>
      <c r="BL174" s="561"/>
      <c r="BM174" s="561"/>
      <c r="BN174" s="561"/>
      <c r="BO174" s="561"/>
      <c r="BP174" s="561"/>
      <c r="BQ174" s="561"/>
      <c r="BR174" s="561"/>
      <c r="BS174" s="561"/>
      <c r="BT174" s="561"/>
      <c r="BU174" s="561"/>
      <c r="BV174" s="561"/>
      <c r="BW174" s="561"/>
      <c r="BX174" s="561"/>
      <c r="BY174" s="561"/>
      <c r="BZ174" s="561"/>
      <c r="CA174" s="561"/>
      <c r="CB174" s="561"/>
      <c r="CC174" s="561"/>
      <c r="CD174" s="561"/>
      <c r="CE174" s="561"/>
      <c r="CF174" s="561"/>
      <c r="CG174" s="561"/>
      <c r="CH174" s="561"/>
      <c r="CI174" s="561"/>
      <c r="CJ174" s="561"/>
      <c r="CK174" s="561"/>
      <c r="CL174" s="561"/>
      <c r="CM174" s="561"/>
      <c r="CN174" s="561"/>
      <c r="CO174" s="561"/>
      <c r="CP174" s="561"/>
      <c r="CQ174" s="561"/>
      <c r="CR174" s="561"/>
      <c r="CS174" s="561"/>
      <c r="CT174" s="561"/>
      <c r="CU174" s="561"/>
      <c r="CV174" s="561"/>
      <c r="CW174" s="561"/>
      <c r="CX174" s="561"/>
      <c r="CY174" s="561"/>
      <c r="CZ174" s="561"/>
      <c r="DA174" s="561"/>
      <c r="DB174" s="561"/>
      <c r="DC174" s="561"/>
      <c r="DD174" s="561"/>
      <c r="DE174" s="561"/>
      <c r="DF174" s="561"/>
      <c r="DG174" s="561"/>
      <c r="DH174" s="561"/>
      <c r="DI174" s="561"/>
      <c r="DJ174" s="561"/>
      <c r="DK174" s="561"/>
      <c r="DL174" s="561"/>
      <c r="DM174" s="561"/>
      <c r="DN174" s="561"/>
      <c r="DO174" s="561"/>
      <c r="DP174" s="561"/>
      <c r="DQ174" s="561"/>
      <c r="DR174" s="561"/>
      <c r="DS174" s="561"/>
      <c r="DT174" s="561"/>
      <c r="DU174" s="561"/>
      <c r="DV174" s="561"/>
      <c r="DW174" s="561"/>
      <c r="DX174" s="561"/>
      <c r="DY174" s="561"/>
      <c r="DZ174" s="561"/>
      <c r="EA174" s="561"/>
      <c r="EB174" s="561"/>
      <c r="EC174" s="561"/>
      <c r="ED174" s="561"/>
      <c r="EE174" s="561"/>
      <c r="EF174" s="561"/>
      <c r="EG174" s="561"/>
      <c r="EH174" s="561"/>
      <c r="EI174" s="561"/>
      <c r="EJ174" s="561"/>
      <c r="EK174" s="561"/>
      <c r="EL174" s="561"/>
      <c r="EM174" s="561"/>
      <c r="EN174" s="561"/>
      <c r="EO174" s="561"/>
      <c r="EP174" s="561"/>
      <c r="EQ174" s="561"/>
      <c r="ER174" s="561"/>
      <c r="ES174" s="561"/>
      <c r="ET174" s="561"/>
      <c r="EU174" s="561"/>
      <c r="EV174" s="561"/>
      <c r="EW174" s="561"/>
      <c r="EX174" s="561"/>
      <c r="EY174" s="561"/>
      <c r="EZ174" s="561"/>
      <c r="FA174" s="561"/>
      <c r="FB174" s="561"/>
      <c r="FC174" s="561"/>
      <c r="FD174" s="561"/>
      <c r="FE174" s="561"/>
      <c r="FF174" s="561"/>
      <c r="FG174" s="561"/>
      <c r="FH174" s="561"/>
      <c r="FI174" s="561"/>
      <c r="FJ174" s="561"/>
      <c r="FK174" s="561"/>
      <c r="FL174" s="561"/>
      <c r="FM174" s="561"/>
      <c r="FN174" s="561"/>
      <c r="FO174" s="561"/>
      <c r="FP174" s="561"/>
      <c r="FQ174" s="561"/>
      <c r="FR174" s="561"/>
      <c r="FS174" s="561"/>
      <c r="FT174" s="561"/>
      <c r="FU174" s="561"/>
      <c r="FV174" s="561"/>
      <c r="FW174" s="561"/>
      <c r="FX174" s="561"/>
      <c r="FY174" s="561"/>
      <c r="FZ174" s="561"/>
      <c r="GA174" s="561"/>
      <c r="GB174" s="561"/>
      <c r="GC174" s="561"/>
      <c r="GD174" s="561"/>
      <c r="GE174" s="561"/>
      <c r="GF174" s="561"/>
      <c r="GG174" s="561"/>
      <c r="GH174" s="561"/>
      <c r="GI174" s="561"/>
      <c r="GJ174" s="561"/>
      <c r="GK174" s="561"/>
      <c r="GL174" s="561"/>
      <c r="GM174" s="561"/>
      <c r="GN174" s="561"/>
      <c r="GO174" s="561"/>
      <c r="GP174" s="561"/>
      <c r="GQ174" s="561"/>
      <c r="GR174" s="561"/>
      <c r="GS174" s="561"/>
      <c r="GT174" s="561"/>
      <c r="GU174" s="561"/>
      <c r="GV174" s="561"/>
      <c r="GW174" s="561"/>
      <c r="GX174" s="561"/>
      <c r="GY174" s="561"/>
      <c r="GZ174" s="561"/>
      <c r="HA174" s="561"/>
      <c r="HB174" s="561"/>
      <c r="HC174" s="561"/>
      <c r="HD174" s="561"/>
      <c r="HE174" s="561"/>
      <c r="HF174" s="561"/>
      <c r="HG174" s="561"/>
      <c r="HH174" s="561"/>
      <c r="HI174" s="561"/>
      <c r="HJ174" s="561"/>
      <c r="HK174" s="561"/>
      <c r="HL174" s="561"/>
      <c r="HM174" s="561"/>
      <c r="HN174" s="561"/>
      <c r="HO174" s="561"/>
      <c r="HP174" s="561"/>
      <c r="HQ174" s="561"/>
      <c r="HR174" s="561"/>
      <c r="HS174" s="561"/>
      <c r="HT174" s="561"/>
      <c r="HU174" s="561"/>
      <c r="HV174" s="561"/>
      <c r="HW174" s="561"/>
      <c r="HX174" s="561"/>
      <c r="HY174" s="561"/>
      <c r="HZ174" s="561"/>
      <c r="IA174" s="561"/>
      <c r="IB174" s="561"/>
      <c r="IC174" s="561"/>
      <c r="ID174" s="561"/>
      <c r="IE174" s="561"/>
      <c r="IF174" s="561"/>
      <c r="IG174" s="561"/>
      <c r="IH174" s="561"/>
      <c r="II174" s="561"/>
      <c r="IJ174" s="561"/>
      <c r="IK174" s="561"/>
      <c r="IL174" s="561"/>
      <c r="IM174" s="561"/>
      <c r="IN174" s="561"/>
      <c r="IO174" s="561"/>
      <c r="IP174" s="561"/>
      <c r="IQ174" s="561"/>
      <c r="IR174" s="561"/>
      <c r="IS174" s="561"/>
      <c r="IT174" s="561"/>
      <c r="IU174" s="561"/>
      <c r="IV174" s="561"/>
      <c r="IW174" s="561"/>
    </row>
    <row r="175" customFormat="false" ht="12.75" hidden="false" customHeight="false" outlineLevel="2" collapsed="false">
      <c r="A175" s="316"/>
      <c r="B175" s="569" t="str">
        <f aca="false">'Plant Configuration'!C214</f>
        <v>Repair Parts</v>
      </c>
      <c r="C175" s="44"/>
      <c r="D175" s="578" t="n">
        <f aca="false">IF($O$7=6,0,HLOOKUP($D$5,Plant_Configuration,'Plant Configuration'!A214,FALSE()))+IF($R$7=6,0,HLOOKUP($E$5,Plant_Configuration,'Plant Configuration'!A214,FALSE()))+IF($U$7=6,0,HLOOKUP($F$5,Plant_Configuration,'Plant Configuration'!A214,FALSE()))</f>
        <v>247992.107441155</v>
      </c>
      <c r="E175" s="342" t="n">
        <v>0.9</v>
      </c>
      <c r="F175" s="566" t="n">
        <v>1</v>
      </c>
      <c r="H175" s="316" t="s">
        <v>1076</v>
      </c>
      <c r="I175" s="567" t="n">
        <f aca="false">D175-J175</f>
        <v>24799.2107441155</v>
      </c>
      <c r="J175" s="567" t="n">
        <f aca="false">E175*D175</f>
        <v>223192.896697039</v>
      </c>
      <c r="K175" s="317" t="n">
        <f aca="false">F175*D175</f>
        <v>247992.107441155</v>
      </c>
      <c r="L175" s="317" t="n">
        <f aca="false">D175-K175</f>
        <v>0</v>
      </c>
      <c r="N175" s="45"/>
      <c r="O175" s="45"/>
    </row>
    <row r="176" customFormat="false" ht="12.75" hidden="false" customHeight="false" outlineLevel="2" collapsed="false">
      <c r="A176" s="316"/>
      <c r="B176" s="569" t="str">
        <f aca="false">'Plant Configuration'!C215</f>
        <v>Outside Repair Services</v>
      </c>
      <c r="C176" s="44"/>
      <c r="D176" s="578" t="n">
        <f aca="false">IF($O$7=6,0,HLOOKUP($D$5,Plant_Configuration,'Plant Configuration'!A215,FALSE()))+IF($R$7=6,0,HLOOKUP($E$5,Plant_Configuration,'Plant Configuration'!A215,FALSE()))+IF($U$7=6,0,HLOOKUP($F$5,Plant_Configuration,'Plant Configuration'!A215,FALSE()))</f>
        <v>99196.8429764619</v>
      </c>
      <c r="E176" s="342" t="n">
        <v>0.9</v>
      </c>
      <c r="F176" s="566" t="n">
        <v>1</v>
      </c>
      <c r="H176" s="316" t="s">
        <v>1077</v>
      </c>
      <c r="I176" s="567" t="n">
        <f aca="false">D176-J176</f>
        <v>9919.68429764618</v>
      </c>
      <c r="J176" s="567" t="n">
        <f aca="false">E176*D176</f>
        <v>89277.1586788157</v>
      </c>
      <c r="K176" s="317" t="n">
        <f aca="false">F176*D176</f>
        <v>99196.8429764619</v>
      </c>
      <c r="L176" s="317" t="n">
        <f aca="false">D176-K176</f>
        <v>0</v>
      </c>
      <c r="N176" s="45"/>
      <c r="O176" s="45"/>
    </row>
    <row r="177" customFormat="false" ht="12.75" hidden="false" customHeight="false" outlineLevel="2" collapsed="false">
      <c r="A177" s="316"/>
      <c r="B177" s="569" t="str">
        <f aca="false">'Plant Configuration'!C216</f>
        <v>Technical/Professional Services</v>
      </c>
      <c r="C177" s="44"/>
      <c r="D177" s="578" t="n">
        <f aca="false">IF($O$7=6,0,HLOOKUP($D$5,Plant_Configuration,'Plant Configuration'!A216,FALSE()))+IF($R$7=6,0,HLOOKUP($E$5,Plant_Configuration,'Plant Configuration'!A216,FALSE()))+IF($U$7=6,0,HLOOKUP($F$5,Plant_Configuration,'Plant Configuration'!A216,FALSE()))</f>
        <v>49598.4214882309</v>
      </c>
      <c r="E177" s="342" t="n">
        <v>0.9</v>
      </c>
      <c r="F177" s="566" t="n">
        <v>1</v>
      </c>
      <c r="H177" s="435" t="s">
        <v>1057</v>
      </c>
      <c r="I177" s="567" t="n">
        <f aca="false">D177-J177</f>
        <v>4959.84214882309</v>
      </c>
      <c r="J177" s="567" t="n">
        <f aca="false">E177*D177</f>
        <v>44638.5793394078</v>
      </c>
      <c r="K177" s="317" t="n">
        <f aca="false">F177*D177</f>
        <v>49598.4214882309</v>
      </c>
      <c r="L177" s="317" t="n">
        <f aca="false">D177-K177</f>
        <v>0</v>
      </c>
      <c r="N177" s="45"/>
      <c r="O177" s="45"/>
    </row>
    <row r="178" customFormat="false" ht="12.75" hidden="false" customHeight="false" outlineLevel="2" collapsed="false">
      <c r="A178" s="316"/>
      <c r="B178" s="569" t="str">
        <f aca="false">'Plant Configuration'!C217</f>
        <v>Outside Contract Labor</v>
      </c>
      <c r="C178" s="44"/>
      <c r="D178" s="578" t="n">
        <f aca="false">IF($O$7=6,0,HLOOKUP($D$5,Plant_Configuration,'Plant Configuration'!A217,FALSE()))+IF($R$7=6,0,HLOOKUP($E$5,Plant_Configuration,'Plant Configuration'!A217,FALSE()))+IF($U$7=6,0,HLOOKUP($F$5,Plant_Configuration,'Plant Configuration'!A217,FALSE()))</f>
        <v>74397.6322323464</v>
      </c>
      <c r="E178" s="342" t="n">
        <v>0.9</v>
      </c>
      <c r="F178" s="566" t="n">
        <v>1</v>
      </c>
      <c r="H178" s="316"/>
      <c r="I178" s="567" t="n">
        <f aca="false">D178-J178</f>
        <v>7439.76322323464</v>
      </c>
      <c r="J178" s="567" t="n">
        <f aca="false">E178*D178</f>
        <v>66957.8690091118</v>
      </c>
      <c r="K178" s="317" t="n">
        <f aca="false">F178*D178</f>
        <v>74397.6322323464</v>
      </c>
      <c r="L178" s="317" t="n">
        <f aca="false">D178-K178</f>
        <v>0</v>
      </c>
      <c r="N178" s="45"/>
      <c r="O178" s="45"/>
    </row>
    <row r="179" customFormat="false" ht="12.75" hidden="false" customHeight="false" outlineLevel="2" collapsed="false">
      <c r="A179" s="316"/>
      <c r="B179" s="569" t="str">
        <f aca="false">'Plant Configuration'!C218</f>
        <v>Equipment rental </v>
      </c>
      <c r="C179" s="44"/>
      <c r="D179" s="578" t="n">
        <f aca="false">IF($O$7=6,0,HLOOKUP($D$5,Plant_Configuration,'Plant Configuration'!A218,FALSE()))+IF($R$7=6,0,HLOOKUP($E$5,Plant_Configuration,'Plant Configuration'!A218,FALSE()))+IF($U$7=6,0,HLOOKUP($F$5,Plant_Configuration,'Plant Configuration'!A218,FALSE()))</f>
        <v>24799.2107441155</v>
      </c>
      <c r="E179" s="342" t="n">
        <v>0.9</v>
      </c>
      <c r="F179" s="566" t="n">
        <v>1</v>
      </c>
      <c r="H179" s="316"/>
      <c r="I179" s="567" t="n">
        <f aca="false">D179-J179</f>
        <v>2479.92107441154</v>
      </c>
      <c r="J179" s="567" t="n">
        <f aca="false">E179*D179</f>
        <v>22319.2896697039</v>
      </c>
      <c r="K179" s="317" t="n">
        <f aca="false">F179*D179</f>
        <v>24799.2107441155</v>
      </c>
      <c r="L179" s="317" t="n">
        <f aca="false">D179-K179</f>
        <v>0</v>
      </c>
      <c r="N179" s="45"/>
      <c r="O179" s="45"/>
    </row>
    <row r="180" customFormat="false" ht="12.75" hidden="false" customHeight="false" outlineLevel="2" collapsed="false">
      <c r="A180" s="316"/>
      <c r="B180" s="569" t="str">
        <f aca="false">'Plant Configuration'!C219</f>
        <v>Miscellaneous</v>
      </c>
      <c r="C180" s="44"/>
      <c r="D180" s="578" t="n">
        <f aca="false">IF($O$7=6,0,HLOOKUP($D$5,Plant_Configuration,'Plant Configuration'!A219,FALSE()))+IF($R$7=6,0,HLOOKUP($E$5,Plant_Configuration,'Plant Configuration'!A219,FALSE()))+IF($U$7=6,0,HLOOKUP($F$5,Plant_Configuration,'Plant Configuration'!A219,FALSE()))</f>
        <v>0</v>
      </c>
      <c r="E180" s="342" t="n">
        <v>0.9</v>
      </c>
      <c r="F180" s="566" t="n">
        <v>1</v>
      </c>
      <c r="H180" s="316"/>
      <c r="I180" s="567" t="n">
        <f aca="false">D180-J180</f>
        <v>0</v>
      </c>
      <c r="J180" s="567" t="n">
        <f aca="false">E180*D180</f>
        <v>0</v>
      </c>
      <c r="K180" s="317" t="n">
        <f aca="false">F180*D180</f>
        <v>0</v>
      </c>
      <c r="L180" s="317" t="n">
        <f aca="false">D180-K180</f>
        <v>0</v>
      </c>
      <c r="N180" s="45"/>
      <c r="O180" s="45"/>
    </row>
    <row r="181" customFormat="false" ht="12.75" hidden="false" customHeight="false" outlineLevel="2" collapsed="false">
      <c r="A181" s="316"/>
      <c r="B181" s="569" t="str">
        <f aca="false">'Plant Configuration'!C220</f>
        <v>Freight</v>
      </c>
      <c r="C181" s="44"/>
      <c r="D181" s="578" t="n">
        <f aca="false">IF($O$7=6,0,HLOOKUP($D$5,Plant_Configuration,'Plant Configuration'!A220,FALSE()))+IF($R$7=6,0,HLOOKUP($E$5,Plant_Configuration,'Plant Configuration'!A220,FALSE()))+IF($U$7=6,0,HLOOKUP($F$5,Plant_Configuration,'Plant Configuration'!A220,FALSE()))</f>
        <v>0</v>
      </c>
      <c r="E181" s="342" t="n">
        <v>0.9</v>
      </c>
      <c r="F181" s="566" t="n">
        <v>1</v>
      </c>
      <c r="H181" s="316" t="s">
        <v>1038</v>
      </c>
      <c r="I181" s="567" t="n">
        <f aca="false">D181-J181</f>
        <v>0</v>
      </c>
      <c r="J181" s="567" t="n">
        <f aca="false">E181*D181</f>
        <v>0</v>
      </c>
      <c r="K181" s="317" t="n">
        <f aca="false">F181*D181</f>
        <v>0</v>
      </c>
      <c r="L181" s="317" t="n">
        <f aca="false">D181-K181</f>
        <v>0</v>
      </c>
      <c r="N181" s="45"/>
      <c r="O181" s="45"/>
    </row>
    <row r="182" customFormat="false" ht="12.75" hidden="false" customHeight="false" outlineLevel="2" collapsed="false">
      <c r="A182" s="316"/>
      <c r="B182" s="569" t="str">
        <f aca="false">'Plant Configuration'!C221</f>
        <v>Other</v>
      </c>
      <c r="C182" s="44"/>
      <c r="D182" s="578" t="n">
        <f aca="false">IF($O$7=6,0,HLOOKUP($D$5,Plant_Configuration,'Plant Configuration'!A221,FALSE()))+IF($R$7=6,0,HLOOKUP($E$5,Plant_Configuration,'Plant Configuration'!A221,FALSE()))+IF($U$7=6,0,HLOOKUP($F$5,Plant_Configuration,'Plant Configuration'!A221,FALSE()))</f>
        <v>0</v>
      </c>
      <c r="E182" s="342" t="n">
        <v>0.9</v>
      </c>
      <c r="F182" s="566" t="n">
        <v>1</v>
      </c>
      <c r="H182" s="316"/>
      <c r="I182" s="567" t="n">
        <f aca="false">D182-J182</f>
        <v>0</v>
      </c>
      <c r="J182" s="567" t="n">
        <f aca="false">E182*D182</f>
        <v>0</v>
      </c>
      <c r="K182" s="317"/>
      <c r="L182" s="317"/>
      <c r="N182" s="45"/>
      <c r="O182" s="45"/>
    </row>
    <row r="183" customFormat="false" ht="12.75" hidden="false" customHeight="false" outlineLevel="1" collapsed="false">
      <c r="A183" s="579"/>
      <c r="B183" s="570" t="s">
        <v>431</v>
      </c>
      <c r="C183" s="0"/>
      <c r="D183" s="571" t="n">
        <f aca="false">SUBTOTAL(9,D175:D182)</f>
        <v>495984.214882309</v>
      </c>
      <c r="E183" s="572"/>
      <c r="F183" s="573"/>
      <c r="H183" s="316" t="s">
        <v>1039</v>
      </c>
      <c r="I183" s="571" t="n">
        <f aca="false">SUBTOTAL(9,I175:I182)</f>
        <v>49598.4214882309</v>
      </c>
      <c r="J183" s="571" t="n">
        <f aca="false">SUBTOTAL(9,J175:J182)</f>
        <v>446385.793394078</v>
      </c>
      <c r="K183" s="571" t="n">
        <f aca="false">SUBTOTAL(9,K175:K182)</f>
        <v>495984.214882309</v>
      </c>
      <c r="L183" s="571" t="n">
        <f aca="false">SUBTOTAL(9,L175:L182)</f>
        <v>0</v>
      </c>
      <c r="M183" s="561"/>
      <c r="N183" s="561"/>
      <c r="O183" s="561"/>
      <c r="P183" s="561"/>
      <c r="Q183" s="561"/>
      <c r="R183" s="561"/>
      <c r="S183" s="561"/>
      <c r="T183" s="561"/>
      <c r="U183" s="561"/>
      <c r="V183" s="561"/>
      <c r="W183" s="561"/>
      <c r="X183" s="561"/>
      <c r="Y183" s="561"/>
      <c r="Z183" s="561"/>
      <c r="AA183" s="561"/>
      <c r="AB183" s="561"/>
      <c r="AC183" s="561"/>
      <c r="AD183" s="561"/>
      <c r="AE183" s="561"/>
      <c r="AF183" s="561"/>
      <c r="AG183" s="561"/>
      <c r="AH183" s="561"/>
      <c r="AI183" s="561"/>
      <c r="AJ183" s="561"/>
      <c r="AK183" s="561"/>
      <c r="AL183" s="561"/>
      <c r="AM183" s="561"/>
      <c r="AN183" s="561"/>
      <c r="AO183" s="561"/>
      <c r="AP183" s="561"/>
      <c r="AQ183" s="561"/>
      <c r="AR183" s="561"/>
      <c r="AS183" s="561"/>
      <c r="AT183" s="561"/>
      <c r="AU183" s="561"/>
      <c r="AV183" s="561"/>
      <c r="AW183" s="561"/>
      <c r="AX183" s="561"/>
      <c r="AY183" s="561"/>
      <c r="AZ183" s="561"/>
      <c r="BA183" s="561"/>
      <c r="BB183" s="561"/>
      <c r="BC183" s="561"/>
      <c r="BD183" s="561"/>
      <c r="BE183" s="561"/>
      <c r="BF183" s="561"/>
      <c r="BG183" s="561"/>
      <c r="BH183" s="561"/>
      <c r="BI183" s="561"/>
      <c r="BJ183" s="561"/>
      <c r="BK183" s="561"/>
      <c r="BL183" s="561"/>
      <c r="BM183" s="561"/>
      <c r="BN183" s="561"/>
      <c r="BO183" s="561"/>
      <c r="BP183" s="561"/>
      <c r="BQ183" s="561"/>
      <c r="BR183" s="561"/>
      <c r="BS183" s="561"/>
      <c r="BT183" s="561"/>
      <c r="BU183" s="561"/>
      <c r="BV183" s="561"/>
      <c r="BW183" s="561"/>
      <c r="BX183" s="561"/>
      <c r="BY183" s="561"/>
      <c r="BZ183" s="561"/>
      <c r="CA183" s="561"/>
      <c r="CB183" s="561"/>
      <c r="CC183" s="561"/>
      <c r="CD183" s="561"/>
      <c r="CE183" s="561"/>
      <c r="CF183" s="561"/>
      <c r="CG183" s="561"/>
      <c r="CH183" s="561"/>
      <c r="CI183" s="561"/>
      <c r="CJ183" s="561"/>
      <c r="CK183" s="561"/>
      <c r="CL183" s="561"/>
      <c r="CM183" s="561"/>
      <c r="CN183" s="561"/>
      <c r="CO183" s="561"/>
      <c r="CP183" s="561"/>
      <c r="CQ183" s="561"/>
      <c r="CR183" s="561"/>
      <c r="CS183" s="561"/>
      <c r="CT183" s="561"/>
      <c r="CU183" s="561"/>
      <c r="CV183" s="561"/>
      <c r="CW183" s="561"/>
      <c r="CX183" s="561"/>
      <c r="CY183" s="561"/>
      <c r="CZ183" s="561"/>
      <c r="DA183" s="561"/>
      <c r="DB183" s="561"/>
      <c r="DC183" s="561"/>
      <c r="DD183" s="561"/>
      <c r="DE183" s="561"/>
      <c r="DF183" s="561"/>
      <c r="DG183" s="561"/>
      <c r="DH183" s="561"/>
      <c r="DI183" s="561"/>
      <c r="DJ183" s="561"/>
      <c r="DK183" s="561"/>
      <c r="DL183" s="561"/>
      <c r="DM183" s="561"/>
      <c r="DN183" s="561"/>
      <c r="DO183" s="561"/>
      <c r="DP183" s="561"/>
      <c r="DQ183" s="561"/>
      <c r="DR183" s="561"/>
      <c r="DS183" s="561"/>
      <c r="DT183" s="561"/>
      <c r="DU183" s="561"/>
      <c r="DV183" s="561"/>
      <c r="DW183" s="561"/>
      <c r="DX183" s="561"/>
      <c r="DY183" s="561"/>
      <c r="DZ183" s="561"/>
      <c r="EA183" s="561"/>
      <c r="EB183" s="561"/>
      <c r="EC183" s="561"/>
      <c r="ED183" s="561"/>
      <c r="EE183" s="561"/>
      <c r="EF183" s="561"/>
      <c r="EG183" s="561"/>
      <c r="EH183" s="561"/>
      <c r="EI183" s="561"/>
      <c r="EJ183" s="561"/>
      <c r="EK183" s="561"/>
      <c r="EL183" s="561"/>
      <c r="EM183" s="561"/>
      <c r="EN183" s="561"/>
      <c r="EO183" s="561"/>
      <c r="EP183" s="561"/>
      <c r="EQ183" s="561"/>
      <c r="ER183" s="561"/>
      <c r="ES183" s="561"/>
      <c r="ET183" s="561"/>
      <c r="EU183" s="561"/>
      <c r="EV183" s="561"/>
      <c r="EW183" s="561"/>
      <c r="EX183" s="561"/>
      <c r="EY183" s="561"/>
      <c r="EZ183" s="561"/>
      <c r="FA183" s="561"/>
      <c r="FB183" s="561"/>
      <c r="FC183" s="561"/>
      <c r="FD183" s="561"/>
      <c r="FE183" s="561"/>
      <c r="FF183" s="561"/>
      <c r="FG183" s="561"/>
      <c r="FH183" s="561"/>
      <c r="FI183" s="561"/>
      <c r="FJ183" s="561"/>
      <c r="FK183" s="561"/>
      <c r="FL183" s="561"/>
      <c r="FM183" s="561"/>
      <c r="FN183" s="561"/>
      <c r="FO183" s="561"/>
      <c r="FP183" s="561"/>
      <c r="FQ183" s="561"/>
      <c r="FR183" s="561"/>
      <c r="FS183" s="561"/>
      <c r="FT183" s="561"/>
      <c r="FU183" s="561"/>
      <c r="FV183" s="561"/>
      <c r="FW183" s="561"/>
      <c r="FX183" s="561"/>
      <c r="FY183" s="561"/>
      <c r="FZ183" s="561"/>
      <c r="GA183" s="561"/>
      <c r="GB183" s="561"/>
      <c r="GC183" s="561"/>
      <c r="GD183" s="561"/>
      <c r="GE183" s="561"/>
      <c r="GF183" s="561"/>
      <c r="GG183" s="561"/>
      <c r="GH183" s="561"/>
      <c r="GI183" s="561"/>
      <c r="GJ183" s="561"/>
      <c r="GK183" s="561"/>
      <c r="GL183" s="561"/>
      <c r="GM183" s="561"/>
      <c r="GN183" s="561"/>
      <c r="GO183" s="561"/>
      <c r="GP183" s="561"/>
      <c r="GQ183" s="561"/>
      <c r="GR183" s="561"/>
      <c r="GS183" s="561"/>
      <c r="GT183" s="561"/>
      <c r="GU183" s="561"/>
      <c r="GV183" s="561"/>
      <c r="GW183" s="561"/>
      <c r="GX183" s="561"/>
      <c r="GY183" s="561"/>
      <c r="GZ183" s="561"/>
      <c r="HA183" s="561"/>
      <c r="HB183" s="561"/>
      <c r="HC183" s="561"/>
      <c r="HD183" s="561"/>
      <c r="HE183" s="561"/>
      <c r="HF183" s="561"/>
      <c r="HG183" s="561"/>
      <c r="HH183" s="561"/>
      <c r="HI183" s="561"/>
      <c r="HJ183" s="561"/>
      <c r="HK183" s="561"/>
      <c r="HL183" s="561"/>
      <c r="HM183" s="561"/>
      <c r="HN183" s="561"/>
      <c r="HO183" s="561"/>
      <c r="HP183" s="561"/>
      <c r="HQ183" s="561"/>
      <c r="HR183" s="561"/>
      <c r="HS183" s="561"/>
      <c r="HT183" s="561"/>
      <c r="HU183" s="561"/>
      <c r="HV183" s="561"/>
      <c r="HW183" s="561"/>
      <c r="HX183" s="561"/>
      <c r="HY183" s="561"/>
      <c r="HZ183" s="561"/>
      <c r="IA183" s="561"/>
      <c r="IB183" s="561"/>
      <c r="IC183" s="561"/>
      <c r="ID183" s="561"/>
      <c r="IE183" s="561"/>
      <c r="IF183" s="561"/>
      <c r="IG183" s="561"/>
      <c r="IH183" s="561"/>
      <c r="II183" s="561"/>
      <c r="IJ183" s="561"/>
      <c r="IK183" s="561"/>
      <c r="IL183" s="561"/>
      <c r="IM183" s="561"/>
      <c r="IN183" s="561"/>
      <c r="IO183" s="561"/>
      <c r="IP183" s="561"/>
      <c r="IQ183" s="561"/>
      <c r="IR183" s="561"/>
      <c r="IS183" s="561"/>
      <c r="IT183" s="561"/>
      <c r="IU183" s="561"/>
      <c r="IV183" s="561"/>
      <c r="IW183" s="561"/>
    </row>
    <row r="184" customFormat="false" ht="12.75" hidden="false" customHeight="false" outlineLevel="1" collapsed="false">
      <c r="A184" s="574" t="s">
        <v>1078</v>
      </c>
      <c r="B184" s="575"/>
      <c r="C184" s="576"/>
      <c r="D184" s="554"/>
      <c r="E184" s="555"/>
      <c r="F184" s="556"/>
      <c r="H184" s="577"/>
      <c r="I184" s="558" t="n">
        <f aca="false">IF(D193=0,0,I193/D193)</f>
        <v>0.6</v>
      </c>
      <c r="J184" s="558" t="n">
        <f aca="false">1-I184</f>
        <v>0.4</v>
      </c>
      <c r="K184" s="559" t="n">
        <f aca="false">IF(D193=0,0,K193/D193)</f>
        <v>1</v>
      </c>
      <c r="L184" s="559" t="n">
        <f aca="false">1-K184</f>
        <v>0</v>
      </c>
      <c r="M184" s="561"/>
      <c r="N184" s="561"/>
      <c r="O184" s="561"/>
      <c r="P184" s="561"/>
      <c r="Q184" s="561"/>
      <c r="R184" s="561"/>
      <c r="S184" s="561"/>
      <c r="T184" s="561"/>
      <c r="U184" s="561"/>
      <c r="V184" s="561"/>
      <c r="W184" s="561"/>
      <c r="X184" s="561"/>
      <c r="Y184" s="561"/>
      <c r="Z184" s="561"/>
      <c r="AA184" s="561"/>
      <c r="AB184" s="561"/>
      <c r="AC184" s="561"/>
      <c r="AD184" s="561"/>
      <c r="AE184" s="561"/>
      <c r="AF184" s="561"/>
      <c r="AG184" s="561"/>
      <c r="AH184" s="561"/>
      <c r="AI184" s="561"/>
      <c r="AJ184" s="561"/>
      <c r="AK184" s="561"/>
      <c r="AL184" s="561"/>
      <c r="AM184" s="561"/>
      <c r="AN184" s="561"/>
      <c r="AO184" s="561"/>
      <c r="AP184" s="561"/>
      <c r="AQ184" s="561"/>
      <c r="AR184" s="561"/>
      <c r="AS184" s="561"/>
      <c r="AT184" s="561"/>
      <c r="AU184" s="561"/>
      <c r="AV184" s="561"/>
      <c r="AW184" s="561"/>
      <c r="AX184" s="561"/>
      <c r="AY184" s="561"/>
      <c r="AZ184" s="561"/>
      <c r="BA184" s="561"/>
      <c r="BB184" s="561"/>
      <c r="BC184" s="561"/>
      <c r="BD184" s="561"/>
      <c r="BE184" s="561"/>
      <c r="BF184" s="561"/>
      <c r="BG184" s="561"/>
      <c r="BH184" s="561"/>
      <c r="BI184" s="561"/>
      <c r="BJ184" s="561"/>
      <c r="BK184" s="561"/>
      <c r="BL184" s="561"/>
      <c r="BM184" s="561"/>
      <c r="BN184" s="561"/>
      <c r="BO184" s="561"/>
      <c r="BP184" s="561"/>
      <c r="BQ184" s="561"/>
      <c r="BR184" s="561"/>
      <c r="BS184" s="561"/>
      <c r="BT184" s="561"/>
      <c r="BU184" s="561"/>
      <c r="BV184" s="561"/>
      <c r="BW184" s="561"/>
      <c r="BX184" s="561"/>
      <c r="BY184" s="561"/>
      <c r="BZ184" s="561"/>
      <c r="CA184" s="561"/>
      <c r="CB184" s="561"/>
      <c r="CC184" s="561"/>
      <c r="CD184" s="561"/>
      <c r="CE184" s="561"/>
      <c r="CF184" s="561"/>
      <c r="CG184" s="561"/>
      <c r="CH184" s="561"/>
      <c r="CI184" s="561"/>
      <c r="CJ184" s="561"/>
      <c r="CK184" s="561"/>
      <c r="CL184" s="561"/>
      <c r="CM184" s="561"/>
      <c r="CN184" s="561"/>
      <c r="CO184" s="561"/>
      <c r="CP184" s="561"/>
      <c r="CQ184" s="561"/>
      <c r="CR184" s="561"/>
      <c r="CS184" s="561"/>
      <c r="CT184" s="561"/>
      <c r="CU184" s="561"/>
      <c r="CV184" s="561"/>
      <c r="CW184" s="561"/>
      <c r="CX184" s="561"/>
      <c r="CY184" s="561"/>
      <c r="CZ184" s="561"/>
      <c r="DA184" s="561"/>
      <c r="DB184" s="561"/>
      <c r="DC184" s="561"/>
      <c r="DD184" s="561"/>
      <c r="DE184" s="561"/>
      <c r="DF184" s="561"/>
      <c r="DG184" s="561"/>
      <c r="DH184" s="561"/>
      <c r="DI184" s="561"/>
      <c r="DJ184" s="561"/>
      <c r="DK184" s="561"/>
      <c r="DL184" s="561"/>
      <c r="DM184" s="561"/>
      <c r="DN184" s="561"/>
      <c r="DO184" s="561"/>
      <c r="DP184" s="561"/>
      <c r="DQ184" s="561"/>
      <c r="DR184" s="561"/>
      <c r="DS184" s="561"/>
      <c r="DT184" s="561"/>
      <c r="DU184" s="561"/>
      <c r="DV184" s="561"/>
      <c r="DW184" s="561"/>
      <c r="DX184" s="561"/>
      <c r="DY184" s="561"/>
      <c r="DZ184" s="561"/>
      <c r="EA184" s="561"/>
      <c r="EB184" s="561"/>
      <c r="EC184" s="561"/>
      <c r="ED184" s="561"/>
      <c r="EE184" s="561"/>
      <c r="EF184" s="561"/>
      <c r="EG184" s="561"/>
      <c r="EH184" s="561"/>
      <c r="EI184" s="561"/>
      <c r="EJ184" s="561"/>
      <c r="EK184" s="561"/>
      <c r="EL184" s="561"/>
      <c r="EM184" s="561"/>
      <c r="EN184" s="561"/>
      <c r="EO184" s="561"/>
      <c r="EP184" s="561"/>
      <c r="EQ184" s="561"/>
      <c r="ER184" s="561"/>
      <c r="ES184" s="561"/>
      <c r="ET184" s="561"/>
      <c r="EU184" s="561"/>
      <c r="EV184" s="561"/>
      <c r="EW184" s="561"/>
      <c r="EX184" s="561"/>
      <c r="EY184" s="561"/>
      <c r="EZ184" s="561"/>
      <c r="FA184" s="561"/>
      <c r="FB184" s="561"/>
      <c r="FC184" s="561"/>
      <c r="FD184" s="561"/>
      <c r="FE184" s="561"/>
      <c r="FF184" s="561"/>
      <c r="FG184" s="561"/>
      <c r="FH184" s="561"/>
      <c r="FI184" s="561"/>
      <c r="FJ184" s="561"/>
      <c r="FK184" s="561"/>
      <c r="FL184" s="561"/>
      <c r="FM184" s="561"/>
      <c r="FN184" s="561"/>
      <c r="FO184" s="561"/>
      <c r="FP184" s="561"/>
      <c r="FQ184" s="561"/>
      <c r="FR184" s="561"/>
      <c r="FS184" s="561"/>
      <c r="FT184" s="561"/>
      <c r="FU184" s="561"/>
      <c r="FV184" s="561"/>
      <c r="FW184" s="561"/>
      <c r="FX184" s="561"/>
      <c r="FY184" s="561"/>
      <c r="FZ184" s="561"/>
      <c r="GA184" s="561"/>
      <c r="GB184" s="561"/>
      <c r="GC184" s="561"/>
      <c r="GD184" s="561"/>
      <c r="GE184" s="561"/>
      <c r="GF184" s="561"/>
      <c r="GG184" s="561"/>
      <c r="GH184" s="561"/>
      <c r="GI184" s="561"/>
      <c r="GJ184" s="561"/>
      <c r="GK184" s="561"/>
      <c r="GL184" s="561"/>
      <c r="GM184" s="561"/>
      <c r="GN184" s="561"/>
      <c r="GO184" s="561"/>
      <c r="GP184" s="561"/>
      <c r="GQ184" s="561"/>
      <c r="GR184" s="561"/>
      <c r="GS184" s="561"/>
      <c r="GT184" s="561"/>
      <c r="GU184" s="561"/>
      <c r="GV184" s="561"/>
      <c r="GW184" s="561"/>
      <c r="GX184" s="561"/>
      <c r="GY184" s="561"/>
      <c r="GZ184" s="561"/>
      <c r="HA184" s="561"/>
      <c r="HB184" s="561"/>
      <c r="HC184" s="561"/>
      <c r="HD184" s="561"/>
      <c r="HE184" s="561"/>
      <c r="HF184" s="561"/>
      <c r="HG184" s="561"/>
      <c r="HH184" s="561"/>
      <c r="HI184" s="561"/>
      <c r="HJ184" s="561"/>
      <c r="HK184" s="561"/>
      <c r="HL184" s="561"/>
      <c r="HM184" s="561"/>
      <c r="HN184" s="561"/>
      <c r="HO184" s="561"/>
      <c r="HP184" s="561"/>
      <c r="HQ184" s="561"/>
      <c r="HR184" s="561"/>
      <c r="HS184" s="561"/>
      <c r="HT184" s="561"/>
      <c r="HU184" s="561"/>
      <c r="HV184" s="561"/>
      <c r="HW184" s="561"/>
      <c r="HX184" s="561"/>
      <c r="HY184" s="561"/>
      <c r="HZ184" s="561"/>
      <c r="IA184" s="561"/>
      <c r="IB184" s="561"/>
      <c r="IC184" s="561"/>
      <c r="ID184" s="561"/>
      <c r="IE184" s="561"/>
      <c r="IF184" s="561"/>
      <c r="IG184" s="561"/>
      <c r="IH184" s="561"/>
      <c r="II184" s="561"/>
      <c r="IJ184" s="561"/>
      <c r="IK184" s="561"/>
      <c r="IL184" s="561"/>
      <c r="IM184" s="561"/>
      <c r="IN184" s="561"/>
      <c r="IO184" s="561"/>
      <c r="IP184" s="561"/>
      <c r="IQ184" s="561"/>
      <c r="IR184" s="561"/>
      <c r="IS184" s="561"/>
      <c r="IT184" s="561"/>
      <c r="IU184" s="561"/>
      <c r="IV184" s="561"/>
      <c r="IW184" s="561"/>
    </row>
    <row r="185" customFormat="false" ht="12.75" hidden="false" customHeight="false" outlineLevel="2" collapsed="false">
      <c r="A185" s="316"/>
      <c r="B185" s="569" t="str">
        <f aca="false">'Plant Configuration'!C224</f>
        <v>Repair Parts</v>
      </c>
      <c r="C185" s="44"/>
      <c r="D185" s="578" t="n">
        <f aca="false">IF($O$7=6,0,HLOOKUP($D$5,Plant_Configuration,'Plant Configuration'!A224,FALSE()))+IF($R$7=6,0,HLOOKUP($E$5,Plant_Configuration,'Plant Configuration'!A224,FALSE()))+IF($U$7=6,0,HLOOKUP($F$5,Plant_Configuration,'Plant Configuration'!A224,FALSE()))</f>
        <v>150854.404706984</v>
      </c>
      <c r="E185" s="342" t="n">
        <v>0.4</v>
      </c>
      <c r="F185" s="566" t="n">
        <v>1</v>
      </c>
      <c r="H185" s="316" t="s">
        <v>1079</v>
      </c>
      <c r="I185" s="567" t="n">
        <f aca="false">D185-J185</f>
        <v>90512.6428241904</v>
      </c>
      <c r="J185" s="567" t="n">
        <f aca="false">E185*D185</f>
        <v>60341.7618827936</v>
      </c>
      <c r="K185" s="317" t="n">
        <f aca="false">F185*D185</f>
        <v>150854.404706984</v>
      </c>
      <c r="L185" s="317" t="n">
        <f aca="false">D185-K185</f>
        <v>0</v>
      </c>
      <c r="N185" s="45"/>
      <c r="O185" s="45"/>
    </row>
    <row r="186" customFormat="false" ht="12.75" hidden="false" customHeight="false" outlineLevel="2" collapsed="false">
      <c r="A186" s="316"/>
      <c r="B186" s="569" t="str">
        <f aca="false">'Plant Configuration'!C225</f>
        <v>Outside Repair Services</v>
      </c>
      <c r="C186" s="44"/>
      <c r="D186" s="578" t="n">
        <f aca="false">IF($O$7=6,0,HLOOKUP($D$5,Plant_Configuration,'Plant Configuration'!A225,FALSE()))+IF($R$7=6,0,HLOOKUP($E$5,Plant_Configuration,'Plant Configuration'!A225,FALSE()))+IF($U$7=6,0,HLOOKUP($F$5,Plant_Configuration,'Plant Configuration'!A225,FALSE()))</f>
        <v>60341.7618827936</v>
      </c>
      <c r="E186" s="342" t="n">
        <v>0.4</v>
      </c>
      <c r="F186" s="566" t="n">
        <v>1</v>
      </c>
      <c r="H186" s="316" t="s">
        <v>1080</v>
      </c>
      <c r="I186" s="567" t="n">
        <f aca="false">D186-J186</f>
        <v>36205.0571296762</v>
      </c>
      <c r="J186" s="567" t="n">
        <f aca="false">E186*D186</f>
        <v>24136.7047531174</v>
      </c>
      <c r="K186" s="317" t="n">
        <f aca="false">F186*D186</f>
        <v>60341.7618827936</v>
      </c>
      <c r="L186" s="317" t="n">
        <f aca="false">D186-K186</f>
        <v>0</v>
      </c>
      <c r="N186" s="45"/>
      <c r="O186" s="45"/>
    </row>
    <row r="187" customFormat="false" ht="12.75" hidden="false" customHeight="false" outlineLevel="2" collapsed="false">
      <c r="A187" s="316"/>
      <c r="B187" s="569" t="str">
        <f aca="false">'Plant Configuration'!C226</f>
        <v>Technical/Professional Services</v>
      </c>
      <c r="C187" s="44"/>
      <c r="D187" s="578" t="n">
        <f aca="false">IF($O$7=6,0,HLOOKUP($D$5,Plant_Configuration,'Plant Configuration'!A226,FALSE()))+IF($R$7=6,0,HLOOKUP($E$5,Plant_Configuration,'Plant Configuration'!A226,FALSE()))+IF($U$7=6,0,HLOOKUP($F$5,Plant_Configuration,'Plant Configuration'!A226,FALSE()))</f>
        <v>30170.8809413968</v>
      </c>
      <c r="E187" s="342" t="n">
        <v>0.4</v>
      </c>
      <c r="F187" s="566" t="n">
        <v>1</v>
      </c>
      <c r="H187" s="316" t="s">
        <v>1081</v>
      </c>
      <c r="I187" s="567" t="n">
        <f aca="false">D187-J187</f>
        <v>18102.5285648381</v>
      </c>
      <c r="J187" s="567" t="n">
        <f aca="false">E187*D187</f>
        <v>12068.3523765587</v>
      </c>
      <c r="K187" s="317" t="n">
        <f aca="false">F187*D187</f>
        <v>30170.8809413968</v>
      </c>
      <c r="L187" s="317" t="n">
        <f aca="false">D187-K187</f>
        <v>0</v>
      </c>
      <c r="N187" s="45"/>
      <c r="O187" s="45"/>
    </row>
    <row r="188" customFormat="false" ht="12.75" hidden="false" customHeight="false" outlineLevel="2" collapsed="false">
      <c r="A188" s="316"/>
      <c r="B188" s="569" t="str">
        <f aca="false">'Plant Configuration'!C227</f>
        <v>Outside Contract Labor</v>
      </c>
      <c r="C188" s="44"/>
      <c r="D188" s="578" t="n">
        <f aca="false">IF($O$7=6,0,HLOOKUP($D$5,Plant_Configuration,'Plant Configuration'!A227,FALSE()))+IF($R$7=6,0,HLOOKUP($E$5,Plant_Configuration,'Plant Configuration'!A227,FALSE()))+IF($U$7=6,0,HLOOKUP($F$5,Plant_Configuration,'Plant Configuration'!A227,FALSE()))</f>
        <v>45256.3214120952</v>
      </c>
      <c r="E188" s="342" t="n">
        <v>0.4</v>
      </c>
      <c r="F188" s="566" t="n">
        <v>1</v>
      </c>
      <c r="H188" s="435" t="s">
        <v>1057</v>
      </c>
      <c r="I188" s="567" t="n">
        <f aca="false">D188-J188</f>
        <v>27153.7928472571</v>
      </c>
      <c r="J188" s="567" t="n">
        <f aca="false">E188*D188</f>
        <v>18102.5285648381</v>
      </c>
      <c r="K188" s="317" t="n">
        <f aca="false">F188*D188</f>
        <v>45256.3214120952</v>
      </c>
      <c r="L188" s="317" t="n">
        <f aca="false">D188-K188</f>
        <v>0</v>
      </c>
      <c r="N188" s="45"/>
      <c r="O188" s="45"/>
    </row>
    <row r="189" customFormat="false" ht="12.75" hidden="false" customHeight="false" outlineLevel="2" collapsed="false">
      <c r="A189" s="316"/>
      <c r="B189" s="569" t="str">
        <f aca="false">'Plant Configuration'!C228</f>
        <v>Equipment rental</v>
      </c>
      <c r="C189" s="44"/>
      <c r="D189" s="578" t="n">
        <f aca="false">IF($O$7=6,0,HLOOKUP($D$5,Plant_Configuration,'Plant Configuration'!A228,FALSE()))+IF($R$7=6,0,HLOOKUP($E$5,Plant_Configuration,'Plant Configuration'!A228,FALSE()))+IF($U$7=6,0,HLOOKUP($F$5,Plant_Configuration,'Plant Configuration'!A228,FALSE()))</f>
        <v>15085.4404706984</v>
      </c>
      <c r="E189" s="342" t="n">
        <v>0.4</v>
      </c>
      <c r="F189" s="566" t="n">
        <v>1</v>
      </c>
      <c r="H189" s="316" t="s">
        <v>1082</v>
      </c>
      <c r="I189" s="567" t="n">
        <f aca="false">D189-J189</f>
        <v>9051.26428241904</v>
      </c>
      <c r="J189" s="567" t="n">
        <f aca="false">E189*D189</f>
        <v>6034.17618827936</v>
      </c>
      <c r="K189" s="317" t="n">
        <f aca="false">F189*D189</f>
        <v>15085.4404706984</v>
      </c>
      <c r="L189" s="317" t="n">
        <f aca="false">D189-K189</f>
        <v>0</v>
      </c>
      <c r="N189" s="45"/>
      <c r="O189" s="45"/>
    </row>
    <row r="190" customFormat="false" ht="12.75" hidden="false" customHeight="false" outlineLevel="2" collapsed="false">
      <c r="A190" s="316"/>
      <c r="B190" s="569" t="str">
        <f aca="false">'Plant Configuration'!C229</f>
        <v>Miscellaneous</v>
      </c>
      <c r="C190" s="44"/>
      <c r="D190" s="578" t="n">
        <f aca="false">IF($O$7=6,0,HLOOKUP($D$5,Plant_Configuration,'Plant Configuration'!A229,FALSE()))+IF($R$7=6,0,HLOOKUP($E$5,Plant_Configuration,'Plant Configuration'!A229,FALSE()))+IF($U$7=6,0,HLOOKUP($F$5,Plant_Configuration,'Plant Configuration'!A229,FALSE()))</f>
        <v>0</v>
      </c>
      <c r="E190" s="342" t="n">
        <v>0.4</v>
      </c>
      <c r="F190" s="566" t="n">
        <v>1</v>
      </c>
      <c r="H190" s="316"/>
      <c r="I190" s="567" t="n">
        <f aca="false">D190-J190</f>
        <v>0</v>
      </c>
      <c r="J190" s="567" t="n">
        <f aca="false">E190*D190</f>
        <v>0</v>
      </c>
      <c r="K190" s="317" t="n">
        <f aca="false">F190*D190</f>
        <v>0</v>
      </c>
      <c r="L190" s="317" t="n">
        <f aca="false">D190-K190</f>
        <v>0</v>
      </c>
      <c r="N190" s="45"/>
      <c r="O190" s="45"/>
    </row>
    <row r="191" customFormat="false" ht="12.75" hidden="false" customHeight="false" outlineLevel="2" collapsed="false">
      <c r="A191" s="316"/>
      <c r="B191" s="569" t="str">
        <f aca="false">'Plant Configuration'!C230</f>
        <v>Freight</v>
      </c>
      <c r="C191" s="44"/>
      <c r="D191" s="578" t="n">
        <f aca="false">IF($O$7=6,0,HLOOKUP($D$5,Plant_Configuration,'Plant Configuration'!A230,FALSE()))+IF($R$7=6,0,HLOOKUP($E$5,Plant_Configuration,'Plant Configuration'!A230,FALSE()))+IF($U$7=6,0,HLOOKUP($F$5,Plant_Configuration,'Plant Configuration'!A230,FALSE()))</f>
        <v>0</v>
      </c>
      <c r="E191" s="342" t="n">
        <v>0.4</v>
      </c>
      <c r="F191" s="566" t="n">
        <v>1</v>
      </c>
      <c r="H191" s="316" t="s">
        <v>1038</v>
      </c>
      <c r="I191" s="567" t="n">
        <f aca="false">D191-J191</f>
        <v>0</v>
      </c>
      <c r="J191" s="567" t="n">
        <f aca="false">E191*D191</f>
        <v>0</v>
      </c>
      <c r="K191" s="317" t="n">
        <f aca="false">F191*D191</f>
        <v>0</v>
      </c>
      <c r="L191" s="317" t="n">
        <f aca="false">D191-K191</f>
        <v>0</v>
      </c>
      <c r="N191" s="45"/>
      <c r="O191" s="45"/>
    </row>
    <row r="192" customFormat="false" ht="12.75" hidden="false" customHeight="false" outlineLevel="2" collapsed="false">
      <c r="A192" s="316"/>
      <c r="B192" s="569" t="str">
        <f aca="false">'Plant Configuration'!C231</f>
        <v>Other</v>
      </c>
      <c r="C192" s="44"/>
      <c r="D192" s="578" t="n">
        <f aca="false">IF($O$7=6,0,HLOOKUP($D$5,Plant_Configuration,'Plant Configuration'!A231,FALSE()))+IF($R$7=6,0,HLOOKUP($E$5,Plant_Configuration,'Plant Configuration'!A231,FALSE()))+IF($U$7=6,0,HLOOKUP($F$5,Plant_Configuration,'Plant Configuration'!A231,FALSE()))</f>
        <v>0</v>
      </c>
      <c r="E192" s="342" t="n">
        <v>0.4</v>
      </c>
      <c r="F192" s="566" t="n">
        <v>1</v>
      </c>
      <c r="H192" s="316" t="s">
        <v>1083</v>
      </c>
      <c r="I192" s="567" t="n">
        <f aca="false">D192-J192</f>
        <v>0</v>
      </c>
      <c r="J192" s="567" t="n">
        <f aca="false">E192*D192</f>
        <v>0</v>
      </c>
      <c r="K192" s="317"/>
      <c r="L192" s="317"/>
      <c r="N192" s="45"/>
      <c r="O192" s="45"/>
    </row>
    <row r="193" customFormat="false" ht="12.75" hidden="false" customHeight="false" outlineLevel="1" collapsed="false">
      <c r="A193" s="579"/>
      <c r="B193" s="570" t="s">
        <v>431</v>
      </c>
      <c r="C193" s="0"/>
      <c r="D193" s="571" t="n">
        <f aca="false">SUBTOTAL(9,D185:D192)</f>
        <v>301708.809413968</v>
      </c>
      <c r="E193" s="572"/>
      <c r="F193" s="573"/>
      <c r="H193" s="316" t="s">
        <v>1039</v>
      </c>
      <c r="I193" s="571" t="n">
        <f aca="false">SUBTOTAL(9,I185:I192)</f>
        <v>181025.285648381</v>
      </c>
      <c r="J193" s="571" t="n">
        <f aca="false">SUBTOTAL(9,J185:J192)</f>
        <v>120683.523765587</v>
      </c>
      <c r="K193" s="571" t="n">
        <f aca="false">SUBTOTAL(9,K185:K192)</f>
        <v>301708.809413968</v>
      </c>
      <c r="L193" s="571" t="n">
        <f aca="false">SUBTOTAL(9,L185:L192)</f>
        <v>0</v>
      </c>
      <c r="M193" s="561"/>
      <c r="N193" s="561"/>
      <c r="O193" s="561"/>
      <c r="P193" s="561"/>
      <c r="Q193" s="561"/>
      <c r="R193" s="561"/>
      <c r="S193" s="561"/>
      <c r="T193" s="561"/>
      <c r="U193" s="561"/>
      <c r="V193" s="561"/>
      <c r="W193" s="561"/>
      <c r="X193" s="561"/>
      <c r="Y193" s="561"/>
      <c r="Z193" s="561"/>
      <c r="AA193" s="561"/>
      <c r="AB193" s="561"/>
      <c r="AC193" s="561"/>
      <c r="AD193" s="561"/>
      <c r="AE193" s="561"/>
      <c r="AF193" s="561"/>
      <c r="AG193" s="561"/>
      <c r="AH193" s="561"/>
      <c r="AI193" s="561"/>
      <c r="AJ193" s="561"/>
      <c r="AK193" s="561"/>
      <c r="AL193" s="561"/>
      <c r="AM193" s="561"/>
      <c r="AN193" s="561"/>
      <c r="AO193" s="561"/>
      <c r="AP193" s="561"/>
      <c r="AQ193" s="561"/>
      <c r="AR193" s="561"/>
      <c r="AS193" s="561"/>
      <c r="AT193" s="561"/>
      <c r="AU193" s="561"/>
      <c r="AV193" s="561"/>
      <c r="AW193" s="561"/>
      <c r="AX193" s="561"/>
      <c r="AY193" s="561"/>
      <c r="AZ193" s="561"/>
      <c r="BA193" s="561"/>
      <c r="BB193" s="561"/>
      <c r="BC193" s="561"/>
      <c r="BD193" s="561"/>
      <c r="BE193" s="561"/>
      <c r="BF193" s="561"/>
      <c r="BG193" s="561"/>
      <c r="BH193" s="561"/>
      <c r="BI193" s="561"/>
      <c r="BJ193" s="561"/>
      <c r="BK193" s="561"/>
      <c r="BL193" s="561"/>
      <c r="BM193" s="561"/>
      <c r="BN193" s="561"/>
      <c r="BO193" s="561"/>
      <c r="BP193" s="561"/>
      <c r="BQ193" s="561"/>
      <c r="BR193" s="561"/>
      <c r="BS193" s="561"/>
      <c r="BT193" s="561"/>
      <c r="BU193" s="561"/>
      <c r="BV193" s="561"/>
      <c r="BW193" s="561"/>
      <c r="BX193" s="561"/>
      <c r="BY193" s="561"/>
      <c r="BZ193" s="561"/>
      <c r="CA193" s="561"/>
      <c r="CB193" s="561"/>
      <c r="CC193" s="561"/>
      <c r="CD193" s="561"/>
      <c r="CE193" s="561"/>
      <c r="CF193" s="561"/>
      <c r="CG193" s="561"/>
      <c r="CH193" s="561"/>
      <c r="CI193" s="561"/>
      <c r="CJ193" s="561"/>
      <c r="CK193" s="561"/>
      <c r="CL193" s="561"/>
      <c r="CM193" s="561"/>
      <c r="CN193" s="561"/>
      <c r="CO193" s="561"/>
      <c r="CP193" s="561"/>
      <c r="CQ193" s="561"/>
      <c r="CR193" s="561"/>
      <c r="CS193" s="561"/>
      <c r="CT193" s="561"/>
      <c r="CU193" s="561"/>
      <c r="CV193" s="561"/>
      <c r="CW193" s="561"/>
      <c r="CX193" s="561"/>
      <c r="CY193" s="561"/>
      <c r="CZ193" s="561"/>
      <c r="DA193" s="561"/>
      <c r="DB193" s="561"/>
      <c r="DC193" s="561"/>
      <c r="DD193" s="561"/>
      <c r="DE193" s="561"/>
      <c r="DF193" s="561"/>
      <c r="DG193" s="561"/>
      <c r="DH193" s="561"/>
      <c r="DI193" s="561"/>
      <c r="DJ193" s="561"/>
      <c r="DK193" s="561"/>
      <c r="DL193" s="561"/>
      <c r="DM193" s="561"/>
      <c r="DN193" s="561"/>
      <c r="DO193" s="561"/>
      <c r="DP193" s="561"/>
      <c r="DQ193" s="561"/>
      <c r="DR193" s="561"/>
      <c r="DS193" s="561"/>
      <c r="DT193" s="561"/>
      <c r="DU193" s="561"/>
      <c r="DV193" s="561"/>
      <c r="DW193" s="561"/>
      <c r="DX193" s="561"/>
      <c r="DY193" s="561"/>
      <c r="DZ193" s="561"/>
      <c r="EA193" s="561"/>
      <c r="EB193" s="561"/>
      <c r="EC193" s="561"/>
      <c r="ED193" s="561"/>
      <c r="EE193" s="561"/>
      <c r="EF193" s="561"/>
      <c r="EG193" s="561"/>
      <c r="EH193" s="561"/>
      <c r="EI193" s="561"/>
      <c r="EJ193" s="561"/>
      <c r="EK193" s="561"/>
      <c r="EL193" s="561"/>
      <c r="EM193" s="561"/>
      <c r="EN193" s="561"/>
      <c r="EO193" s="561"/>
      <c r="EP193" s="561"/>
      <c r="EQ193" s="561"/>
      <c r="ER193" s="561"/>
      <c r="ES193" s="561"/>
      <c r="ET193" s="561"/>
      <c r="EU193" s="561"/>
      <c r="EV193" s="561"/>
      <c r="EW193" s="561"/>
      <c r="EX193" s="561"/>
      <c r="EY193" s="561"/>
      <c r="EZ193" s="561"/>
      <c r="FA193" s="561"/>
      <c r="FB193" s="561"/>
      <c r="FC193" s="561"/>
      <c r="FD193" s="561"/>
      <c r="FE193" s="561"/>
      <c r="FF193" s="561"/>
      <c r="FG193" s="561"/>
      <c r="FH193" s="561"/>
      <c r="FI193" s="561"/>
      <c r="FJ193" s="561"/>
      <c r="FK193" s="561"/>
      <c r="FL193" s="561"/>
      <c r="FM193" s="561"/>
      <c r="FN193" s="561"/>
      <c r="FO193" s="561"/>
      <c r="FP193" s="561"/>
      <c r="FQ193" s="561"/>
      <c r="FR193" s="561"/>
      <c r="FS193" s="561"/>
      <c r="FT193" s="561"/>
      <c r="FU193" s="561"/>
      <c r="FV193" s="561"/>
      <c r="FW193" s="561"/>
      <c r="FX193" s="561"/>
      <c r="FY193" s="561"/>
      <c r="FZ193" s="561"/>
      <c r="GA193" s="561"/>
      <c r="GB193" s="561"/>
      <c r="GC193" s="561"/>
      <c r="GD193" s="561"/>
      <c r="GE193" s="561"/>
      <c r="GF193" s="561"/>
      <c r="GG193" s="561"/>
      <c r="GH193" s="561"/>
      <c r="GI193" s="561"/>
      <c r="GJ193" s="561"/>
      <c r="GK193" s="561"/>
      <c r="GL193" s="561"/>
      <c r="GM193" s="561"/>
      <c r="GN193" s="561"/>
      <c r="GO193" s="561"/>
      <c r="GP193" s="561"/>
      <c r="GQ193" s="561"/>
      <c r="GR193" s="561"/>
      <c r="GS193" s="561"/>
      <c r="GT193" s="561"/>
      <c r="GU193" s="561"/>
      <c r="GV193" s="561"/>
      <c r="GW193" s="561"/>
      <c r="GX193" s="561"/>
      <c r="GY193" s="561"/>
      <c r="GZ193" s="561"/>
      <c r="HA193" s="561"/>
      <c r="HB193" s="561"/>
      <c r="HC193" s="561"/>
      <c r="HD193" s="561"/>
      <c r="HE193" s="561"/>
      <c r="HF193" s="561"/>
      <c r="HG193" s="561"/>
      <c r="HH193" s="561"/>
      <c r="HI193" s="561"/>
      <c r="HJ193" s="561"/>
      <c r="HK193" s="561"/>
      <c r="HL193" s="561"/>
      <c r="HM193" s="561"/>
      <c r="HN193" s="561"/>
      <c r="HO193" s="561"/>
      <c r="HP193" s="561"/>
      <c r="HQ193" s="561"/>
      <c r="HR193" s="561"/>
      <c r="HS193" s="561"/>
      <c r="HT193" s="561"/>
      <c r="HU193" s="561"/>
      <c r="HV193" s="561"/>
      <c r="HW193" s="561"/>
      <c r="HX193" s="561"/>
      <c r="HY193" s="561"/>
      <c r="HZ193" s="561"/>
      <c r="IA193" s="561"/>
      <c r="IB193" s="561"/>
      <c r="IC193" s="561"/>
      <c r="ID193" s="561"/>
      <c r="IE193" s="561"/>
      <c r="IF193" s="561"/>
      <c r="IG193" s="561"/>
      <c r="IH193" s="561"/>
      <c r="II193" s="561"/>
      <c r="IJ193" s="561"/>
      <c r="IK193" s="561"/>
      <c r="IL193" s="561"/>
      <c r="IM193" s="561"/>
      <c r="IN193" s="561"/>
      <c r="IO193" s="561"/>
      <c r="IP193" s="561"/>
      <c r="IQ193" s="561"/>
      <c r="IR193" s="561"/>
      <c r="IS193" s="561"/>
      <c r="IT193" s="561"/>
      <c r="IU193" s="561"/>
      <c r="IV193" s="561"/>
      <c r="IW193" s="561"/>
    </row>
    <row r="194" customFormat="false" ht="12.75" hidden="false" customHeight="false" outlineLevel="1" collapsed="false">
      <c r="A194" s="574" t="s">
        <v>1084</v>
      </c>
      <c r="B194" s="575"/>
      <c r="C194" s="576"/>
      <c r="D194" s="554"/>
      <c r="E194" s="555"/>
      <c r="F194" s="556"/>
      <c r="H194" s="577"/>
      <c r="I194" s="558" t="n">
        <f aca="false">IF(D204=0,0,I204/D204)</f>
        <v>0.6</v>
      </c>
      <c r="J194" s="558" t="n">
        <f aca="false">1-I194</f>
        <v>0.4</v>
      </c>
      <c r="K194" s="559" t="n">
        <f aca="false">IF(D204=0,0,K204/D204)</f>
        <v>1</v>
      </c>
      <c r="L194" s="559" t="n">
        <f aca="false">1-K194</f>
        <v>0</v>
      </c>
      <c r="M194" s="561"/>
      <c r="N194" s="561"/>
      <c r="O194" s="561"/>
      <c r="P194" s="561"/>
      <c r="Q194" s="561"/>
      <c r="R194" s="561"/>
      <c r="S194" s="561"/>
      <c r="T194" s="561"/>
      <c r="U194" s="561"/>
      <c r="V194" s="561"/>
      <c r="W194" s="561"/>
      <c r="X194" s="561"/>
      <c r="Y194" s="561"/>
      <c r="Z194" s="561"/>
      <c r="AA194" s="561"/>
      <c r="AB194" s="561"/>
      <c r="AC194" s="561"/>
      <c r="AD194" s="561"/>
      <c r="AE194" s="561"/>
      <c r="AF194" s="561"/>
      <c r="AG194" s="561"/>
      <c r="AH194" s="561"/>
      <c r="AI194" s="561"/>
      <c r="AJ194" s="561"/>
      <c r="AK194" s="561"/>
      <c r="AL194" s="561"/>
      <c r="AM194" s="561"/>
      <c r="AN194" s="561"/>
      <c r="AO194" s="561"/>
      <c r="AP194" s="561"/>
      <c r="AQ194" s="561"/>
      <c r="AR194" s="561"/>
      <c r="AS194" s="561"/>
      <c r="AT194" s="561"/>
      <c r="AU194" s="561"/>
      <c r="AV194" s="561"/>
      <c r="AW194" s="561"/>
      <c r="AX194" s="561"/>
      <c r="AY194" s="561"/>
      <c r="AZ194" s="561"/>
      <c r="BA194" s="561"/>
      <c r="BB194" s="561"/>
      <c r="BC194" s="561"/>
      <c r="BD194" s="561"/>
      <c r="BE194" s="561"/>
      <c r="BF194" s="561"/>
      <c r="BG194" s="561"/>
      <c r="BH194" s="561"/>
      <c r="BI194" s="561"/>
      <c r="BJ194" s="561"/>
      <c r="BK194" s="561"/>
      <c r="BL194" s="561"/>
      <c r="BM194" s="561"/>
      <c r="BN194" s="561"/>
      <c r="BO194" s="561"/>
      <c r="BP194" s="561"/>
      <c r="BQ194" s="561"/>
      <c r="BR194" s="561"/>
      <c r="BS194" s="561"/>
      <c r="BT194" s="561"/>
      <c r="BU194" s="561"/>
      <c r="BV194" s="561"/>
      <c r="BW194" s="561"/>
      <c r="BX194" s="561"/>
      <c r="BY194" s="561"/>
      <c r="BZ194" s="561"/>
      <c r="CA194" s="561"/>
      <c r="CB194" s="561"/>
      <c r="CC194" s="561"/>
      <c r="CD194" s="561"/>
      <c r="CE194" s="561"/>
      <c r="CF194" s="561"/>
      <c r="CG194" s="561"/>
      <c r="CH194" s="561"/>
      <c r="CI194" s="561"/>
      <c r="CJ194" s="561"/>
      <c r="CK194" s="561"/>
      <c r="CL194" s="561"/>
      <c r="CM194" s="561"/>
      <c r="CN194" s="561"/>
      <c r="CO194" s="561"/>
      <c r="CP194" s="561"/>
      <c r="CQ194" s="561"/>
      <c r="CR194" s="561"/>
      <c r="CS194" s="561"/>
      <c r="CT194" s="561"/>
      <c r="CU194" s="561"/>
      <c r="CV194" s="561"/>
      <c r="CW194" s="561"/>
      <c r="CX194" s="561"/>
      <c r="CY194" s="561"/>
      <c r="CZ194" s="561"/>
      <c r="DA194" s="561"/>
      <c r="DB194" s="561"/>
      <c r="DC194" s="561"/>
      <c r="DD194" s="561"/>
      <c r="DE194" s="561"/>
      <c r="DF194" s="561"/>
      <c r="DG194" s="561"/>
      <c r="DH194" s="561"/>
      <c r="DI194" s="561"/>
      <c r="DJ194" s="561"/>
      <c r="DK194" s="561"/>
      <c r="DL194" s="561"/>
      <c r="DM194" s="561"/>
      <c r="DN194" s="561"/>
      <c r="DO194" s="561"/>
      <c r="DP194" s="561"/>
      <c r="DQ194" s="561"/>
      <c r="DR194" s="561"/>
      <c r="DS194" s="561"/>
      <c r="DT194" s="561"/>
      <c r="DU194" s="561"/>
      <c r="DV194" s="561"/>
      <c r="DW194" s="561"/>
      <c r="DX194" s="561"/>
      <c r="DY194" s="561"/>
      <c r="DZ194" s="561"/>
      <c r="EA194" s="561"/>
      <c r="EB194" s="561"/>
      <c r="EC194" s="561"/>
      <c r="ED194" s="561"/>
      <c r="EE194" s="561"/>
      <c r="EF194" s="561"/>
      <c r="EG194" s="561"/>
      <c r="EH194" s="561"/>
      <c r="EI194" s="561"/>
      <c r="EJ194" s="561"/>
      <c r="EK194" s="561"/>
      <c r="EL194" s="561"/>
      <c r="EM194" s="561"/>
      <c r="EN194" s="561"/>
      <c r="EO194" s="561"/>
      <c r="EP194" s="561"/>
      <c r="EQ194" s="561"/>
      <c r="ER194" s="561"/>
      <c r="ES194" s="561"/>
      <c r="ET194" s="561"/>
      <c r="EU194" s="561"/>
      <c r="EV194" s="561"/>
      <c r="EW194" s="561"/>
      <c r="EX194" s="561"/>
      <c r="EY194" s="561"/>
      <c r="EZ194" s="561"/>
      <c r="FA194" s="561"/>
      <c r="FB194" s="561"/>
      <c r="FC194" s="561"/>
      <c r="FD194" s="561"/>
      <c r="FE194" s="561"/>
      <c r="FF194" s="561"/>
      <c r="FG194" s="561"/>
      <c r="FH194" s="561"/>
      <c r="FI194" s="561"/>
      <c r="FJ194" s="561"/>
      <c r="FK194" s="561"/>
      <c r="FL194" s="561"/>
      <c r="FM194" s="561"/>
      <c r="FN194" s="561"/>
      <c r="FO194" s="561"/>
      <c r="FP194" s="561"/>
      <c r="FQ194" s="561"/>
      <c r="FR194" s="561"/>
      <c r="FS194" s="561"/>
      <c r="FT194" s="561"/>
      <c r="FU194" s="561"/>
      <c r="FV194" s="561"/>
      <c r="FW194" s="561"/>
      <c r="FX194" s="561"/>
      <c r="FY194" s="561"/>
      <c r="FZ194" s="561"/>
      <c r="GA194" s="561"/>
      <c r="GB194" s="561"/>
      <c r="GC194" s="561"/>
      <c r="GD194" s="561"/>
      <c r="GE194" s="561"/>
      <c r="GF194" s="561"/>
      <c r="GG194" s="561"/>
      <c r="GH194" s="561"/>
      <c r="GI194" s="561"/>
      <c r="GJ194" s="561"/>
      <c r="GK194" s="561"/>
      <c r="GL194" s="561"/>
      <c r="GM194" s="561"/>
      <c r="GN194" s="561"/>
      <c r="GO194" s="561"/>
      <c r="GP194" s="561"/>
      <c r="GQ194" s="561"/>
      <c r="GR194" s="561"/>
      <c r="GS194" s="561"/>
      <c r="GT194" s="561"/>
      <c r="GU194" s="561"/>
      <c r="GV194" s="561"/>
      <c r="GW194" s="561"/>
      <c r="GX194" s="561"/>
      <c r="GY194" s="561"/>
      <c r="GZ194" s="561"/>
      <c r="HA194" s="561"/>
      <c r="HB194" s="561"/>
      <c r="HC194" s="561"/>
      <c r="HD194" s="561"/>
      <c r="HE194" s="561"/>
      <c r="HF194" s="561"/>
      <c r="HG194" s="561"/>
      <c r="HH194" s="561"/>
      <c r="HI194" s="561"/>
      <c r="HJ194" s="561"/>
      <c r="HK194" s="561"/>
      <c r="HL194" s="561"/>
      <c r="HM194" s="561"/>
      <c r="HN194" s="561"/>
      <c r="HO194" s="561"/>
      <c r="HP194" s="561"/>
      <c r="HQ194" s="561"/>
      <c r="HR194" s="561"/>
      <c r="HS194" s="561"/>
      <c r="HT194" s="561"/>
      <c r="HU194" s="561"/>
      <c r="HV194" s="561"/>
      <c r="HW194" s="561"/>
      <c r="HX194" s="561"/>
      <c r="HY194" s="561"/>
      <c r="HZ194" s="561"/>
      <c r="IA194" s="561"/>
      <c r="IB194" s="561"/>
      <c r="IC194" s="561"/>
      <c r="ID194" s="561"/>
      <c r="IE194" s="561"/>
      <c r="IF194" s="561"/>
      <c r="IG194" s="561"/>
      <c r="IH194" s="561"/>
      <c r="II194" s="561"/>
      <c r="IJ194" s="561"/>
      <c r="IK194" s="561"/>
      <c r="IL194" s="561"/>
      <c r="IM194" s="561"/>
      <c r="IN194" s="561"/>
      <c r="IO194" s="561"/>
      <c r="IP194" s="561"/>
      <c r="IQ194" s="561"/>
      <c r="IR194" s="561"/>
      <c r="IS194" s="561"/>
      <c r="IT194" s="561"/>
      <c r="IU194" s="561"/>
      <c r="IV194" s="561"/>
      <c r="IW194" s="561"/>
    </row>
    <row r="195" customFormat="false" ht="12.75" hidden="false" customHeight="false" outlineLevel="2" collapsed="false">
      <c r="A195" s="316"/>
      <c r="B195" s="569" t="str">
        <f aca="false">'Plant Configuration'!C234</f>
        <v>Non-scheduled maint. parts/repairs</v>
      </c>
      <c r="C195" s="44"/>
      <c r="D195" s="578" t="n">
        <f aca="false">IF($O$7=6,0,HLOOKUP($D$5,Plant_Configuration,'Plant Configuration'!A234,FALSE()))+IF($R$7=6,0,HLOOKUP($E$5,Plant_Configuration,'Plant Configuration'!A234,FALSE()))+IF($U$7=6,0,HLOOKUP($F$5,Plant_Configuration,'Plant Configuration'!A234,FALSE()))</f>
        <v>363348.831137155</v>
      </c>
      <c r="E195" s="342" t="n">
        <v>0.4</v>
      </c>
      <c r="F195" s="566" t="n">
        <v>1</v>
      </c>
      <c r="H195" s="316" t="s">
        <v>1062</v>
      </c>
      <c r="I195" s="567" t="n">
        <f aca="false">D195-J195</f>
        <v>218009.298682293</v>
      </c>
      <c r="J195" s="567" t="n">
        <f aca="false">E195*D195</f>
        <v>145339.532454862</v>
      </c>
      <c r="K195" s="317" t="n">
        <f aca="false">F195*D195</f>
        <v>363348.831137155</v>
      </c>
      <c r="L195" s="317" t="n">
        <f aca="false">D195-K195</f>
        <v>0</v>
      </c>
      <c r="N195" s="45"/>
      <c r="O195" s="45"/>
    </row>
    <row r="196" customFormat="false" ht="12.75" hidden="false" customHeight="false" outlineLevel="2" collapsed="false">
      <c r="A196" s="316"/>
      <c r="B196" s="569" t="str">
        <f aca="false">'Plant Configuration'!C235</f>
        <v>Outside Repair Services</v>
      </c>
      <c r="C196" s="44"/>
      <c r="D196" s="578" t="n">
        <f aca="false">IF($O$7=6,0,HLOOKUP($D$5,Plant_Configuration,'Plant Configuration'!A235,FALSE()))+IF($R$7=6,0,HLOOKUP($E$5,Plant_Configuration,'Plant Configuration'!A235,FALSE()))+IF($U$7=6,0,HLOOKUP($F$5,Plant_Configuration,'Plant Configuration'!A235,FALSE()))</f>
        <v>145339.532454862</v>
      </c>
      <c r="E196" s="342" t="n">
        <v>0.4</v>
      </c>
      <c r="F196" s="566" t="n">
        <v>1</v>
      </c>
      <c r="H196" s="316" t="s">
        <v>1085</v>
      </c>
      <c r="I196" s="567" t="n">
        <f aca="false">D196-J196</f>
        <v>87203.7194729172</v>
      </c>
      <c r="J196" s="567" t="n">
        <f aca="false">E196*D196</f>
        <v>58135.8129819448</v>
      </c>
      <c r="K196" s="317" t="n">
        <f aca="false">F196*D196</f>
        <v>145339.532454862</v>
      </c>
      <c r="L196" s="317" t="n">
        <f aca="false">D196-K196</f>
        <v>0</v>
      </c>
      <c r="N196" s="45"/>
      <c r="O196" s="45"/>
    </row>
    <row r="197" customFormat="false" ht="12.75" hidden="false" customHeight="false" outlineLevel="2" collapsed="false">
      <c r="A197" s="316"/>
      <c r="B197" s="569" t="str">
        <f aca="false">'Plant Configuration'!C236</f>
        <v>Technical/Professional Services</v>
      </c>
      <c r="C197" s="44"/>
      <c r="D197" s="578" t="n">
        <f aca="false">IF($O$7=6,0,HLOOKUP($D$5,Plant_Configuration,'Plant Configuration'!A236,FALSE()))+IF($R$7=6,0,HLOOKUP($E$5,Plant_Configuration,'Plant Configuration'!A236,FALSE()))+IF($U$7=6,0,HLOOKUP($F$5,Plant_Configuration,'Plant Configuration'!A236,FALSE()))</f>
        <v>72669.766227431</v>
      </c>
      <c r="E197" s="342" t="n">
        <v>0.4</v>
      </c>
      <c r="F197" s="566" t="n">
        <v>1</v>
      </c>
      <c r="H197" s="435" t="s">
        <v>1057</v>
      </c>
      <c r="I197" s="567" t="n">
        <f aca="false">D197-J197</f>
        <v>43601.8597364586</v>
      </c>
      <c r="J197" s="567" t="n">
        <f aca="false">E197*D197</f>
        <v>29067.9064909724</v>
      </c>
      <c r="K197" s="317" t="n">
        <f aca="false">F197*D197</f>
        <v>72669.766227431</v>
      </c>
      <c r="L197" s="317" t="n">
        <f aca="false">D197-K197</f>
        <v>0</v>
      </c>
      <c r="N197" s="45"/>
      <c r="O197" s="45"/>
    </row>
    <row r="198" customFormat="false" ht="12.75" hidden="false" customHeight="false" outlineLevel="2" collapsed="false">
      <c r="A198" s="316"/>
      <c r="B198" s="569" t="str">
        <f aca="false">'Plant Configuration'!C237</f>
        <v>Scheduled Maint.</v>
      </c>
      <c r="C198" s="44"/>
      <c r="D198" s="578" t="n">
        <f aca="false">IF($O$7=6,0,HLOOKUP($D$5,Plant_Configuration,'Plant Configuration'!A237,FALSE()))+IF($R$7=6,0,HLOOKUP($E$5,Plant_Configuration,'Plant Configuration'!A237,FALSE()))+IF($U$7=6,0,HLOOKUP($F$5,Plant_Configuration,'Plant Configuration'!A237,FALSE()))</f>
        <v>109004.649341147</v>
      </c>
      <c r="E198" s="342" t="n">
        <v>0.4</v>
      </c>
      <c r="F198" s="566" t="n">
        <v>1</v>
      </c>
      <c r="H198" s="316"/>
      <c r="I198" s="567" t="n">
        <f aca="false">D198-J198</f>
        <v>65402.7896046879</v>
      </c>
      <c r="J198" s="567" t="n">
        <f aca="false">E198*D198</f>
        <v>43601.8597364586</v>
      </c>
      <c r="K198" s="317" t="n">
        <f aca="false">F198*D198</f>
        <v>109004.649341147</v>
      </c>
      <c r="L198" s="317" t="n">
        <f aca="false">D198-K198</f>
        <v>0</v>
      </c>
      <c r="N198" s="45"/>
      <c r="O198" s="45"/>
    </row>
    <row r="199" customFormat="false" ht="12.75" hidden="false" customHeight="false" outlineLevel="2" collapsed="false">
      <c r="A199" s="316"/>
      <c r="B199" s="569" t="str">
        <f aca="false">'Plant Configuration'!C238</f>
        <v>Equipment rental</v>
      </c>
      <c r="C199" s="44"/>
      <c r="D199" s="578" t="n">
        <f aca="false">IF($O$7=6,0,HLOOKUP($D$5,Plant_Configuration,'Plant Configuration'!A238,FALSE()))+IF($R$7=6,0,HLOOKUP($E$5,Plant_Configuration,'Plant Configuration'!A238,FALSE()))+IF($U$7=6,0,HLOOKUP($F$5,Plant_Configuration,'Plant Configuration'!A238,FALSE()))</f>
        <v>36334.8831137155</v>
      </c>
      <c r="E199" s="342" t="n">
        <v>0.4</v>
      </c>
      <c r="F199" s="566" t="n">
        <v>1</v>
      </c>
      <c r="H199" s="316" t="s">
        <v>1086</v>
      </c>
      <c r="I199" s="567" t="n">
        <f aca="false">D199-J199</f>
        <v>21800.9298682293</v>
      </c>
      <c r="J199" s="567" t="n">
        <f aca="false">E199*D199</f>
        <v>14533.9532454862</v>
      </c>
      <c r="K199" s="317" t="n">
        <f aca="false">F199*D199</f>
        <v>36334.8831137155</v>
      </c>
      <c r="L199" s="317" t="n">
        <f aca="false">D199-K199</f>
        <v>0</v>
      </c>
      <c r="N199" s="45"/>
      <c r="O199" s="45"/>
    </row>
    <row r="200" customFormat="false" ht="12.75" hidden="false" customHeight="false" outlineLevel="2" collapsed="false">
      <c r="A200" s="316"/>
      <c r="B200" s="569" t="str">
        <f aca="false">'Plant Configuration'!C239</f>
        <v>Miscellaneous</v>
      </c>
      <c r="C200" s="44"/>
      <c r="D200" s="578" t="n">
        <f aca="false">IF($O$7=6,0,HLOOKUP($D$5,Plant_Configuration,'Plant Configuration'!A239,FALSE()))+IF($R$7=6,0,HLOOKUP($E$5,Plant_Configuration,'Plant Configuration'!A239,FALSE()))+IF($U$7=6,0,HLOOKUP($F$5,Plant_Configuration,'Plant Configuration'!A239,FALSE()))</f>
        <v>0</v>
      </c>
      <c r="E200" s="342" t="n">
        <v>0.4</v>
      </c>
      <c r="F200" s="566" t="n">
        <v>1</v>
      </c>
      <c r="H200" s="316" t="s">
        <v>1087</v>
      </c>
      <c r="I200" s="567" t="n">
        <f aca="false">D200-J200</f>
        <v>0</v>
      </c>
      <c r="J200" s="567" t="n">
        <f aca="false">E200*D200</f>
        <v>0</v>
      </c>
      <c r="K200" s="317" t="n">
        <f aca="false">F200*D200</f>
        <v>0</v>
      </c>
      <c r="L200" s="317" t="n">
        <f aca="false">D200-K200</f>
        <v>0</v>
      </c>
      <c r="N200" s="45"/>
      <c r="O200" s="45"/>
    </row>
    <row r="201" customFormat="false" ht="12.75" hidden="false" customHeight="false" outlineLevel="2" collapsed="false">
      <c r="A201" s="316"/>
      <c r="B201" s="569" t="str">
        <f aca="false">'Plant Configuration'!C240</f>
        <v>Auxiliary Parts</v>
      </c>
      <c r="C201" s="44"/>
      <c r="D201" s="578" t="n">
        <f aca="false">IF($O$7=6,0,HLOOKUP($D$5,Plant_Configuration,'Plant Configuration'!A240,FALSE()))+IF($R$7=6,0,HLOOKUP($E$5,Plant_Configuration,'Plant Configuration'!A240,FALSE()))+IF($U$7=6,0,HLOOKUP($F$5,Plant_Configuration,'Plant Configuration'!A240,FALSE()))</f>
        <v>0</v>
      </c>
      <c r="E201" s="342" t="n">
        <v>0.4</v>
      </c>
      <c r="F201" s="566" t="n">
        <v>1</v>
      </c>
      <c r="H201" s="316"/>
      <c r="I201" s="567" t="n">
        <f aca="false">D201-J201</f>
        <v>0</v>
      </c>
      <c r="J201" s="567" t="n">
        <f aca="false">E201*D201</f>
        <v>0</v>
      </c>
      <c r="K201" s="317" t="n">
        <f aca="false">F201*D201</f>
        <v>0</v>
      </c>
      <c r="L201" s="317" t="n">
        <f aca="false">D201-K201</f>
        <v>0</v>
      </c>
      <c r="N201" s="45"/>
      <c r="O201" s="45"/>
    </row>
    <row r="202" customFormat="false" ht="12.75" hidden="false" customHeight="false" outlineLevel="2" collapsed="false">
      <c r="A202" s="316"/>
      <c r="B202" s="569" t="str">
        <f aca="false">'Plant Configuration'!C241</f>
        <v>Freight</v>
      </c>
      <c r="C202" s="44"/>
      <c r="D202" s="578" t="n">
        <f aca="false">IF($O$7=6,0,HLOOKUP($D$5,Plant_Configuration,'Plant Configuration'!A241,FALSE()))+IF($R$7=6,0,HLOOKUP($E$5,Plant_Configuration,'Plant Configuration'!A241,FALSE()))+IF($U$7=6,0,HLOOKUP($F$5,Plant_Configuration,'Plant Configuration'!A241,FALSE()))</f>
        <v>0</v>
      </c>
      <c r="E202" s="342" t="n">
        <v>0.4</v>
      </c>
      <c r="F202" s="566" t="n">
        <v>1</v>
      </c>
      <c r="H202" s="316" t="s">
        <v>1088</v>
      </c>
      <c r="I202" s="567" t="n">
        <f aca="false">D202-J202</f>
        <v>0</v>
      </c>
      <c r="J202" s="567" t="n">
        <f aca="false">E202*D202</f>
        <v>0</v>
      </c>
      <c r="K202" s="317" t="n">
        <f aca="false">F202*D202</f>
        <v>0</v>
      </c>
      <c r="L202" s="317" t="n">
        <f aca="false">D202-K202</f>
        <v>0</v>
      </c>
      <c r="N202" s="45"/>
      <c r="O202" s="45"/>
    </row>
    <row r="203" customFormat="false" ht="12.75" hidden="false" customHeight="false" outlineLevel="2" collapsed="false">
      <c r="A203" s="316"/>
      <c r="B203" s="569" t="str">
        <f aca="false">'Plant Configuration'!C242</f>
        <v>Other</v>
      </c>
      <c r="C203" s="44"/>
      <c r="D203" s="578" t="n">
        <f aca="false">IF($O$7=6,0,HLOOKUP($D$5,Plant_Configuration,'Plant Configuration'!A242,FALSE()))+IF($R$7=6,0,HLOOKUP($E$5,Plant_Configuration,'Plant Configuration'!A242,FALSE()))+IF($U$7=6,0,HLOOKUP($F$5,Plant_Configuration,'Plant Configuration'!A242,FALSE()))</f>
        <v>0</v>
      </c>
      <c r="E203" s="342" t="n">
        <v>0.4</v>
      </c>
      <c r="F203" s="566" t="n">
        <v>1</v>
      </c>
      <c r="H203" s="316"/>
      <c r="I203" s="567" t="n">
        <f aca="false">D203-J203</f>
        <v>0</v>
      </c>
      <c r="J203" s="567" t="n">
        <f aca="false">E203*D203</f>
        <v>0</v>
      </c>
      <c r="K203" s="317"/>
      <c r="L203" s="317"/>
      <c r="N203" s="45"/>
      <c r="O203" s="45"/>
    </row>
    <row r="204" customFormat="false" ht="12.75" hidden="false" customHeight="false" outlineLevel="1" collapsed="false">
      <c r="A204" s="579"/>
      <c r="B204" s="570" t="s">
        <v>431</v>
      </c>
      <c r="C204" s="0"/>
      <c r="D204" s="571" t="n">
        <f aca="false">SUBTOTAL(9,D195:D203)</f>
        <v>726697.66227431</v>
      </c>
      <c r="E204" s="572"/>
      <c r="F204" s="573"/>
      <c r="H204" s="316" t="s">
        <v>1089</v>
      </c>
      <c r="I204" s="571" t="n">
        <f aca="false">SUBTOTAL(9,I195:I203)</f>
        <v>436018.597364586</v>
      </c>
      <c r="J204" s="571" t="n">
        <f aca="false">SUBTOTAL(9,J195:J203)</f>
        <v>290679.064909724</v>
      </c>
      <c r="K204" s="571" t="n">
        <f aca="false">SUBTOTAL(9,K195:K203)</f>
        <v>726697.66227431</v>
      </c>
      <c r="L204" s="571" t="n">
        <f aca="false">SUBTOTAL(9,L195:L203)</f>
        <v>0</v>
      </c>
      <c r="M204" s="561"/>
      <c r="N204" s="561"/>
      <c r="O204" s="561"/>
      <c r="P204" s="561"/>
      <c r="Q204" s="561"/>
      <c r="R204" s="561"/>
      <c r="S204" s="561"/>
      <c r="T204" s="561"/>
      <c r="U204" s="561"/>
      <c r="V204" s="561"/>
      <c r="W204" s="561"/>
      <c r="X204" s="561"/>
      <c r="Y204" s="561"/>
      <c r="Z204" s="561"/>
      <c r="AA204" s="561"/>
      <c r="AB204" s="561"/>
      <c r="AC204" s="561"/>
      <c r="AD204" s="561"/>
      <c r="AE204" s="561"/>
      <c r="AF204" s="561"/>
      <c r="AG204" s="561"/>
      <c r="AH204" s="561"/>
      <c r="AI204" s="561"/>
      <c r="AJ204" s="561"/>
      <c r="AK204" s="561"/>
      <c r="AL204" s="561"/>
      <c r="AM204" s="561"/>
      <c r="AN204" s="561"/>
      <c r="AO204" s="561"/>
      <c r="AP204" s="561"/>
      <c r="AQ204" s="561"/>
      <c r="AR204" s="561"/>
      <c r="AS204" s="561"/>
      <c r="AT204" s="561"/>
      <c r="AU204" s="561"/>
      <c r="AV204" s="561"/>
      <c r="AW204" s="561"/>
      <c r="AX204" s="561"/>
      <c r="AY204" s="561"/>
      <c r="AZ204" s="561"/>
      <c r="BA204" s="561"/>
      <c r="BB204" s="561"/>
      <c r="BC204" s="561"/>
      <c r="BD204" s="561"/>
      <c r="BE204" s="561"/>
      <c r="BF204" s="561"/>
      <c r="BG204" s="561"/>
      <c r="BH204" s="561"/>
      <c r="BI204" s="561"/>
      <c r="BJ204" s="561"/>
      <c r="BK204" s="561"/>
      <c r="BL204" s="561"/>
      <c r="BM204" s="561"/>
      <c r="BN204" s="561"/>
      <c r="BO204" s="561"/>
      <c r="BP204" s="561"/>
      <c r="BQ204" s="561"/>
      <c r="BR204" s="561"/>
      <c r="BS204" s="561"/>
      <c r="BT204" s="561"/>
      <c r="BU204" s="561"/>
      <c r="BV204" s="561"/>
      <c r="BW204" s="561"/>
      <c r="BX204" s="561"/>
      <c r="BY204" s="561"/>
      <c r="BZ204" s="561"/>
      <c r="CA204" s="561"/>
      <c r="CB204" s="561"/>
      <c r="CC204" s="561"/>
      <c r="CD204" s="561"/>
      <c r="CE204" s="561"/>
      <c r="CF204" s="561"/>
      <c r="CG204" s="561"/>
      <c r="CH204" s="561"/>
      <c r="CI204" s="561"/>
      <c r="CJ204" s="561"/>
      <c r="CK204" s="561"/>
      <c r="CL204" s="561"/>
      <c r="CM204" s="561"/>
      <c r="CN204" s="561"/>
      <c r="CO204" s="561"/>
      <c r="CP204" s="561"/>
      <c r="CQ204" s="561"/>
      <c r="CR204" s="561"/>
      <c r="CS204" s="561"/>
      <c r="CT204" s="561"/>
      <c r="CU204" s="561"/>
      <c r="CV204" s="561"/>
      <c r="CW204" s="561"/>
      <c r="CX204" s="561"/>
      <c r="CY204" s="561"/>
      <c r="CZ204" s="561"/>
      <c r="DA204" s="561"/>
      <c r="DB204" s="561"/>
      <c r="DC204" s="561"/>
      <c r="DD204" s="561"/>
      <c r="DE204" s="561"/>
      <c r="DF204" s="561"/>
      <c r="DG204" s="561"/>
      <c r="DH204" s="561"/>
      <c r="DI204" s="561"/>
      <c r="DJ204" s="561"/>
      <c r="DK204" s="561"/>
      <c r="DL204" s="561"/>
      <c r="DM204" s="561"/>
      <c r="DN204" s="561"/>
      <c r="DO204" s="561"/>
      <c r="DP204" s="561"/>
      <c r="DQ204" s="561"/>
      <c r="DR204" s="561"/>
      <c r="DS204" s="561"/>
      <c r="DT204" s="561"/>
      <c r="DU204" s="561"/>
      <c r="DV204" s="561"/>
      <c r="DW204" s="561"/>
      <c r="DX204" s="561"/>
      <c r="DY204" s="561"/>
      <c r="DZ204" s="561"/>
      <c r="EA204" s="561"/>
      <c r="EB204" s="561"/>
      <c r="EC204" s="561"/>
      <c r="ED204" s="561"/>
      <c r="EE204" s="561"/>
      <c r="EF204" s="561"/>
      <c r="EG204" s="561"/>
      <c r="EH204" s="561"/>
      <c r="EI204" s="561"/>
      <c r="EJ204" s="561"/>
      <c r="EK204" s="561"/>
      <c r="EL204" s="561"/>
      <c r="EM204" s="561"/>
      <c r="EN204" s="561"/>
      <c r="EO204" s="561"/>
      <c r="EP204" s="561"/>
      <c r="EQ204" s="561"/>
      <c r="ER204" s="561"/>
      <c r="ES204" s="561"/>
      <c r="ET204" s="561"/>
      <c r="EU204" s="561"/>
      <c r="EV204" s="561"/>
      <c r="EW204" s="561"/>
      <c r="EX204" s="561"/>
      <c r="EY204" s="561"/>
      <c r="EZ204" s="561"/>
      <c r="FA204" s="561"/>
      <c r="FB204" s="561"/>
      <c r="FC204" s="561"/>
      <c r="FD204" s="561"/>
      <c r="FE204" s="561"/>
      <c r="FF204" s="561"/>
      <c r="FG204" s="561"/>
      <c r="FH204" s="561"/>
      <c r="FI204" s="561"/>
      <c r="FJ204" s="561"/>
      <c r="FK204" s="561"/>
      <c r="FL204" s="561"/>
      <c r="FM204" s="561"/>
      <c r="FN204" s="561"/>
      <c r="FO204" s="561"/>
      <c r="FP204" s="561"/>
      <c r="FQ204" s="561"/>
      <c r="FR204" s="561"/>
      <c r="FS204" s="561"/>
      <c r="FT204" s="561"/>
      <c r="FU204" s="561"/>
      <c r="FV204" s="561"/>
      <c r="FW204" s="561"/>
      <c r="FX204" s="561"/>
      <c r="FY204" s="561"/>
      <c r="FZ204" s="561"/>
      <c r="GA204" s="561"/>
      <c r="GB204" s="561"/>
      <c r="GC204" s="561"/>
      <c r="GD204" s="561"/>
      <c r="GE204" s="561"/>
      <c r="GF204" s="561"/>
      <c r="GG204" s="561"/>
      <c r="GH204" s="561"/>
      <c r="GI204" s="561"/>
      <c r="GJ204" s="561"/>
      <c r="GK204" s="561"/>
      <c r="GL204" s="561"/>
      <c r="GM204" s="561"/>
      <c r="GN204" s="561"/>
      <c r="GO204" s="561"/>
      <c r="GP204" s="561"/>
      <c r="GQ204" s="561"/>
      <c r="GR204" s="561"/>
      <c r="GS204" s="561"/>
      <c r="GT204" s="561"/>
      <c r="GU204" s="561"/>
      <c r="GV204" s="561"/>
      <c r="GW204" s="561"/>
      <c r="GX204" s="561"/>
      <c r="GY204" s="561"/>
      <c r="GZ204" s="561"/>
      <c r="HA204" s="561"/>
      <c r="HB204" s="561"/>
      <c r="HC204" s="561"/>
      <c r="HD204" s="561"/>
      <c r="HE204" s="561"/>
      <c r="HF204" s="561"/>
      <c r="HG204" s="561"/>
      <c r="HH204" s="561"/>
      <c r="HI204" s="561"/>
      <c r="HJ204" s="561"/>
      <c r="HK204" s="561"/>
      <c r="HL204" s="561"/>
      <c r="HM204" s="561"/>
      <c r="HN204" s="561"/>
      <c r="HO204" s="561"/>
      <c r="HP204" s="561"/>
      <c r="HQ204" s="561"/>
      <c r="HR204" s="561"/>
      <c r="HS204" s="561"/>
      <c r="HT204" s="561"/>
      <c r="HU204" s="561"/>
      <c r="HV204" s="561"/>
      <c r="HW204" s="561"/>
      <c r="HX204" s="561"/>
      <c r="HY204" s="561"/>
      <c r="HZ204" s="561"/>
      <c r="IA204" s="561"/>
      <c r="IB204" s="561"/>
      <c r="IC204" s="561"/>
      <c r="ID204" s="561"/>
      <c r="IE204" s="561"/>
      <c r="IF204" s="561"/>
      <c r="IG204" s="561"/>
      <c r="IH204" s="561"/>
      <c r="II204" s="561"/>
      <c r="IJ204" s="561"/>
      <c r="IK204" s="561"/>
      <c r="IL204" s="561"/>
      <c r="IM204" s="561"/>
      <c r="IN204" s="561"/>
      <c r="IO204" s="561"/>
      <c r="IP204" s="561"/>
      <c r="IQ204" s="561"/>
      <c r="IR204" s="561"/>
      <c r="IS204" s="561"/>
      <c r="IT204" s="561"/>
      <c r="IU204" s="561"/>
      <c r="IV204" s="561"/>
      <c r="IW204" s="561"/>
    </row>
    <row r="205" customFormat="false" ht="12.75" hidden="false" customHeight="false" outlineLevel="1" collapsed="false">
      <c r="A205" s="574" t="s">
        <v>1090</v>
      </c>
      <c r="B205" s="575"/>
      <c r="C205" s="576"/>
      <c r="D205" s="554"/>
      <c r="E205" s="555"/>
      <c r="F205" s="556"/>
      <c r="H205" s="577"/>
      <c r="I205" s="558" t="n">
        <f aca="false">IF(D214=0,0,I214/D214)</f>
        <v>0</v>
      </c>
      <c r="J205" s="558" t="n">
        <f aca="false">1-I205</f>
        <v>1</v>
      </c>
      <c r="K205" s="559" t="n">
        <f aca="false">IF(D214=0,0,K214/D214)</f>
        <v>0</v>
      </c>
      <c r="L205" s="559" t="n">
        <f aca="false">1-K205</f>
        <v>1</v>
      </c>
      <c r="M205" s="561"/>
      <c r="N205" s="561"/>
      <c r="O205" s="561"/>
      <c r="P205" s="561"/>
      <c r="Q205" s="561"/>
      <c r="R205" s="561"/>
      <c r="S205" s="561"/>
      <c r="T205" s="561"/>
      <c r="U205" s="561"/>
      <c r="V205" s="561"/>
      <c r="W205" s="561"/>
      <c r="X205" s="561"/>
      <c r="Y205" s="561"/>
      <c r="Z205" s="561"/>
      <c r="AA205" s="561"/>
      <c r="AB205" s="561"/>
      <c r="AC205" s="561"/>
      <c r="AD205" s="561"/>
      <c r="AE205" s="561"/>
      <c r="AF205" s="561"/>
      <c r="AG205" s="561"/>
      <c r="AH205" s="561"/>
      <c r="AI205" s="561"/>
      <c r="AJ205" s="561"/>
      <c r="AK205" s="561"/>
      <c r="AL205" s="561"/>
      <c r="AM205" s="561"/>
      <c r="AN205" s="561"/>
      <c r="AO205" s="561"/>
      <c r="AP205" s="561"/>
      <c r="AQ205" s="561"/>
      <c r="AR205" s="561"/>
      <c r="AS205" s="561"/>
      <c r="AT205" s="561"/>
      <c r="AU205" s="561"/>
      <c r="AV205" s="561"/>
      <c r="AW205" s="561"/>
      <c r="AX205" s="561"/>
      <c r="AY205" s="561"/>
      <c r="AZ205" s="561"/>
      <c r="BA205" s="561"/>
      <c r="BB205" s="561"/>
      <c r="BC205" s="561"/>
      <c r="BD205" s="561"/>
      <c r="BE205" s="561"/>
      <c r="BF205" s="561"/>
      <c r="BG205" s="561"/>
      <c r="BH205" s="561"/>
      <c r="BI205" s="561"/>
      <c r="BJ205" s="561"/>
      <c r="BK205" s="561"/>
      <c r="BL205" s="561"/>
      <c r="BM205" s="561"/>
      <c r="BN205" s="561"/>
      <c r="BO205" s="561"/>
      <c r="BP205" s="561"/>
      <c r="BQ205" s="561"/>
      <c r="BR205" s="561"/>
      <c r="BS205" s="561"/>
      <c r="BT205" s="561"/>
      <c r="BU205" s="561"/>
      <c r="BV205" s="561"/>
      <c r="BW205" s="561"/>
      <c r="BX205" s="561"/>
      <c r="BY205" s="561"/>
      <c r="BZ205" s="561"/>
      <c r="CA205" s="561"/>
      <c r="CB205" s="561"/>
      <c r="CC205" s="561"/>
      <c r="CD205" s="561"/>
      <c r="CE205" s="561"/>
      <c r="CF205" s="561"/>
      <c r="CG205" s="561"/>
      <c r="CH205" s="561"/>
      <c r="CI205" s="561"/>
      <c r="CJ205" s="561"/>
      <c r="CK205" s="561"/>
      <c r="CL205" s="561"/>
      <c r="CM205" s="561"/>
      <c r="CN205" s="561"/>
      <c r="CO205" s="561"/>
      <c r="CP205" s="561"/>
      <c r="CQ205" s="561"/>
      <c r="CR205" s="561"/>
      <c r="CS205" s="561"/>
      <c r="CT205" s="561"/>
      <c r="CU205" s="561"/>
      <c r="CV205" s="561"/>
      <c r="CW205" s="561"/>
      <c r="CX205" s="561"/>
      <c r="CY205" s="561"/>
      <c r="CZ205" s="561"/>
      <c r="DA205" s="561"/>
      <c r="DB205" s="561"/>
      <c r="DC205" s="561"/>
      <c r="DD205" s="561"/>
      <c r="DE205" s="561"/>
      <c r="DF205" s="561"/>
      <c r="DG205" s="561"/>
      <c r="DH205" s="561"/>
      <c r="DI205" s="561"/>
      <c r="DJ205" s="561"/>
      <c r="DK205" s="561"/>
      <c r="DL205" s="561"/>
      <c r="DM205" s="561"/>
      <c r="DN205" s="561"/>
      <c r="DO205" s="561"/>
      <c r="DP205" s="561"/>
      <c r="DQ205" s="561"/>
      <c r="DR205" s="561"/>
      <c r="DS205" s="561"/>
      <c r="DT205" s="561"/>
      <c r="DU205" s="561"/>
      <c r="DV205" s="561"/>
      <c r="DW205" s="561"/>
      <c r="DX205" s="561"/>
      <c r="DY205" s="561"/>
      <c r="DZ205" s="561"/>
      <c r="EA205" s="561"/>
      <c r="EB205" s="561"/>
      <c r="EC205" s="561"/>
      <c r="ED205" s="561"/>
      <c r="EE205" s="561"/>
      <c r="EF205" s="561"/>
      <c r="EG205" s="561"/>
      <c r="EH205" s="561"/>
      <c r="EI205" s="561"/>
      <c r="EJ205" s="561"/>
      <c r="EK205" s="561"/>
      <c r="EL205" s="561"/>
      <c r="EM205" s="561"/>
      <c r="EN205" s="561"/>
      <c r="EO205" s="561"/>
      <c r="EP205" s="561"/>
      <c r="EQ205" s="561"/>
      <c r="ER205" s="561"/>
      <c r="ES205" s="561"/>
      <c r="ET205" s="561"/>
      <c r="EU205" s="561"/>
      <c r="EV205" s="561"/>
      <c r="EW205" s="561"/>
      <c r="EX205" s="561"/>
      <c r="EY205" s="561"/>
      <c r="EZ205" s="561"/>
      <c r="FA205" s="561"/>
      <c r="FB205" s="561"/>
      <c r="FC205" s="561"/>
      <c r="FD205" s="561"/>
      <c r="FE205" s="561"/>
      <c r="FF205" s="561"/>
      <c r="FG205" s="561"/>
      <c r="FH205" s="561"/>
      <c r="FI205" s="561"/>
      <c r="FJ205" s="561"/>
      <c r="FK205" s="561"/>
      <c r="FL205" s="561"/>
      <c r="FM205" s="561"/>
      <c r="FN205" s="561"/>
      <c r="FO205" s="561"/>
      <c r="FP205" s="561"/>
      <c r="FQ205" s="561"/>
      <c r="FR205" s="561"/>
      <c r="FS205" s="561"/>
      <c r="FT205" s="561"/>
      <c r="FU205" s="561"/>
      <c r="FV205" s="561"/>
      <c r="FW205" s="561"/>
      <c r="FX205" s="561"/>
      <c r="FY205" s="561"/>
      <c r="FZ205" s="561"/>
      <c r="GA205" s="561"/>
      <c r="GB205" s="561"/>
      <c r="GC205" s="561"/>
      <c r="GD205" s="561"/>
      <c r="GE205" s="561"/>
      <c r="GF205" s="561"/>
      <c r="GG205" s="561"/>
      <c r="GH205" s="561"/>
      <c r="GI205" s="561"/>
      <c r="GJ205" s="561"/>
      <c r="GK205" s="561"/>
      <c r="GL205" s="561"/>
      <c r="GM205" s="561"/>
      <c r="GN205" s="561"/>
      <c r="GO205" s="561"/>
      <c r="GP205" s="561"/>
      <c r="GQ205" s="561"/>
      <c r="GR205" s="561"/>
      <c r="GS205" s="561"/>
      <c r="GT205" s="561"/>
      <c r="GU205" s="561"/>
      <c r="GV205" s="561"/>
      <c r="GW205" s="561"/>
      <c r="GX205" s="561"/>
      <c r="GY205" s="561"/>
      <c r="GZ205" s="561"/>
      <c r="HA205" s="561"/>
      <c r="HB205" s="561"/>
      <c r="HC205" s="561"/>
      <c r="HD205" s="561"/>
      <c r="HE205" s="561"/>
      <c r="HF205" s="561"/>
      <c r="HG205" s="561"/>
      <c r="HH205" s="561"/>
      <c r="HI205" s="561"/>
      <c r="HJ205" s="561"/>
      <c r="HK205" s="561"/>
      <c r="HL205" s="561"/>
      <c r="HM205" s="561"/>
      <c r="HN205" s="561"/>
      <c r="HO205" s="561"/>
      <c r="HP205" s="561"/>
      <c r="HQ205" s="561"/>
      <c r="HR205" s="561"/>
      <c r="HS205" s="561"/>
      <c r="HT205" s="561"/>
      <c r="HU205" s="561"/>
      <c r="HV205" s="561"/>
      <c r="HW205" s="561"/>
      <c r="HX205" s="561"/>
      <c r="HY205" s="561"/>
      <c r="HZ205" s="561"/>
      <c r="IA205" s="561"/>
      <c r="IB205" s="561"/>
      <c r="IC205" s="561"/>
      <c r="ID205" s="561"/>
      <c r="IE205" s="561"/>
      <c r="IF205" s="561"/>
      <c r="IG205" s="561"/>
      <c r="IH205" s="561"/>
      <c r="II205" s="561"/>
      <c r="IJ205" s="561"/>
      <c r="IK205" s="561"/>
      <c r="IL205" s="561"/>
      <c r="IM205" s="561"/>
      <c r="IN205" s="561"/>
      <c r="IO205" s="561"/>
      <c r="IP205" s="561"/>
      <c r="IQ205" s="561"/>
      <c r="IR205" s="561"/>
      <c r="IS205" s="561"/>
      <c r="IT205" s="561"/>
      <c r="IU205" s="561"/>
      <c r="IV205" s="561"/>
      <c r="IW205" s="561"/>
    </row>
    <row r="206" customFormat="false" ht="12.75" hidden="false" customHeight="false" outlineLevel="2" collapsed="false">
      <c r="A206" s="316"/>
      <c r="B206" s="569" t="str">
        <f aca="false">'Plant Configuration'!C245</f>
        <v>Repair Parts</v>
      </c>
      <c r="C206" s="44"/>
      <c r="D206" s="578" t="n">
        <f aca="false">IF($O$7=6,0,HLOOKUP($D$5,Plant_Configuration,'Plant Configuration'!A245,FALSE()))+IF($R$7=6,0,HLOOKUP($E$5,Plant_Configuration,'Plant Configuration'!A245,FALSE()))+IF($U$7=6,0,HLOOKUP($F$5,Plant_Configuration,'Plant Configuration'!A245,FALSE()))</f>
        <v>0</v>
      </c>
      <c r="E206" s="342" t="n">
        <v>0.75</v>
      </c>
      <c r="F206" s="566" t="n">
        <v>1</v>
      </c>
      <c r="H206" s="316" t="s">
        <v>1091</v>
      </c>
      <c r="I206" s="567" t="n">
        <f aca="false">D206-J206</f>
        <v>0</v>
      </c>
      <c r="J206" s="567" t="n">
        <f aca="false">E206*D206</f>
        <v>0</v>
      </c>
      <c r="K206" s="317" t="n">
        <f aca="false">F206*D206</f>
        <v>0</v>
      </c>
      <c r="L206" s="317" t="n">
        <f aca="false">D206-K206</f>
        <v>0</v>
      </c>
      <c r="N206" s="45"/>
      <c r="O206" s="45"/>
    </row>
    <row r="207" customFormat="false" ht="12.75" hidden="false" customHeight="false" outlineLevel="2" collapsed="false">
      <c r="A207" s="316"/>
      <c r="B207" s="569" t="str">
        <f aca="false">'Plant Configuration'!C246</f>
        <v>Outside Repair Services</v>
      </c>
      <c r="C207" s="44"/>
      <c r="D207" s="578" t="n">
        <f aca="false">IF($O$7=6,0,HLOOKUP($D$5,Plant_Configuration,'Plant Configuration'!A246,FALSE()))+IF($R$7=6,0,HLOOKUP($E$5,Plant_Configuration,'Plant Configuration'!A246,FALSE()))+IF($U$7=6,0,HLOOKUP($F$5,Plant_Configuration,'Plant Configuration'!A246,FALSE()))</f>
        <v>0</v>
      </c>
      <c r="E207" s="342" t="n">
        <v>0.75</v>
      </c>
      <c r="F207" s="566" t="n">
        <v>1</v>
      </c>
      <c r="H207" s="316" t="s">
        <v>1092</v>
      </c>
      <c r="I207" s="567" t="n">
        <f aca="false">D207-J207</f>
        <v>0</v>
      </c>
      <c r="J207" s="567" t="n">
        <f aca="false">E207*D207</f>
        <v>0</v>
      </c>
      <c r="K207" s="317" t="n">
        <f aca="false">F207*D207</f>
        <v>0</v>
      </c>
      <c r="L207" s="317" t="n">
        <f aca="false">D207-K207</f>
        <v>0</v>
      </c>
      <c r="N207" s="45"/>
      <c r="O207" s="45"/>
    </row>
    <row r="208" customFormat="false" ht="12.75" hidden="false" customHeight="false" outlineLevel="2" collapsed="false">
      <c r="A208" s="316"/>
      <c r="B208" s="569" t="str">
        <f aca="false">'Plant Configuration'!C247</f>
        <v>Technical/Professional Services</v>
      </c>
      <c r="C208" s="44"/>
      <c r="D208" s="578" t="n">
        <f aca="false">IF($O$7=6,0,HLOOKUP($D$5,Plant_Configuration,'Plant Configuration'!A247,FALSE()))+IF($R$7=6,0,HLOOKUP($E$5,Plant_Configuration,'Plant Configuration'!A247,FALSE()))+IF($U$7=6,0,HLOOKUP($F$5,Plant_Configuration,'Plant Configuration'!A247,FALSE()))</f>
        <v>0</v>
      </c>
      <c r="E208" s="342" t="n">
        <v>0.75</v>
      </c>
      <c r="F208" s="566" t="n">
        <v>1</v>
      </c>
      <c r="H208" s="316" t="s">
        <v>1093</v>
      </c>
      <c r="I208" s="567" t="n">
        <f aca="false">D208-J208</f>
        <v>0</v>
      </c>
      <c r="J208" s="567" t="n">
        <f aca="false">E208*D208</f>
        <v>0</v>
      </c>
      <c r="K208" s="317" t="n">
        <f aca="false">F208*D208</f>
        <v>0</v>
      </c>
      <c r="L208" s="317" t="n">
        <f aca="false">D208-K208</f>
        <v>0</v>
      </c>
      <c r="N208" s="45"/>
      <c r="O208" s="45"/>
    </row>
    <row r="209" customFormat="false" ht="12.75" hidden="false" customHeight="false" outlineLevel="2" collapsed="false">
      <c r="A209" s="316"/>
      <c r="B209" s="569" t="str">
        <f aca="false">'Plant Configuration'!C248</f>
        <v>Outside Contract Labor</v>
      </c>
      <c r="C209" s="44"/>
      <c r="D209" s="578" t="n">
        <f aca="false">IF($O$7=6,0,HLOOKUP($D$5,Plant_Configuration,'Plant Configuration'!A248,FALSE()))+IF($R$7=6,0,HLOOKUP($E$5,Plant_Configuration,'Plant Configuration'!A248,FALSE()))+IF($U$7=6,0,HLOOKUP($F$5,Plant_Configuration,'Plant Configuration'!A248,FALSE()))</f>
        <v>0</v>
      </c>
      <c r="E209" s="342" t="n">
        <v>0.75</v>
      </c>
      <c r="F209" s="566" t="n">
        <v>1</v>
      </c>
      <c r="H209" s="316"/>
      <c r="I209" s="567" t="n">
        <f aca="false">D209-J209</f>
        <v>0</v>
      </c>
      <c r="J209" s="567" t="n">
        <f aca="false">E209*D209</f>
        <v>0</v>
      </c>
      <c r="K209" s="317" t="n">
        <f aca="false">F209*D209</f>
        <v>0</v>
      </c>
      <c r="L209" s="317" t="n">
        <f aca="false">D209-K209</f>
        <v>0</v>
      </c>
      <c r="N209" s="45"/>
      <c r="O209" s="45"/>
    </row>
    <row r="210" customFormat="false" ht="12.75" hidden="false" customHeight="false" outlineLevel="2" collapsed="false">
      <c r="A210" s="316"/>
      <c r="B210" s="569" t="str">
        <f aca="false">'Plant Configuration'!C249</f>
        <v>Equipment rental</v>
      </c>
      <c r="C210" s="44"/>
      <c r="D210" s="578" t="n">
        <f aca="false">IF($O$7=6,0,HLOOKUP($D$5,Plant_Configuration,'Plant Configuration'!A249,FALSE()))+IF($R$7=6,0,HLOOKUP($E$5,Plant_Configuration,'Plant Configuration'!A249,FALSE()))+IF($U$7=6,0,HLOOKUP($F$5,Plant_Configuration,'Plant Configuration'!A249,FALSE()))</f>
        <v>0</v>
      </c>
      <c r="E210" s="342" t="n">
        <v>0.75</v>
      </c>
      <c r="F210" s="566" t="n">
        <v>1</v>
      </c>
      <c r="H210" s="591" t="s">
        <v>1094</v>
      </c>
      <c r="I210" s="567" t="n">
        <f aca="false">D210-J210</f>
        <v>0</v>
      </c>
      <c r="J210" s="567" t="n">
        <f aca="false">E210*D210</f>
        <v>0</v>
      </c>
      <c r="K210" s="317" t="n">
        <f aca="false">F210*D210</f>
        <v>0</v>
      </c>
      <c r="L210" s="317" t="n">
        <f aca="false">D210-K210</f>
        <v>0</v>
      </c>
      <c r="N210" s="45"/>
      <c r="O210" s="45"/>
    </row>
    <row r="211" customFormat="false" ht="12.75" hidden="false" customHeight="false" outlineLevel="2" collapsed="false">
      <c r="A211" s="316"/>
      <c r="B211" s="569" t="str">
        <f aca="false">'Plant Configuration'!C250</f>
        <v>Miscellaneous</v>
      </c>
      <c r="C211" s="44"/>
      <c r="D211" s="578" t="n">
        <f aca="false">IF($O$7=6,0,HLOOKUP($D$5,Plant_Configuration,'Plant Configuration'!A250,FALSE()))+IF($R$7=6,0,HLOOKUP($E$5,Plant_Configuration,'Plant Configuration'!A250,FALSE()))+IF($U$7=6,0,HLOOKUP($F$5,Plant_Configuration,'Plant Configuration'!A250,FALSE()))</f>
        <v>0</v>
      </c>
      <c r="E211" s="342" t="n">
        <v>0.75</v>
      </c>
      <c r="F211" s="566" t="n">
        <v>1</v>
      </c>
      <c r="H211" s="316"/>
      <c r="I211" s="567" t="n">
        <f aca="false">D211-J211</f>
        <v>0</v>
      </c>
      <c r="J211" s="567" t="n">
        <f aca="false">E211*D211</f>
        <v>0</v>
      </c>
      <c r="K211" s="317" t="n">
        <f aca="false">F211*D211</f>
        <v>0</v>
      </c>
      <c r="L211" s="317" t="n">
        <f aca="false">D211-K211</f>
        <v>0</v>
      </c>
      <c r="N211" s="45"/>
      <c r="O211" s="45"/>
    </row>
    <row r="212" customFormat="false" ht="12.75" hidden="false" customHeight="false" outlineLevel="2" collapsed="false">
      <c r="A212" s="316"/>
      <c r="B212" s="569" t="str">
        <f aca="false">'Plant Configuration'!C251</f>
        <v>Freight</v>
      </c>
      <c r="C212" s="44"/>
      <c r="D212" s="578" t="n">
        <f aca="false">IF($O$7=6,0,HLOOKUP($D$5,Plant_Configuration,'Plant Configuration'!A251,FALSE()))+IF($R$7=6,0,HLOOKUP($E$5,Plant_Configuration,'Plant Configuration'!A251,FALSE()))+IF($U$7=6,0,HLOOKUP($F$5,Plant_Configuration,'Plant Configuration'!A251,FALSE()))</f>
        <v>0</v>
      </c>
      <c r="E212" s="342" t="n">
        <v>0.75</v>
      </c>
      <c r="F212" s="566" t="n">
        <v>1</v>
      </c>
      <c r="H212" s="316"/>
      <c r="I212" s="567" t="n">
        <f aca="false">D212-J212</f>
        <v>0</v>
      </c>
      <c r="J212" s="567" t="n">
        <f aca="false">E212*D212</f>
        <v>0</v>
      </c>
      <c r="K212" s="317" t="n">
        <f aca="false">F212*D212</f>
        <v>0</v>
      </c>
      <c r="L212" s="317" t="n">
        <f aca="false">D212-K212</f>
        <v>0</v>
      </c>
      <c r="N212" s="45"/>
      <c r="O212" s="45"/>
    </row>
    <row r="213" customFormat="false" ht="12.75" hidden="false" customHeight="false" outlineLevel="2" collapsed="false">
      <c r="A213" s="316"/>
      <c r="B213" s="569" t="str">
        <f aca="false">'Plant Configuration'!C252</f>
        <v>Other</v>
      </c>
      <c r="C213" s="44"/>
      <c r="D213" s="578" t="n">
        <f aca="false">IF($O$7=6,0,HLOOKUP($D$5,Plant_Configuration,'Plant Configuration'!A252,FALSE()))+IF($R$7=6,0,HLOOKUP($E$5,Plant_Configuration,'Plant Configuration'!A252,FALSE()))+IF($U$7=6,0,HLOOKUP($F$5,Plant_Configuration,'Plant Configuration'!A252,FALSE()))</f>
        <v>0</v>
      </c>
      <c r="E213" s="342" t="n">
        <v>0.75</v>
      </c>
      <c r="F213" s="566"/>
      <c r="H213" s="316"/>
      <c r="I213" s="567" t="n">
        <f aca="false">D213-J213</f>
        <v>0</v>
      </c>
      <c r="J213" s="567" t="n">
        <f aca="false">E213*D213</f>
        <v>0</v>
      </c>
      <c r="K213" s="317"/>
      <c r="L213" s="317"/>
      <c r="N213" s="45"/>
      <c r="O213" s="45"/>
    </row>
    <row r="214" customFormat="false" ht="12.75" hidden="false" customHeight="false" outlineLevel="1" collapsed="false">
      <c r="A214" s="316"/>
      <c r="B214" s="570" t="s">
        <v>431</v>
      </c>
      <c r="C214" s="0"/>
      <c r="D214" s="571" t="n">
        <f aca="false">SUBTOTAL(9,D206:D213)</f>
        <v>0</v>
      </c>
      <c r="E214" s="572"/>
      <c r="F214" s="573"/>
      <c r="H214" s="316"/>
      <c r="I214" s="571" t="n">
        <f aca="false">SUBTOTAL(9,I206:I211)</f>
        <v>0</v>
      </c>
      <c r="J214" s="571" t="n">
        <f aca="false">SUBTOTAL(9,J206:J211)</f>
        <v>0</v>
      </c>
      <c r="K214" s="571" t="n">
        <f aca="false">SUBTOTAL(9,K206:K211)</f>
        <v>0</v>
      </c>
      <c r="L214" s="571" t="n">
        <f aca="false">SUBTOTAL(9,L206:L211)</f>
        <v>0</v>
      </c>
      <c r="M214" s="561"/>
      <c r="N214" s="561"/>
      <c r="O214" s="561"/>
      <c r="P214" s="561"/>
      <c r="Q214" s="561"/>
      <c r="R214" s="561"/>
      <c r="S214" s="561"/>
      <c r="T214" s="561"/>
      <c r="U214" s="561"/>
      <c r="V214" s="561"/>
      <c r="W214" s="561"/>
      <c r="X214" s="561"/>
      <c r="Y214" s="561"/>
      <c r="Z214" s="561"/>
      <c r="AA214" s="561"/>
      <c r="AB214" s="561"/>
      <c r="AC214" s="561"/>
      <c r="AD214" s="561"/>
      <c r="AE214" s="561"/>
      <c r="AF214" s="561"/>
      <c r="AG214" s="561"/>
      <c r="AH214" s="561"/>
      <c r="AI214" s="561"/>
      <c r="AJ214" s="561"/>
      <c r="AK214" s="561"/>
      <c r="AL214" s="561"/>
      <c r="AM214" s="561"/>
      <c r="AN214" s="561"/>
      <c r="AO214" s="561"/>
      <c r="AP214" s="561"/>
      <c r="AQ214" s="561"/>
      <c r="AR214" s="561"/>
      <c r="AS214" s="561"/>
      <c r="AT214" s="561"/>
      <c r="AU214" s="561"/>
      <c r="AV214" s="561"/>
      <c r="AW214" s="561"/>
      <c r="AX214" s="561"/>
      <c r="AY214" s="561"/>
      <c r="AZ214" s="561"/>
      <c r="BA214" s="561"/>
      <c r="BB214" s="561"/>
      <c r="BC214" s="561"/>
      <c r="BD214" s="561"/>
      <c r="BE214" s="561"/>
      <c r="BF214" s="561"/>
      <c r="BG214" s="561"/>
      <c r="BH214" s="561"/>
      <c r="BI214" s="561"/>
      <c r="BJ214" s="561"/>
      <c r="BK214" s="561"/>
      <c r="BL214" s="561"/>
      <c r="BM214" s="561"/>
      <c r="BN214" s="561"/>
      <c r="BO214" s="561"/>
      <c r="BP214" s="561"/>
      <c r="BQ214" s="561"/>
      <c r="BR214" s="561"/>
      <c r="BS214" s="561"/>
      <c r="BT214" s="561"/>
      <c r="BU214" s="561"/>
      <c r="BV214" s="561"/>
      <c r="BW214" s="561"/>
      <c r="BX214" s="561"/>
      <c r="BY214" s="561"/>
      <c r="BZ214" s="561"/>
      <c r="CA214" s="561"/>
      <c r="CB214" s="561"/>
      <c r="CC214" s="561"/>
      <c r="CD214" s="561"/>
      <c r="CE214" s="561"/>
      <c r="CF214" s="561"/>
      <c r="CG214" s="561"/>
      <c r="CH214" s="561"/>
      <c r="CI214" s="561"/>
      <c r="CJ214" s="561"/>
      <c r="CK214" s="561"/>
      <c r="CL214" s="561"/>
      <c r="CM214" s="561"/>
      <c r="CN214" s="561"/>
      <c r="CO214" s="561"/>
      <c r="CP214" s="561"/>
      <c r="CQ214" s="561"/>
      <c r="CR214" s="561"/>
      <c r="CS214" s="561"/>
      <c r="CT214" s="561"/>
      <c r="CU214" s="561"/>
      <c r="CV214" s="561"/>
      <c r="CW214" s="561"/>
      <c r="CX214" s="561"/>
      <c r="CY214" s="561"/>
      <c r="CZ214" s="561"/>
      <c r="DA214" s="561"/>
      <c r="DB214" s="561"/>
      <c r="DC214" s="561"/>
      <c r="DD214" s="561"/>
      <c r="DE214" s="561"/>
      <c r="DF214" s="561"/>
      <c r="DG214" s="561"/>
      <c r="DH214" s="561"/>
      <c r="DI214" s="561"/>
      <c r="DJ214" s="561"/>
      <c r="DK214" s="561"/>
      <c r="DL214" s="561"/>
      <c r="DM214" s="561"/>
      <c r="DN214" s="561"/>
      <c r="DO214" s="561"/>
      <c r="DP214" s="561"/>
      <c r="DQ214" s="561"/>
      <c r="DR214" s="561"/>
      <c r="DS214" s="561"/>
      <c r="DT214" s="561"/>
      <c r="DU214" s="561"/>
      <c r="DV214" s="561"/>
      <c r="DW214" s="561"/>
      <c r="DX214" s="561"/>
      <c r="DY214" s="561"/>
      <c r="DZ214" s="561"/>
      <c r="EA214" s="561"/>
      <c r="EB214" s="561"/>
      <c r="EC214" s="561"/>
      <c r="ED214" s="561"/>
      <c r="EE214" s="561"/>
      <c r="EF214" s="561"/>
      <c r="EG214" s="561"/>
      <c r="EH214" s="561"/>
      <c r="EI214" s="561"/>
      <c r="EJ214" s="561"/>
      <c r="EK214" s="561"/>
      <c r="EL214" s="561"/>
      <c r="EM214" s="561"/>
      <c r="EN214" s="561"/>
      <c r="EO214" s="561"/>
      <c r="EP214" s="561"/>
      <c r="EQ214" s="561"/>
      <c r="ER214" s="561"/>
      <c r="ES214" s="561"/>
      <c r="ET214" s="561"/>
      <c r="EU214" s="561"/>
      <c r="EV214" s="561"/>
      <c r="EW214" s="561"/>
      <c r="EX214" s="561"/>
      <c r="EY214" s="561"/>
      <c r="EZ214" s="561"/>
      <c r="FA214" s="561"/>
      <c r="FB214" s="561"/>
      <c r="FC214" s="561"/>
      <c r="FD214" s="561"/>
      <c r="FE214" s="561"/>
      <c r="FF214" s="561"/>
      <c r="FG214" s="561"/>
      <c r="FH214" s="561"/>
      <c r="FI214" s="561"/>
      <c r="FJ214" s="561"/>
      <c r="FK214" s="561"/>
      <c r="FL214" s="561"/>
      <c r="FM214" s="561"/>
      <c r="FN214" s="561"/>
      <c r="FO214" s="561"/>
      <c r="FP214" s="561"/>
      <c r="FQ214" s="561"/>
      <c r="FR214" s="561"/>
      <c r="FS214" s="561"/>
      <c r="FT214" s="561"/>
      <c r="FU214" s="561"/>
      <c r="FV214" s="561"/>
      <c r="FW214" s="561"/>
      <c r="FX214" s="561"/>
      <c r="FY214" s="561"/>
      <c r="FZ214" s="561"/>
      <c r="GA214" s="561"/>
      <c r="GB214" s="561"/>
      <c r="GC214" s="561"/>
      <c r="GD214" s="561"/>
      <c r="GE214" s="561"/>
      <c r="GF214" s="561"/>
      <c r="GG214" s="561"/>
      <c r="GH214" s="561"/>
      <c r="GI214" s="561"/>
      <c r="GJ214" s="561"/>
      <c r="GK214" s="561"/>
      <c r="GL214" s="561"/>
      <c r="GM214" s="561"/>
      <c r="GN214" s="561"/>
      <c r="GO214" s="561"/>
      <c r="GP214" s="561"/>
      <c r="GQ214" s="561"/>
      <c r="GR214" s="561"/>
      <c r="GS214" s="561"/>
      <c r="GT214" s="561"/>
      <c r="GU214" s="561"/>
      <c r="GV214" s="561"/>
      <c r="GW214" s="561"/>
      <c r="GX214" s="561"/>
      <c r="GY214" s="561"/>
      <c r="GZ214" s="561"/>
      <c r="HA214" s="561"/>
      <c r="HB214" s="561"/>
      <c r="HC214" s="561"/>
      <c r="HD214" s="561"/>
      <c r="HE214" s="561"/>
      <c r="HF214" s="561"/>
      <c r="HG214" s="561"/>
      <c r="HH214" s="561"/>
      <c r="HI214" s="561"/>
      <c r="HJ214" s="561"/>
      <c r="HK214" s="561"/>
      <c r="HL214" s="561"/>
      <c r="HM214" s="561"/>
      <c r="HN214" s="561"/>
      <c r="HO214" s="561"/>
      <c r="HP214" s="561"/>
      <c r="HQ214" s="561"/>
      <c r="HR214" s="561"/>
      <c r="HS214" s="561"/>
      <c r="HT214" s="561"/>
      <c r="HU214" s="561"/>
      <c r="HV214" s="561"/>
      <c r="HW214" s="561"/>
      <c r="HX214" s="561"/>
      <c r="HY214" s="561"/>
      <c r="HZ214" s="561"/>
      <c r="IA214" s="561"/>
      <c r="IB214" s="561"/>
      <c r="IC214" s="561"/>
      <c r="ID214" s="561"/>
      <c r="IE214" s="561"/>
      <c r="IF214" s="561"/>
      <c r="IG214" s="561"/>
      <c r="IH214" s="561"/>
      <c r="II214" s="561"/>
      <c r="IJ214" s="561"/>
      <c r="IK214" s="561"/>
      <c r="IL214" s="561"/>
      <c r="IM214" s="561"/>
      <c r="IN214" s="561"/>
      <c r="IO214" s="561"/>
      <c r="IP214" s="561"/>
      <c r="IQ214" s="561"/>
      <c r="IR214" s="561"/>
      <c r="IS214" s="561"/>
      <c r="IT214" s="561"/>
      <c r="IU214" s="561"/>
      <c r="IV214" s="561"/>
      <c r="IW214" s="561"/>
    </row>
    <row r="215" customFormat="false" ht="12.75" hidden="false" customHeight="false" outlineLevel="1" collapsed="false">
      <c r="A215" s="574" t="s">
        <v>1095</v>
      </c>
      <c r="B215" s="575"/>
      <c r="C215" s="576"/>
      <c r="D215" s="554"/>
      <c r="E215" s="555"/>
      <c r="F215" s="556"/>
      <c r="H215" s="577"/>
      <c r="I215" s="558" t="n">
        <f aca="false">IF(D224=0,0,I224/D224)</f>
        <v>0</v>
      </c>
      <c r="J215" s="558" t="n">
        <f aca="false">1-I215</f>
        <v>1</v>
      </c>
      <c r="K215" s="559" t="n">
        <f aca="false">IF(D224=0,0,K224/D224)</f>
        <v>0</v>
      </c>
      <c r="L215" s="559" t="n">
        <f aca="false">1-K215</f>
        <v>1</v>
      </c>
      <c r="M215" s="561"/>
      <c r="N215" s="561"/>
      <c r="O215" s="561"/>
      <c r="P215" s="561"/>
      <c r="Q215" s="561"/>
      <c r="R215" s="561"/>
      <c r="S215" s="561"/>
      <c r="T215" s="561"/>
      <c r="U215" s="561"/>
      <c r="V215" s="561"/>
      <c r="W215" s="561"/>
      <c r="X215" s="561"/>
      <c r="Y215" s="561"/>
      <c r="Z215" s="561"/>
      <c r="AA215" s="561"/>
      <c r="AB215" s="561"/>
      <c r="AC215" s="561"/>
      <c r="AD215" s="561"/>
      <c r="AE215" s="561"/>
      <c r="AF215" s="561"/>
      <c r="AG215" s="561"/>
      <c r="AH215" s="561"/>
      <c r="AI215" s="561"/>
      <c r="AJ215" s="561"/>
      <c r="AK215" s="561"/>
      <c r="AL215" s="561"/>
      <c r="AM215" s="561"/>
      <c r="AN215" s="561"/>
      <c r="AO215" s="561"/>
      <c r="AP215" s="561"/>
      <c r="AQ215" s="561"/>
      <c r="AR215" s="561"/>
      <c r="AS215" s="561"/>
      <c r="AT215" s="561"/>
      <c r="AU215" s="561"/>
      <c r="AV215" s="561"/>
      <c r="AW215" s="561"/>
      <c r="AX215" s="561"/>
      <c r="AY215" s="561"/>
      <c r="AZ215" s="561"/>
      <c r="BA215" s="561"/>
      <c r="BB215" s="561"/>
      <c r="BC215" s="561"/>
      <c r="BD215" s="561"/>
      <c r="BE215" s="561"/>
      <c r="BF215" s="561"/>
      <c r="BG215" s="561"/>
      <c r="BH215" s="561"/>
      <c r="BI215" s="561"/>
      <c r="BJ215" s="561"/>
      <c r="BK215" s="561"/>
      <c r="BL215" s="561"/>
      <c r="BM215" s="561"/>
      <c r="BN215" s="561"/>
      <c r="BO215" s="561"/>
      <c r="BP215" s="561"/>
      <c r="BQ215" s="561"/>
      <c r="BR215" s="561"/>
      <c r="BS215" s="561"/>
      <c r="BT215" s="561"/>
      <c r="BU215" s="561"/>
      <c r="BV215" s="561"/>
      <c r="BW215" s="561"/>
      <c r="BX215" s="561"/>
      <c r="BY215" s="561"/>
      <c r="BZ215" s="561"/>
      <c r="CA215" s="561"/>
      <c r="CB215" s="561"/>
      <c r="CC215" s="561"/>
      <c r="CD215" s="561"/>
      <c r="CE215" s="561"/>
      <c r="CF215" s="561"/>
      <c r="CG215" s="561"/>
      <c r="CH215" s="561"/>
      <c r="CI215" s="561"/>
      <c r="CJ215" s="561"/>
      <c r="CK215" s="561"/>
      <c r="CL215" s="561"/>
      <c r="CM215" s="561"/>
      <c r="CN215" s="561"/>
      <c r="CO215" s="561"/>
      <c r="CP215" s="561"/>
      <c r="CQ215" s="561"/>
      <c r="CR215" s="561"/>
      <c r="CS215" s="561"/>
      <c r="CT215" s="561"/>
      <c r="CU215" s="561"/>
      <c r="CV215" s="561"/>
      <c r="CW215" s="561"/>
      <c r="CX215" s="561"/>
      <c r="CY215" s="561"/>
      <c r="CZ215" s="561"/>
      <c r="DA215" s="561"/>
      <c r="DB215" s="561"/>
      <c r="DC215" s="561"/>
      <c r="DD215" s="561"/>
      <c r="DE215" s="561"/>
      <c r="DF215" s="561"/>
      <c r="DG215" s="561"/>
      <c r="DH215" s="561"/>
      <c r="DI215" s="561"/>
      <c r="DJ215" s="561"/>
      <c r="DK215" s="561"/>
      <c r="DL215" s="561"/>
      <c r="DM215" s="561"/>
      <c r="DN215" s="561"/>
      <c r="DO215" s="561"/>
      <c r="DP215" s="561"/>
      <c r="DQ215" s="561"/>
      <c r="DR215" s="561"/>
      <c r="DS215" s="561"/>
      <c r="DT215" s="561"/>
      <c r="DU215" s="561"/>
      <c r="DV215" s="561"/>
      <c r="DW215" s="561"/>
      <c r="DX215" s="561"/>
      <c r="DY215" s="561"/>
      <c r="DZ215" s="561"/>
      <c r="EA215" s="561"/>
      <c r="EB215" s="561"/>
      <c r="EC215" s="561"/>
      <c r="ED215" s="561"/>
      <c r="EE215" s="561"/>
      <c r="EF215" s="561"/>
      <c r="EG215" s="561"/>
      <c r="EH215" s="561"/>
      <c r="EI215" s="561"/>
      <c r="EJ215" s="561"/>
      <c r="EK215" s="561"/>
      <c r="EL215" s="561"/>
      <c r="EM215" s="561"/>
      <c r="EN215" s="561"/>
      <c r="EO215" s="561"/>
      <c r="EP215" s="561"/>
      <c r="EQ215" s="561"/>
      <c r="ER215" s="561"/>
      <c r="ES215" s="561"/>
      <c r="ET215" s="561"/>
      <c r="EU215" s="561"/>
      <c r="EV215" s="561"/>
      <c r="EW215" s="561"/>
      <c r="EX215" s="561"/>
      <c r="EY215" s="561"/>
      <c r="EZ215" s="561"/>
      <c r="FA215" s="561"/>
      <c r="FB215" s="561"/>
      <c r="FC215" s="561"/>
      <c r="FD215" s="561"/>
      <c r="FE215" s="561"/>
      <c r="FF215" s="561"/>
      <c r="FG215" s="561"/>
      <c r="FH215" s="561"/>
      <c r="FI215" s="561"/>
      <c r="FJ215" s="561"/>
      <c r="FK215" s="561"/>
      <c r="FL215" s="561"/>
      <c r="FM215" s="561"/>
      <c r="FN215" s="561"/>
      <c r="FO215" s="561"/>
      <c r="FP215" s="561"/>
      <c r="FQ215" s="561"/>
      <c r="FR215" s="561"/>
      <c r="FS215" s="561"/>
      <c r="FT215" s="561"/>
      <c r="FU215" s="561"/>
      <c r="FV215" s="561"/>
      <c r="FW215" s="561"/>
      <c r="FX215" s="561"/>
      <c r="FY215" s="561"/>
      <c r="FZ215" s="561"/>
      <c r="GA215" s="561"/>
      <c r="GB215" s="561"/>
      <c r="GC215" s="561"/>
      <c r="GD215" s="561"/>
      <c r="GE215" s="561"/>
      <c r="GF215" s="561"/>
      <c r="GG215" s="561"/>
      <c r="GH215" s="561"/>
      <c r="GI215" s="561"/>
      <c r="GJ215" s="561"/>
      <c r="GK215" s="561"/>
      <c r="GL215" s="561"/>
      <c r="GM215" s="561"/>
      <c r="GN215" s="561"/>
      <c r="GO215" s="561"/>
      <c r="GP215" s="561"/>
      <c r="GQ215" s="561"/>
      <c r="GR215" s="561"/>
      <c r="GS215" s="561"/>
      <c r="GT215" s="561"/>
      <c r="GU215" s="561"/>
      <c r="GV215" s="561"/>
      <c r="GW215" s="561"/>
      <c r="GX215" s="561"/>
      <c r="GY215" s="561"/>
      <c r="GZ215" s="561"/>
      <c r="HA215" s="561"/>
      <c r="HB215" s="561"/>
      <c r="HC215" s="561"/>
      <c r="HD215" s="561"/>
      <c r="HE215" s="561"/>
      <c r="HF215" s="561"/>
      <c r="HG215" s="561"/>
      <c r="HH215" s="561"/>
      <c r="HI215" s="561"/>
      <c r="HJ215" s="561"/>
      <c r="HK215" s="561"/>
      <c r="HL215" s="561"/>
      <c r="HM215" s="561"/>
      <c r="HN215" s="561"/>
      <c r="HO215" s="561"/>
      <c r="HP215" s="561"/>
      <c r="HQ215" s="561"/>
      <c r="HR215" s="561"/>
      <c r="HS215" s="561"/>
      <c r="HT215" s="561"/>
      <c r="HU215" s="561"/>
      <c r="HV215" s="561"/>
      <c r="HW215" s="561"/>
      <c r="HX215" s="561"/>
      <c r="HY215" s="561"/>
      <c r="HZ215" s="561"/>
      <c r="IA215" s="561"/>
      <c r="IB215" s="561"/>
      <c r="IC215" s="561"/>
      <c r="ID215" s="561"/>
      <c r="IE215" s="561"/>
      <c r="IF215" s="561"/>
      <c r="IG215" s="561"/>
      <c r="IH215" s="561"/>
      <c r="II215" s="561"/>
      <c r="IJ215" s="561"/>
      <c r="IK215" s="561"/>
      <c r="IL215" s="561"/>
      <c r="IM215" s="561"/>
      <c r="IN215" s="561"/>
      <c r="IO215" s="561"/>
      <c r="IP215" s="561"/>
      <c r="IQ215" s="561"/>
      <c r="IR215" s="561"/>
      <c r="IS215" s="561"/>
      <c r="IT215" s="561"/>
      <c r="IU215" s="561"/>
      <c r="IV215" s="561"/>
      <c r="IW215" s="561"/>
    </row>
    <row r="216" customFormat="false" ht="12.75" hidden="false" customHeight="false" outlineLevel="2" collapsed="false">
      <c r="A216" s="316"/>
      <c r="B216" s="569" t="str">
        <f aca="false">'Plant Configuration'!C255</f>
        <v>Repair Parts</v>
      </c>
      <c r="C216" s="44"/>
      <c r="D216" s="578" t="n">
        <f aca="false">IF($O$7=6,0,HLOOKUP($D$5,Plant_Configuration,'Plant Configuration'!A255,FALSE()))+IF($R$7=6,0,HLOOKUP($E$5,Plant_Configuration,'Plant Configuration'!A255,FALSE()))+IF($U$7=6,0,HLOOKUP($F$5,Plant_Configuration,'Plant Configuration'!A255,FALSE()))</f>
        <v>0</v>
      </c>
      <c r="E216" s="342" t="n">
        <v>0.75</v>
      </c>
      <c r="F216" s="566" t="n">
        <v>1</v>
      </c>
      <c r="H216" s="316" t="s">
        <v>1096</v>
      </c>
      <c r="I216" s="567" t="n">
        <f aca="false">D216-J216</f>
        <v>0</v>
      </c>
      <c r="J216" s="567" t="n">
        <f aca="false">E216*D216</f>
        <v>0</v>
      </c>
      <c r="K216" s="317" t="n">
        <f aca="false">F216*D216</f>
        <v>0</v>
      </c>
      <c r="L216" s="317" t="n">
        <f aca="false">D216-K216</f>
        <v>0</v>
      </c>
      <c r="N216" s="45"/>
      <c r="O216" s="45"/>
    </row>
    <row r="217" customFormat="false" ht="12.75" hidden="false" customHeight="false" outlineLevel="2" collapsed="false">
      <c r="A217" s="316"/>
      <c r="B217" s="569" t="str">
        <f aca="false">'Plant Configuration'!C256</f>
        <v>Outside Repair Services</v>
      </c>
      <c r="C217" s="44"/>
      <c r="D217" s="578" t="n">
        <f aca="false">IF($O$7=6,0,HLOOKUP($D$5,Plant_Configuration,'Plant Configuration'!A256,FALSE()))+IF($R$7=6,0,HLOOKUP($E$5,Plant_Configuration,'Plant Configuration'!A256,FALSE()))+IF($U$7=6,0,HLOOKUP($F$5,Plant_Configuration,'Plant Configuration'!A256,FALSE()))</f>
        <v>0</v>
      </c>
      <c r="E217" s="342" t="n">
        <v>0.75</v>
      </c>
      <c r="F217" s="566" t="n">
        <v>1</v>
      </c>
      <c r="H217" s="316" t="s">
        <v>1097</v>
      </c>
      <c r="I217" s="567" t="n">
        <f aca="false">D217-J217</f>
        <v>0</v>
      </c>
      <c r="J217" s="567" t="n">
        <f aca="false">E217*D217</f>
        <v>0</v>
      </c>
      <c r="K217" s="317" t="n">
        <f aca="false">F217*D217</f>
        <v>0</v>
      </c>
      <c r="L217" s="317" t="n">
        <f aca="false">D217-K217</f>
        <v>0</v>
      </c>
      <c r="N217" s="45"/>
      <c r="O217" s="45"/>
    </row>
    <row r="218" customFormat="false" ht="12.75" hidden="false" customHeight="false" outlineLevel="2" collapsed="false">
      <c r="A218" s="316"/>
      <c r="B218" s="569" t="str">
        <f aca="false">'Plant Configuration'!C257</f>
        <v>Technical/Professional Services</v>
      </c>
      <c r="C218" s="44"/>
      <c r="D218" s="578" t="n">
        <f aca="false">IF($O$7=6,0,HLOOKUP($D$5,Plant_Configuration,'Plant Configuration'!A257,FALSE()))+IF($R$7=6,0,HLOOKUP($E$5,Plant_Configuration,'Plant Configuration'!A257,FALSE()))+IF($U$7=6,0,HLOOKUP($F$5,Plant_Configuration,'Plant Configuration'!A257,FALSE()))</f>
        <v>0</v>
      </c>
      <c r="E218" s="342" t="n">
        <v>0.75</v>
      </c>
      <c r="F218" s="566" t="n">
        <v>1</v>
      </c>
      <c r="H218" s="316"/>
      <c r="I218" s="567" t="n">
        <f aca="false">D218-J218</f>
        <v>0</v>
      </c>
      <c r="J218" s="567" t="n">
        <f aca="false">E218*D218</f>
        <v>0</v>
      </c>
      <c r="K218" s="317" t="n">
        <f aca="false">F218*D218</f>
        <v>0</v>
      </c>
      <c r="L218" s="317" t="n">
        <f aca="false">D218-K218</f>
        <v>0</v>
      </c>
      <c r="N218" s="45"/>
      <c r="O218" s="45"/>
    </row>
    <row r="219" customFormat="false" ht="12.75" hidden="false" customHeight="false" outlineLevel="2" collapsed="false">
      <c r="A219" s="316"/>
      <c r="B219" s="569" t="str">
        <f aca="false">'Plant Configuration'!C258</f>
        <v>Outside Contract Labor</v>
      </c>
      <c r="C219" s="44"/>
      <c r="D219" s="578" t="n">
        <f aca="false">IF($O$7=6,0,HLOOKUP($D$5,Plant_Configuration,'Plant Configuration'!A258,FALSE()))+IF($R$7=6,0,HLOOKUP($E$5,Plant_Configuration,'Plant Configuration'!A258,FALSE()))+IF($U$7=6,0,HLOOKUP($F$5,Plant_Configuration,'Plant Configuration'!A258,FALSE()))</f>
        <v>0</v>
      </c>
      <c r="E219" s="342" t="n">
        <v>0.75</v>
      </c>
      <c r="F219" s="566" t="n">
        <v>1</v>
      </c>
      <c r="H219" s="316"/>
      <c r="I219" s="567" t="n">
        <f aca="false">D219-J219</f>
        <v>0</v>
      </c>
      <c r="J219" s="567" t="n">
        <f aca="false">E219*D219</f>
        <v>0</v>
      </c>
      <c r="K219" s="317" t="n">
        <f aca="false">F219*D219</f>
        <v>0</v>
      </c>
      <c r="L219" s="317" t="n">
        <f aca="false">D219-K219</f>
        <v>0</v>
      </c>
      <c r="N219" s="45"/>
      <c r="O219" s="45"/>
    </row>
    <row r="220" customFormat="false" ht="12.75" hidden="false" customHeight="false" outlineLevel="2" collapsed="false">
      <c r="A220" s="316"/>
      <c r="B220" s="569" t="str">
        <f aca="false">'Plant Configuration'!C259</f>
        <v>Equipment rental</v>
      </c>
      <c r="C220" s="44"/>
      <c r="D220" s="578" t="n">
        <f aca="false">IF($O$7=6,0,HLOOKUP($D$5,Plant_Configuration,'Plant Configuration'!A259,FALSE()))+IF($R$7=6,0,HLOOKUP($E$5,Plant_Configuration,'Plant Configuration'!A259,FALSE()))+IF($U$7=6,0,HLOOKUP($F$5,Plant_Configuration,'Plant Configuration'!A259,FALSE()))</f>
        <v>0</v>
      </c>
      <c r="E220" s="342" t="n">
        <v>0.75</v>
      </c>
      <c r="F220" s="566" t="n">
        <v>1</v>
      </c>
      <c r="H220" s="316"/>
      <c r="I220" s="567" t="n">
        <f aca="false">D220-J220</f>
        <v>0</v>
      </c>
      <c r="J220" s="567" t="n">
        <f aca="false">E220*D220</f>
        <v>0</v>
      </c>
      <c r="K220" s="317" t="n">
        <f aca="false">F220*D220</f>
        <v>0</v>
      </c>
      <c r="L220" s="317" t="n">
        <f aca="false">D220-K220</f>
        <v>0</v>
      </c>
      <c r="N220" s="45"/>
      <c r="O220" s="45"/>
    </row>
    <row r="221" customFormat="false" ht="12.75" hidden="false" customHeight="false" outlineLevel="2" collapsed="false">
      <c r="A221" s="316"/>
      <c r="B221" s="569" t="str">
        <f aca="false">'Plant Configuration'!C260</f>
        <v>Miscellaneous</v>
      </c>
      <c r="C221" s="44"/>
      <c r="D221" s="578" t="n">
        <f aca="false">IF($O$7=6,0,HLOOKUP($D$5,Plant_Configuration,'Plant Configuration'!A260,FALSE()))+IF($R$7=6,0,HLOOKUP($E$5,Plant_Configuration,'Plant Configuration'!A260,FALSE()))+IF($U$7=6,0,HLOOKUP($F$5,Plant_Configuration,'Plant Configuration'!A260,FALSE()))</f>
        <v>0</v>
      </c>
      <c r="E221" s="342" t="n">
        <v>0.75</v>
      </c>
      <c r="F221" s="566" t="n">
        <v>1</v>
      </c>
      <c r="H221" s="591" t="s">
        <v>1098</v>
      </c>
      <c r="I221" s="567" t="n">
        <f aca="false">D221-J221</f>
        <v>0</v>
      </c>
      <c r="J221" s="567" t="n">
        <f aca="false">E221*D221</f>
        <v>0</v>
      </c>
      <c r="K221" s="317" t="n">
        <f aca="false">F221*D221</f>
        <v>0</v>
      </c>
      <c r="L221" s="317" t="n">
        <f aca="false">D221-K221</f>
        <v>0</v>
      </c>
      <c r="N221" s="45"/>
      <c r="O221" s="45"/>
    </row>
    <row r="222" customFormat="false" ht="12.75" hidden="false" customHeight="false" outlineLevel="2" collapsed="false">
      <c r="A222" s="316"/>
      <c r="B222" s="569" t="str">
        <f aca="false">'Plant Configuration'!C261</f>
        <v>Freight</v>
      </c>
      <c r="C222" s="44"/>
      <c r="D222" s="578" t="n">
        <f aca="false">IF($O$7=6,0,HLOOKUP($D$5,Plant_Configuration,'Plant Configuration'!A261,FALSE()))+IF($R$7=6,0,HLOOKUP($E$5,Plant_Configuration,'Plant Configuration'!A261,FALSE()))+IF($U$7=6,0,HLOOKUP($F$5,Plant_Configuration,'Plant Configuration'!A261,FALSE()))</f>
        <v>0</v>
      </c>
      <c r="E222" s="342" t="n">
        <v>0.75</v>
      </c>
      <c r="F222" s="566" t="n">
        <v>1</v>
      </c>
      <c r="H222" s="316"/>
      <c r="I222" s="567" t="n">
        <f aca="false">D222-J222</f>
        <v>0</v>
      </c>
      <c r="J222" s="567" t="n">
        <f aca="false">E222*D222</f>
        <v>0</v>
      </c>
      <c r="K222" s="317" t="n">
        <f aca="false">F222*D222</f>
        <v>0</v>
      </c>
      <c r="L222" s="317" t="n">
        <f aca="false">D222-K222</f>
        <v>0</v>
      </c>
      <c r="N222" s="45"/>
      <c r="O222" s="45"/>
    </row>
    <row r="223" customFormat="false" ht="12.75" hidden="false" customHeight="false" outlineLevel="2" collapsed="false">
      <c r="A223" s="316"/>
      <c r="B223" s="569" t="str">
        <f aca="false">'Plant Configuration'!C262</f>
        <v>Other</v>
      </c>
      <c r="C223" s="44"/>
      <c r="D223" s="578" t="n">
        <f aca="false">IF($O$7=6,0,HLOOKUP($D$5,Plant_Configuration,'Plant Configuration'!A262,FALSE()))+IF($R$7=6,0,HLOOKUP($E$5,Plant_Configuration,'Plant Configuration'!A262,FALSE()))+IF($U$7=6,0,HLOOKUP($F$5,Plant_Configuration,'Plant Configuration'!A262,FALSE()))</f>
        <v>0</v>
      </c>
      <c r="E223" s="342" t="n">
        <v>0.75</v>
      </c>
      <c r="F223" s="566"/>
      <c r="H223" s="316"/>
      <c r="I223" s="567" t="n">
        <f aca="false">D223-J223</f>
        <v>0</v>
      </c>
      <c r="J223" s="567" t="n">
        <f aca="false">E223*D223</f>
        <v>0</v>
      </c>
      <c r="K223" s="317"/>
      <c r="L223" s="317"/>
      <c r="N223" s="45"/>
      <c r="O223" s="45"/>
    </row>
    <row r="224" customFormat="false" ht="12.75" hidden="false" customHeight="false" outlineLevel="1" collapsed="false">
      <c r="A224" s="316"/>
      <c r="B224" s="570" t="s">
        <v>431</v>
      </c>
      <c r="C224" s="0"/>
      <c r="D224" s="571" t="n">
        <f aca="false">SUBTOTAL(9,D216:D223)</f>
        <v>0</v>
      </c>
      <c r="E224" s="572"/>
      <c r="F224" s="573"/>
      <c r="H224" s="316"/>
      <c r="I224" s="571" t="n">
        <f aca="false">SUBTOTAL(9,I216:I223)</f>
        <v>0</v>
      </c>
      <c r="J224" s="571" t="n">
        <f aca="false">SUBTOTAL(9,J216:J223)</f>
        <v>0</v>
      </c>
      <c r="K224" s="571" t="n">
        <f aca="false">SUBTOTAL(9,K216:K223)</f>
        <v>0</v>
      </c>
      <c r="L224" s="571" t="n">
        <f aca="false">SUBTOTAL(9,L216:L223)</f>
        <v>0</v>
      </c>
      <c r="M224" s="561"/>
      <c r="N224" s="561"/>
      <c r="O224" s="561"/>
      <c r="P224" s="561"/>
      <c r="Q224" s="561"/>
      <c r="R224" s="561"/>
      <c r="S224" s="561"/>
      <c r="T224" s="561"/>
      <c r="U224" s="561"/>
      <c r="V224" s="561"/>
      <c r="W224" s="561"/>
      <c r="X224" s="561"/>
      <c r="Y224" s="561"/>
      <c r="Z224" s="561"/>
      <c r="AA224" s="561"/>
      <c r="AB224" s="561"/>
      <c r="AC224" s="561"/>
      <c r="AD224" s="561"/>
      <c r="AE224" s="561"/>
      <c r="AF224" s="561"/>
      <c r="AG224" s="561"/>
      <c r="AH224" s="561"/>
      <c r="AI224" s="561"/>
      <c r="AJ224" s="561"/>
      <c r="AK224" s="561"/>
      <c r="AL224" s="561"/>
      <c r="AM224" s="561"/>
      <c r="AN224" s="561"/>
      <c r="AO224" s="561"/>
      <c r="AP224" s="561"/>
      <c r="AQ224" s="561"/>
      <c r="AR224" s="561"/>
      <c r="AS224" s="561"/>
      <c r="AT224" s="561"/>
      <c r="AU224" s="561"/>
      <c r="AV224" s="561"/>
      <c r="AW224" s="561"/>
      <c r="AX224" s="561"/>
      <c r="AY224" s="561"/>
      <c r="AZ224" s="561"/>
      <c r="BA224" s="561"/>
      <c r="BB224" s="561"/>
      <c r="BC224" s="561"/>
      <c r="BD224" s="561"/>
      <c r="BE224" s="561"/>
      <c r="BF224" s="561"/>
      <c r="BG224" s="561"/>
      <c r="BH224" s="561"/>
      <c r="BI224" s="561"/>
      <c r="BJ224" s="561"/>
      <c r="BK224" s="561"/>
      <c r="BL224" s="561"/>
      <c r="BM224" s="561"/>
      <c r="BN224" s="561"/>
      <c r="BO224" s="561"/>
      <c r="BP224" s="561"/>
      <c r="BQ224" s="561"/>
      <c r="BR224" s="561"/>
      <c r="BS224" s="561"/>
      <c r="BT224" s="561"/>
      <c r="BU224" s="561"/>
      <c r="BV224" s="561"/>
      <c r="BW224" s="561"/>
      <c r="BX224" s="561"/>
      <c r="BY224" s="561"/>
      <c r="BZ224" s="561"/>
      <c r="CA224" s="561"/>
      <c r="CB224" s="561"/>
      <c r="CC224" s="561"/>
      <c r="CD224" s="561"/>
      <c r="CE224" s="561"/>
      <c r="CF224" s="561"/>
      <c r="CG224" s="561"/>
      <c r="CH224" s="561"/>
      <c r="CI224" s="561"/>
      <c r="CJ224" s="561"/>
      <c r="CK224" s="561"/>
      <c r="CL224" s="561"/>
      <c r="CM224" s="561"/>
      <c r="CN224" s="561"/>
      <c r="CO224" s="561"/>
      <c r="CP224" s="561"/>
      <c r="CQ224" s="561"/>
      <c r="CR224" s="561"/>
      <c r="CS224" s="561"/>
      <c r="CT224" s="561"/>
      <c r="CU224" s="561"/>
      <c r="CV224" s="561"/>
      <c r="CW224" s="561"/>
      <c r="CX224" s="561"/>
      <c r="CY224" s="561"/>
      <c r="CZ224" s="561"/>
      <c r="DA224" s="561"/>
      <c r="DB224" s="561"/>
      <c r="DC224" s="561"/>
      <c r="DD224" s="561"/>
      <c r="DE224" s="561"/>
      <c r="DF224" s="561"/>
      <c r="DG224" s="561"/>
      <c r="DH224" s="561"/>
      <c r="DI224" s="561"/>
      <c r="DJ224" s="561"/>
      <c r="DK224" s="561"/>
      <c r="DL224" s="561"/>
      <c r="DM224" s="561"/>
      <c r="DN224" s="561"/>
      <c r="DO224" s="561"/>
      <c r="DP224" s="561"/>
      <c r="DQ224" s="561"/>
      <c r="DR224" s="561"/>
      <c r="DS224" s="561"/>
      <c r="DT224" s="561"/>
      <c r="DU224" s="561"/>
      <c r="DV224" s="561"/>
      <c r="DW224" s="561"/>
      <c r="DX224" s="561"/>
      <c r="DY224" s="561"/>
      <c r="DZ224" s="561"/>
      <c r="EA224" s="561"/>
      <c r="EB224" s="561"/>
      <c r="EC224" s="561"/>
      <c r="ED224" s="561"/>
      <c r="EE224" s="561"/>
      <c r="EF224" s="561"/>
      <c r="EG224" s="561"/>
      <c r="EH224" s="561"/>
      <c r="EI224" s="561"/>
      <c r="EJ224" s="561"/>
      <c r="EK224" s="561"/>
      <c r="EL224" s="561"/>
      <c r="EM224" s="561"/>
      <c r="EN224" s="561"/>
      <c r="EO224" s="561"/>
      <c r="EP224" s="561"/>
      <c r="EQ224" s="561"/>
      <c r="ER224" s="561"/>
      <c r="ES224" s="561"/>
      <c r="ET224" s="561"/>
      <c r="EU224" s="561"/>
      <c r="EV224" s="561"/>
      <c r="EW224" s="561"/>
      <c r="EX224" s="561"/>
      <c r="EY224" s="561"/>
      <c r="EZ224" s="561"/>
      <c r="FA224" s="561"/>
      <c r="FB224" s="561"/>
      <c r="FC224" s="561"/>
      <c r="FD224" s="561"/>
      <c r="FE224" s="561"/>
      <c r="FF224" s="561"/>
      <c r="FG224" s="561"/>
      <c r="FH224" s="561"/>
      <c r="FI224" s="561"/>
      <c r="FJ224" s="561"/>
      <c r="FK224" s="561"/>
      <c r="FL224" s="561"/>
      <c r="FM224" s="561"/>
      <c r="FN224" s="561"/>
      <c r="FO224" s="561"/>
      <c r="FP224" s="561"/>
      <c r="FQ224" s="561"/>
      <c r="FR224" s="561"/>
      <c r="FS224" s="561"/>
      <c r="FT224" s="561"/>
      <c r="FU224" s="561"/>
      <c r="FV224" s="561"/>
      <c r="FW224" s="561"/>
      <c r="FX224" s="561"/>
      <c r="FY224" s="561"/>
      <c r="FZ224" s="561"/>
      <c r="GA224" s="561"/>
      <c r="GB224" s="561"/>
      <c r="GC224" s="561"/>
      <c r="GD224" s="561"/>
      <c r="GE224" s="561"/>
      <c r="GF224" s="561"/>
      <c r="GG224" s="561"/>
      <c r="GH224" s="561"/>
      <c r="GI224" s="561"/>
      <c r="GJ224" s="561"/>
      <c r="GK224" s="561"/>
      <c r="GL224" s="561"/>
      <c r="GM224" s="561"/>
      <c r="GN224" s="561"/>
      <c r="GO224" s="561"/>
      <c r="GP224" s="561"/>
      <c r="GQ224" s="561"/>
      <c r="GR224" s="561"/>
      <c r="GS224" s="561"/>
      <c r="GT224" s="561"/>
      <c r="GU224" s="561"/>
      <c r="GV224" s="561"/>
      <c r="GW224" s="561"/>
      <c r="GX224" s="561"/>
      <c r="GY224" s="561"/>
      <c r="GZ224" s="561"/>
      <c r="HA224" s="561"/>
      <c r="HB224" s="561"/>
      <c r="HC224" s="561"/>
      <c r="HD224" s="561"/>
      <c r="HE224" s="561"/>
      <c r="HF224" s="561"/>
      <c r="HG224" s="561"/>
      <c r="HH224" s="561"/>
      <c r="HI224" s="561"/>
      <c r="HJ224" s="561"/>
      <c r="HK224" s="561"/>
      <c r="HL224" s="561"/>
      <c r="HM224" s="561"/>
      <c r="HN224" s="561"/>
      <c r="HO224" s="561"/>
      <c r="HP224" s="561"/>
      <c r="HQ224" s="561"/>
      <c r="HR224" s="561"/>
      <c r="HS224" s="561"/>
      <c r="HT224" s="561"/>
      <c r="HU224" s="561"/>
      <c r="HV224" s="561"/>
      <c r="HW224" s="561"/>
      <c r="HX224" s="561"/>
      <c r="HY224" s="561"/>
      <c r="HZ224" s="561"/>
      <c r="IA224" s="561"/>
      <c r="IB224" s="561"/>
      <c r="IC224" s="561"/>
      <c r="ID224" s="561"/>
      <c r="IE224" s="561"/>
      <c r="IF224" s="561"/>
      <c r="IG224" s="561"/>
      <c r="IH224" s="561"/>
      <c r="II224" s="561"/>
      <c r="IJ224" s="561"/>
      <c r="IK224" s="561"/>
      <c r="IL224" s="561"/>
      <c r="IM224" s="561"/>
      <c r="IN224" s="561"/>
      <c r="IO224" s="561"/>
      <c r="IP224" s="561"/>
      <c r="IQ224" s="561"/>
      <c r="IR224" s="561"/>
      <c r="IS224" s="561"/>
      <c r="IT224" s="561"/>
      <c r="IU224" s="561"/>
      <c r="IV224" s="561"/>
      <c r="IW224" s="561"/>
    </row>
    <row r="225" customFormat="false" ht="12.75" hidden="false" customHeight="false" outlineLevel="1" collapsed="false">
      <c r="A225" s="574" t="s">
        <v>1099</v>
      </c>
      <c r="B225" s="575"/>
      <c r="C225" s="576"/>
      <c r="D225" s="554"/>
      <c r="E225" s="555"/>
      <c r="F225" s="556"/>
      <c r="H225" s="577"/>
      <c r="I225" s="558" t="n">
        <f aca="false">IF(D243=0,0,I243/D243)</f>
        <v>0.75</v>
      </c>
      <c r="J225" s="558" t="n">
        <f aca="false">1-I225</f>
        <v>0.25</v>
      </c>
      <c r="K225" s="559" t="n">
        <f aca="false">IF(D243=0,0,K243/D243)</f>
        <v>1</v>
      </c>
      <c r="L225" s="559" t="n">
        <f aca="false">1-K225</f>
        <v>0</v>
      </c>
      <c r="M225" s="561"/>
      <c r="N225" s="561"/>
      <c r="O225" s="561"/>
      <c r="P225" s="561"/>
      <c r="Q225" s="561"/>
      <c r="R225" s="561"/>
      <c r="S225" s="561"/>
      <c r="T225" s="561"/>
      <c r="U225" s="561"/>
      <c r="V225" s="561"/>
      <c r="W225" s="561"/>
      <c r="X225" s="561"/>
      <c r="Y225" s="561"/>
      <c r="Z225" s="561"/>
      <c r="AA225" s="561"/>
      <c r="AB225" s="561"/>
      <c r="AC225" s="561"/>
      <c r="AD225" s="561"/>
      <c r="AE225" s="561"/>
      <c r="AF225" s="561"/>
      <c r="AG225" s="561"/>
      <c r="AH225" s="561"/>
      <c r="AI225" s="561"/>
      <c r="AJ225" s="561"/>
      <c r="AK225" s="561"/>
      <c r="AL225" s="561"/>
      <c r="AM225" s="561"/>
      <c r="AN225" s="561"/>
      <c r="AO225" s="561"/>
      <c r="AP225" s="561"/>
      <c r="AQ225" s="561"/>
      <c r="AR225" s="561"/>
      <c r="AS225" s="561"/>
      <c r="AT225" s="561"/>
      <c r="AU225" s="561"/>
      <c r="AV225" s="561"/>
      <c r="AW225" s="561"/>
      <c r="AX225" s="561"/>
      <c r="AY225" s="561"/>
      <c r="AZ225" s="561"/>
      <c r="BA225" s="561"/>
      <c r="BB225" s="561"/>
      <c r="BC225" s="561"/>
      <c r="BD225" s="561"/>
      <c r="BE225" s="561"/>
      <c r="BF225" s="561"/>
      <c r="BG225" s="561"/>
      <c r="BH225" s="561"/>
      <c r="BI225" s="561"/>
      <c r="BJ225" s="561"/>
      <c r="BK225" s="561"/>
      <c r="BL225" s="561"/>
      <c r="BM225" s="561"/>
      <c r="BN225" s="561"/>
      <c r="BO225" s="561"/>
      <c r="BP225" s="561"/>
      <c r="BQ225" s="561"/>
      <c r="BR225" s="561"/>
      <c r="BS225" s="561"/>
      <c r="BT225" s="561"/>
      <c r="BU225" s="561"/>
      <c r="BV225" s="561"/>
      <c r="BW225" s="561"/>
      <c r="BX225" s="561"/>
      <c r="BY225" s="561"/>
      <c r="BZ225" s="561"/>
      <c r="CA225" s="561"/>
      <c r="CB225" s="561"/>
      <c r="CC225" s="561"/>
      <c r="CD225" s="561"/>
      <c r="CE225" s="561"/>
      <c r="CF225" s="561"/>
      <c r="CG225" s="561"/>
      <c r="CH225" s="561"/>
      <c r="CI225" s="561"/>
      <c r="CJ225" s="561"/>
      <c r="CK225" s="561"/>
      <c r="CL225" s="561"/>
      <c r="CM225" s="561"/>
      <c r="CN225" s="561"/>
      <c r="CO225" s="561"/>
      <c r="CP225" s="561"/>
      <c r="CQ225" s="561"/>
      <c r="CR225" s="561"/>
      <c r="CS225" s="561"/>
      <c r="CT225" s="561"/>
      <c r="CU225" s="561"/>
      <c r="CV225" s="561"/>
      <c r="CW225" s="561"/>
      <c r="CX225" s="561"/>
      <c r="CY225" s="561"/>
      <c r="CZ225" s="561"/>
      <c r="DA225" s="561"/>
      <c r="DB225" s="561"/>
      <c r="DC225" s="561"/>
      <c r="DD225" s="561"/>
      <c r="DE225" s="561"/>
      <c r="DF225" s="561"/>
      <c r="DG225" s="561"/>
      <c r="DH225" s="561"/>
      <c r="DI225" s="561"/>
      <c r="DJ225" s="561"/>
      <c r="DK225" s="561"/>
      <c r="DL225" s="561"/>
      <c r="DM225" s="561"/>
      <c r="DN225" s="561"/>
      <c r="DO225" s="561"/>
      <c r="DP225" s="561"/>
      <c r="DQ225" s="561"/>
      <c r="DR225" s="561"/>
      <c r="DS225" s="561"/>
      <c r="DT225" s="561"/>
      <c r="DU225" s="561"/>
      <c r="DV225" s="561"/>
      <c r="DW225" s="561"/>
      <c r="DX225" s="561"/>
      <c r="DY225" s="561"/>
      <c r="DZ225" s="561"/>
      <c r="EA225" s="561"/>
      <c r="EB225" s="561"/>
      <c r="EC225" s="561"/>
      <c r="ED225" s="561"/>
      <c r="EE225" s="561"/>
      <c r="EF225" s="561"/>
      <c r="EG225" s="561"/>
      <c r="EH225" s="561"/>
      <c r="EI225" s="561"/>
      <c r="EJ225" s="561"/>
      <c r="EK225" s="561"/>
      <c r="EL225" s="561"/>
      <c r="EM225" s="561"/>
      <c r="EN225" s="561"/>
      <c r="EO225" s="561"/>
      <c r="EP225" s="561"/>
      <c r="EQ225" s="561"/>
      <c r="ER225" s="561"/>
      <c r="ES225" s="561"/>
      <c r="ET225" s="561"/>
      <c r="EU225" s="561"/>
      <c r="EV225" s="561"/>
      <c r="EW225" s="561"/>
      <c r="EX225" s="561"/>
      <c r="EY225" s="561"/>
      <c r="EZ225" s="561"/>
      <c r="FA225" s="561"/>
      <c r="FB225" s="561"/>
      <c r="FC225" s="561"/>
      <c r="FD225" s="561"/>
      <c r="FE225" s="561"/>
      <c r="FF225" s="561"/>
      <c r="FG225" s="561"/>
      <c r="FH225" s="561"/>
      <c r="FI225" s="561"/>
      <c r="FJ225" s="561"/>
      <c r="FK225" s="561"/>
      <c r="FL225" s="561"/>
      <c r="FM225" s="561"/>
      <c r="FN225" s="561"/>
      <c r="FO225" s="561"/>
      <c r="FP225" s="561"/>
      <c r="FQ225" s="561"/>
      <c r="FR225" s="561"/>
      <c r="FS225" s="561"/>
      <c r="FT225" s="561"/>
      <c r="FU225" s="561"/>
      <c r="FV225" s="561"/>
      <c r="FW225" s="561"/>
      <c r="FX225" s="561"/>
      <c r="FY225" s="561"/>
      <c r="FZ225" s="561"/>
      <c r="GA225" s="561"/>
      <c r="GB225" s="561"/>
      <c r="GC225" s="561"/>
      <c r="GD225" s="561"/>
      <c r="GE225" s="561"/>
      <c r="GF225" s="561"/>
      <c r="GG225" s="561"/>
      <c r="GH225" s="561"/>
      <c r="GI225" s="561"/>
      <c r="GJ225" s="561"/>
      <c r="GK225" s="561"/>
      <c r="GL225" s="561"/>
      <c r="GM225" s="561"/>
      <c r="GN225" s="561"/>
      <c r="GO225" s="561"/>
      <c r="GP225" s="561"/>
      <c r="GQ225" s="561"/>
      <c r="GR225" s="561"/>
      <c r="GS225" s="561"/>
      <c r="GT225" s="561"/>
      <c r="GU225" s="561"/>
      <c r="GV225" s="561"/>
      <c r="GW225" s="561"/>
      <c r="GX225" s="561"/>
      <c r="GY225" s="561"/>
      <c r="GZ225" s="561"/>
      <c r="HA225" s="561"/>
      <c r="HB225" s="561"/>
      <c r="HC225" s="561"/>
      <c r="HD225" s="561"/>
      <c r="HE225" s="561"/>
      <c r="HF225" s="561"/>
      <c r="HG225" s="561"/>
      <c r="HH225" s="561"/>
      <c r="HI225" s="561"/>
      <c r="HJ225" s="561"/>
      <c r="HK225" s="561"/>
      <c r="HL225" s="561"/>
      <c r="HM225" s="561"/>
      <c r="HN225" s="561"/>
      <c r="HO225" s="561"/>
      <c r="HP225" s="561"/>
      <c r="HQ225" s="561"/>
      <c r="HR225" s="561"/>
      <c r="HS225" s="561"/>
      <c r="HT225" s="561"/>
      <c r="HU225" s="561"/>
      <c r="HV225" s="561"/>
      <c r="HW225" s="561"/>
      <c r="HX225" s="561"/>
      <c r="HY225" s="561"/>
      <c r="HZ225" s="561"/>
      <c r="IA225" s="561"/>
      <c r="IB225" s="561"/>
      <c r="IC225" s="561"/>
      <c r="ID225" s="561"/>
      <c r="IE225" s="561"/>
      <c r="IF225" s="561"/>
      <c r="IG225" s="561"/>
      <c r="IH225" s="561"/>
      <c r="II225" s="561"/>
      <c r="IJ225" s="561"/>
      <c r="IK225" s="561"/>
      <c r="IL225" s="561"/>
      <c r="IM225" s="561"/>
      <c r="IN225" s="561"/>
      <c r="IO225" s="561"/>
      <c r="IP225" s="561"/>
      <c r="IQ225" s="561"/>
      <c r="IR225" s="561"/>
      <c r="IS225" s="561"/>
      <c r="IT225" s="561"/>
      <c r="IU225" s="561"/>
      <c r="IV225" s="561"/>
      <c r="IW225" s="561"/>
    </row>
    <row r="226" customFormat="false" ht="12.75" hidden="false" customHeight="false" outlineLevel="2" collapsed="false">
      <c r="A226" s="316"/>
      <c r="B226" s="569" t="str">
        <f aca="false">'Plant Configuration'!C265</f>
        <v>Warehouse Supplies</v>
      </c>
      <c r="C226" s="44"/>
      <c r="D226" s="578" t="n">
        <f aca="false">IF($O$7=6,0,HLOOKUP($D$5,Plant_Configuration,'Plant Configuration'!A265,FALSE()))+IF($R$7=6,0,HLOOKUP($E$5,Plant_Configuration,'Plant Configuration'!A265,FALSE()))+IF($U$7=6,0,HLOOKUP($F$5,Plant_Configuration,'Plant Configuration'!A265,FALSE()))</f>
        <v>369641.289126316</v>
      </c>
      <c r="E226" s="342" t="n">
        <v>0.25</v>
      </c>
      <c r="F226" s="566" t="n">
        <v>1</v>
      </c>
      <c r="H226" s="435" t="s">
        <v>1100</v>
      </c>
      <c r="I226" s="567" t="n">
        <f aca="false">D226-J226</f>
        <v>277230.966844737</v>
      </c>
      <c r="J226" s="567" t="n">
        <f aca="false">E226*D226</f>
        <v>92410.3222815791</v>
      </c>
      <c r="K226" s="317" t="n">
        <f aca="false">F226*D226</f>
        <v>369641.289126316</v>
      </c>
      <c r="L226" s="317" t="n">
        <f aca="false">D226-K226</f>
        <v>0</v>
      </c>
      <c r="N226" s="45"/>
      <c r="O226" s="45"/>
    </row>
    <row r="227" customFormat="false" ht="12.75" hidden="false" customHeight="false" outlineLevel="2" collapsed="false">
      <c r="A227" s="316"/>
      <c r="B227" s="569" t="str">
        <f aca="false">'Plant Configuration'!C266</f>
        <v>Vehicle Fuel/Gasoline</v>
      </c>
      <c r="C227" s="44"/>
      <c r="D227" s="578" t="n">
        <f aca="false">IF($O$7=6,0,HLOOKUP($D$5,Plant_Configuration,'Plant Configuration'!A266,FALSE()))+IF($R$7=6,0,HLOOKUP($E$5,Plant_Configuration,'Plant Configuration'!A266,FALSE()))+IF($U$7=6,0,HLOOKUP($F$5,Plant_Configuration,'Plant Configuration'!A266,FALSE()))</f>
        <v>0</v>
      </c>
      <c r="E227" s="342" t="n">
        <v>0.25</v>
      </c>
      <c r="F227" s="566" t="n">
        <v>1</v>
      </c>
      <c r="H227" s="316" t="s">
        <v>1101</v>
      </c>
      <c r="I227" s="567" t="n">
        <f aca="false">D227-J227</f>
        <v>0</v>
      </c>
      <c r="J227" s="567" t="n">
        <f aca="false">E227*D227</f>
        <v>0</v>
      </c>
      <c r="K227" s="317" t="n">
        <f aca="false">F227*D227</f>
        <v>0</v>
      </c>
      <c r="L227" s="317" t="n">
        <f aca="false">D227-K227</f>
        <v>0</v>
      </c>
      <c r="N227" s="45"/>
      <c r="O227" s="45"/>
    </row>
    <row r="228" customFormat="false" ht="12.75" hidden="false" customHeight="false" outlineLevel="2" collapsed="false">
      <c r="A228" s="316"/>
      <c r="B228" s="569" t="str">
        <f aca="false">'Plant Configuration'!C267</f>
        <v>Vehicle Repairs &amp; Maintenance</v>
      </c>
      <c r="C228" s="44"/>
      <c r="D228" s="578" t="n">
        <f aca="false">IF($O$7=6,0,HLOOKUP($D$5,Plant_Configuration,'Plant Configuration'!A267,FALSE()))+IF($R$7=6,0,HLOOKUP($E$5,Plant_Configuration,'Plant Configuration'!A267,FALSE()))+IF($U$7=6,0,HLOOKUP($F$5,Plant_Configuration,'Plant Configuration'!A267,FALSE()))</f>
        <v>0</v>
      </c>
      <c r="E228" s="342" t="n">
        <v>0.25</v>
      </c>
      <c r="F228" s="566" t="n">
        <v>1</v>
      </c>
      <c r="H228" s="435" t="s">
        <v>1057</v>
      </c>
      <c r="I228" s="567" t="n">
        <f aca="false">D228-J228</f>
        <v>0</v>
      </c>
      <c r="J228" s="567" t="n">
        <f aca="false">E228*D228</f>
        <v>0</v>
      </c>
      <c r="K228" s="317" t="n">
        <f aca="false">F228*D228</f>
        <v>0</v>
      </c>
      <c r="L228" s="317" t="n">
        <f aca="false">D228-K228</f>
        <v>0</v>
      </c>
      <c r="N228" s="45"/>
      <c r="O228" s="45"/>
    </row>
    <row r="229" customFormat="false" ht="12.75" hidden="false" customHeight="false" outlineLevel="2" collapsed="false">
      <c r="A229" s="316"/>
      <c r="B229" s="569" t="str">
        <f aca="false">'Plant Configuration'!C268</f>
        <v>Vehicle Lease</v>
      </c>
      <c r="C229" s="44"/>
      <c r="D229" s="578" t="n">
        <f aca="false">IF($O$7=6,0,HLOOKUP($D$5,Plant_Configuration,'Plant Configuration'!A268,FALSE()))+IF($R$7=6,0,HLOOKUP($E$5,Plant_Configuration,'Plant Configuration'!A268,FALSE()))+IF($U$7=6,0,HLOOKUP($F$5,Plant_Configuration,'Plant Configuration'!A268,FALSE()))</f>
        <v>0</v>
      </c>
      <c r="E229" s="342" t="n">
        <v>0.25</v>
      </c>
      <c r="F229" s="566" t="n">
        <v>1</v>
      </c>
      <c r="H229" s="316"/>
      <c r="I229" s="567" t="n">
        <f aca="false">D229-J229</f>
        <v>0</v>
      </c>
      <c r="J229" s="567" t="n">
        <f aca="false">E229*D229</f>
        <v>0</v>
      </c>
      <c r="K229" s="317" t="n">
        <f aca="false">F229*D229</f>
        <v>0</v>
      </c>
      <c r="L229" s="317" t="n">
        <f aca="false">D229-K229</f>
        <v>0</v>
      </c>
      <c r="N229" s="45"/>
      <c r="O229" s="45"/>
    </row>
    <row r="230" customFormat="false" ht="12.75" hidden="false" customHeight="false" outlineLevel="2" collapsed="false">
      <c r="A230" s="316"/>
      <c r="B230" s="569" t="str">
        <f aca="false">'Plant Configuration'!C269</f>
        <v>Equipment rent/lease</v>
      </c>
      <c r="C230" s="44"/>
      <c r="D230" s="578" t="n">
        <f aca="false">IF($O$7=6,0,HLOOKUP($D$5,Plant_Configuration,'Plant Configuration'!A269,FALSE()))+IF($R$7=6,0,HLOOKUP($E$5,Plant_Configuration,'Plant Configuration'!A269,FALSE()))+IF($U$7=6,0,HLOOKUP($F$5,Plant_Configuration,'Plant Configuration'!A269,FALSE()))</f>
        <v>0</v>
      </c>
      <c r="E230" s="342" t="n">
        <v>0.25</v>
      </c>
      <c r="F230" s="566" t="n">
        <v>1</v>
      </c>
      <c r="H230" s="316"/>
      <c r="I230" s="567" t="n">
        <f aca="false">D230-J230</f>
        <v>0</v>
      </c>
      <c r="J230" s="567" t="n">
        <f aca="false">E230*D230</f>
        <v>0</v>
      </c>
      <c r="K230" s="317" t="n">
        <f aca="false">F230*D230</f>
        <v>0</v>
      </c>
      <c r="L230" s="317" t="n">
        <f aca="false">D230-K230</f>
        <v>0</v>
      </c>
      <c r="N230" s="45"/>
      <c r="O230" s="45"/>
    </row>
    <row r="231" customFormat="false" ht="12.75" hidden="false" customHeight="false" outlineLevel="2" collapsed="false">
      <c r="A231" s="316"/>
      <c r="B231" s="569" t="str">
        <f aca="false">'Plant Configuration'!C270</f>
        <v>Lubricants/Turbine Oil/Grease/Compounds</v>
      </c>
      <c r="C231" s="44"/>
      <c r="D231" s="578" t="n">
        <f aca="false">IF($O$7=6,0,HLOOKUP($D$5,Plant_Configuration,'Plant Configuration'!A270,FALSE()))+IF($R$7=6,0,HLOOKUP($E$5,Plant_Configuration,'Plant Configuration'!A270,FALSE()))+IF($U$7=6,0,HLOOKUP($F$5,Plant_Configuration,'Plant Configuration'!A270,FALSE()))</f>
        <v>0</v>
      </c>
      <c r="E231" s="342" t="n">
        <v>0.25</v>
      </c>
      <c r="F231" s="566" t="n">
        <v>1</v>
      </c>
      <c r="H231" s="316"/>
      <c r="I231" s="567" t="n">
        <f aca="false">D231-J231</f>
        <v>0</v>
      </c>
      <c r="J231" s="567" t="n">
        <f aca="false">E231*D231</f>
        <v>0</v>
      </c>
      <c r="K231" s="317" t="n">
        <f aca="false">F231*D231</f>
        <v>0</v>
      </c>
      <c r="L231" s="317" t="n">
        <f aca="false">D231-K231</f>
        <v>0</v>
      </c>
      <c r="N231" s="45"/>
      <c r="O231" s="45"/>
    </row>
    <row r="232" customFormat="false" ht="12.75" hidden="false" customHeight="false" outlineLevel="2" collapsed="false">
      <c r="A232" s="316"/>
      <c r="B232" s="569" t="str">
        <f aca="false">'Plant Configuration'!C271</f>
        <v>Tools &amp; Tool Repair</v>
      </c>
      <c r="C232" s="44"/>
      <c r="D232" s="578" t="n">
        <f aca="false">IF($O$7=6,0,HLOOKUP($D$5,Plant_Configuration,'Plant Configuration'!A271,FALSE()))+IF($R$7=6,0,HLOOKUP($E$5,Plant_Configuration,'Plant Configuration'!A271,FALSE()))+IF($U$7=6,0,HLOOKUP($F$5,Plant_Configuration,'Plant Configuration'!A271,FALSE()))</f>
        <v>0</v>
      </c>
      <c r="E232" s="342" t="n">
        <v>0.25</v>
      </c>
      <c r="F232" s="566" t="n">
        <v>1</v>
      </c>
      <c r="H232" s="316"/>
      <c r="I232" s="567" t="n">
        <f aca="false">D232-J232</f>
        <v>0</v>
      </c>
      <c r="J232" s="567" t="n">
        <f aca="false">E232*D232</f>
        <v>0</v>
      </c>
      <c r="K232" s="317" t="n">
        <f aca="false">F232*D232</f>
        <v>0</v>
      </c>
      <c r="L232" s="317" t="n">
        <f aca="false">D232-K232</f>
        <v>0</v>
      </c>
      <c r="N232" s="45"/>
      <c r="O232" s="45"/>
    </row>
    <row r="233" customFormat="false" ht="12.75" hidden="false" customHeight="false" outlineLevel="2" collapsed="false">
      <c r="A233" s="316"/>
      <c r="B233" s="569" t="str">
        <f aca="false">'Plant Configuration'!C272</f>
        <v>Maint. Materials &amp; Supplies</v>
      </c>
      <c r="C233" s="44"/>
      <c r="D233" s="578" t="n">
        <f aca="false">IF($O$7=6,0,HLOOKUP($D$5,Plant_Configuration,'Plant Configuration'!A272,FALSE()))+IF($R$7=6,0,HLOOKUP($E$5,Plant_Configuration,'Plant Configuration'!A272,FALSE()))+IF($U$7=6,0,HLOOKUP($F$5,Plant_Configuration,'Plant Configuration'!A272,FALSE()))</f>
        <v>0</v>
      </c>
      <c r="E233" s="342" t="n">
        <v>0.25</v>
      </c>
      <c r="F233" s="566" t="n">
        <v>1</v>
      </c>
      <c r="H233" s="316"/>
      <c r="I233" s="567" t="n">
        <f aca="false">D233-J233</f>
        <v>0</v>
      </c>
      <c r="J233" s="567" t="n">
        <f aca="false">E233*D233</f>
        <v>0</v>
      </c>
      <c r="K233" s="317" t="n">
        <f aca="false">F233*D233</f>
        <v>0</v>
      </c>
      <c r="L233" s="317" t="n">
        <f aca="false">D233-K233</f>
        <v>0</v>
      </c>
      <c r="N233" s="45"/>
      <c r="O233" s="45"/>
    </row>
    <row r="234" customFormat="false" ht="12.75" hidden="false" customHeight="false" outlineLevel="2" collapsed="false">
      <c r="A234" s="316"/>
      <c r="B234" s="569" t="str">
        <f aca="false">'Plant Configuration'!C273</f>
        <v>Technical/Professional Services</v>
      </c>
      <c r="C234" s="44"/>
      <c r="D234" s="578" t="n">
        <f aca="false">IF($O$7=6,0,HLOOKUP($D$5,Plant_Configuration,'Plant Configuration'!A273,FALSE()))+IF($R$7=6,0,HLOOKUP($E$5,Plant_Configuration,'Plant Configuration'!A273,FALSE()))+IF($U$7=6,0,HLOOKUP($F$5,Plant_Configuration,'Plant Configuration'!A273,FALSE()))</f>
        <v>0</v>
      </c>
      <c r="E234" s="342" t="n">
        <v>0.25</v>
      </c>
      <c r="F234" s="566" t="n">
        <v>1</v>
      </c>
      <c r="H234" s="316"/>
      <c r="I234" s="567" t="n">
        <f aca="false">D234-J234</f>
        <v>0</v>
      </c>
      <c r="J234" s="567" t="n">
        <f aca="false">E234*D234</f>
        <v>0</v>
      </c>
      <c r="K234" s="317" t="n">
        <f aca="false">F234*D234</f>
        <v>0</v>
      </c>
      <c r="L234" s="317" t="n">
        <f aca="false">D234-K234</f>
        <v>0</v>
      </c>
      <c r="N234" s="45"/>
      <c r="O234" s="45"/>
    </row>
    <row r="235" customFormat="false" ht="12.75" hidden="false" customHeight="false" outlineLevel="2" collapsed="false">
      <c r="A235" s="316"/>
      <c r="B235" s="569" t="str">
        <f aca="false">'Plant Configuration'!C274</f>
        <v>Contact Labor/Temporaries</v>
      </c>
      <c r="C235" s="44"/>
      <c r="D235" s="578" t="n">
        <f aca="false">IF($O$7=6,0,HLOOKUP($D$5,Plant_Configuration,'Plant Configuration'!A274,FALSE()))+IF($R$7=6,0,HLOOKUP($E$5,Plant_Configuration,'Plant Configuration'!A274,FALSE()))+IF($U$7=6,0,HLOOKUP($F$5,Plant_Configuration,'Plant Configuration'!A274,FALSE()))</f>
        <v>0</v>
      </c>
      <c r="E235" s="342" t="n">
        <v>0.25</v>
      </c>
      <c r="F235" s="566" t="n">
        <v>1</v>
      </c>
      <c r="H235" s="316"/>
      <c r="I235" s="567" t="n">
        <f aca="false">D235-J235</f>
        <v>0</v>
      </c>
      <c r="J235" s="567" t="n">
        <f aca="false">E235*D235</f>
        <v>0</v>
      </c>
      <c r="K235" s="317" t="n">
        <f aca="false">F235*D235</f>
        <v>0</v>
      </c>
      <c r="L235" s="317" t="n">
        <f aca="false">D235-K235</f>
        <v>0</v>
      </c>
      <c r="N235" s="45"/>
      <c r="O235" s="45"/>
    </row>
    <row r="236" customFormat="false" ht="12.75" hidden="false" customHeight="false" outlineLevel="2" collapsed="false">
      <c r="A236" s="316"/>
      <c r="B236" s="569" t="str">
        <f aca="false">'Plant Configuration'!C275</f>
        <v>Outside Repair Services</v>
      </c>
      <c r="C236" s="44"/>
      <c r="D236" s="578" t="n">
        <f aca="false">IF($O$7=6,0,HLOOKUP($D$5,Plant_Configuration,'Plant Configuration'!A275,FALSE()))+IF($R$7=6,0,HLOOKUP($E$5,Plant_Configuration,'Plant Configuration'!A275,FALSE()))+IF($U$7=6,0,HLOOKUP($F$5,Plant_Configuration,'Plant Configuration'!A275,FALSE()))</f>
        <v>0</v>
      </c>
      <c r="E236" s="342" t="n">
        <v>0.25</v>
      </c>
      <c r="F236" s="566" t="n">
        <v>1</v>
      </c>
      <c r="H236" s="316"/>
      <c r="I236" s="567" t="n">
        <f aca="false">D236-J236</f>
        <v>0</v>
      </c>
      <c r="J236" s="567" t="n">
        <f aca="false">E236*D236</f>
        <v>0</v>
      </c>
      <c r="K236" s="317" t="n">
        <f aca="false">F236*D236</f>
        <v>0</v>
      </c>
      <c r="L236" s="317" t="n">
        <f aca="false">D236-K236</f>
        <v>0</v>
      </c>
      <c r="N236" s="45"/>
      <c r="O236" s="45"/>
    </row>
    <row r="237" customFormat="false" ht="12.75" hidden="false" customHeight="false" outlineLevel="2" collapsed="false">
      <c r="A237" s="316"/>
      <c r="B237" s="569" t="str">
        <f aca="false">'Plant Configuration'!C276</f>
        <v>Outside Services Contract Labor</v>
      </c>
      <c r="C237" s="44"/>
      <c r="D237" s="578" t="n">
        <f aca="false">IF($O$7=6,0,HLOOKUP($D$5,Plant_Configuration,'Plant Configuration'!A276,FALSE()))+IF($R$7=6,0,HLOOKUP($E$5,Plant_Configuration,'Plant Configuration'!A276,FALSE()))+IF($U$7=6,0,HLOOKUP($F$5,Plant_Configuration,'Plant Configuration'!A276,FALSE()))</f>
        <v>0</v>
      </c>
      <c r="E237" s="342" t="n">
        <v>0.25</v>
      </c>
      <c r="F237" s="566" t="n">
        <v>1</v>
      </c>
      <c r="H237" s="316"/>
      <c r="I237" s="567" t="n">
        <f aca="false">D237-J237</f>
        <v>0</v>
      </c>
      <c r="J237" s="567" t="n">
        <f aca="false">E237*D237</f>
        <v>0</v>
      </c>
      <c r="K237" s="317" t="n">
        <f aca="false">F237*D237</f>
        <v>0</v>
      </c>
      <c r="L237" s="317" t="n">
        <f aca="false">D237-K237</f>
        <v>0</v>
      </c>
      <c r="N237" s="45"/>
      <c r="O237" s="45"/>
    </row>
    <row r="238" customFormat="false" ht="12.75" hidden="false" customHeight="false" outlineLevel="2" collapsed="false">
      <c r="A238" s="316"/>
      <c r="B238" s="569" t="str">
        <f aca="false">'Plant Configuration'!C277</f>
        <v>Radio Parts and repairs</v>
      </c>
      <c r="C238" s="44"/>
      <c r="D238" s="578" t="n">
        <f aca="false">IF($O$7=6,0,HLOOKUP($D$5,Plant_Configuration,'Plant Configuration'!A277,FALSE()))+IF($R$7=6,0,HLOOKUP($E$5,Plant_Configuration,'Plant Configuration'!A277,FALSE()))+IF($U$7=6,0,HLOOKUP($F$5,Plant_Configuration,'Plant Configuration'!A277,FALSE()))</f>
        <v>0</v>
      </c>
      <c r="E238" s="342" t="n">
        <v>0.25</v>
      </c>
      <c r="F238" s="566" t="n">
        <v>1</v>
      </c>
      <c r="H238" s="316"/>
      <c r="I238" s="567" t="n">
        <f aca="false">D238-J238</f>
        <v>0</v>
      </c>
      <c r="J238" s="567" t="n">
        <f aca="false">E238*D238</f>
        <v>0</v>
      </c>
      <c r="K238" s="317" t="n">
        <f aca="false">F238*D238</f>
        <v>0</v>
      </c>
      <c r="L238" s="317" t="n">
        <f aca="false">D238-K238</f>
        <v>0</v>
      </c>
      <c r="N238" s="45"/>
      <c r="O238" s="45"/>
    </row>
    <row r="239" customFormat="false" ht="12.75" hidden="false" customHeight="false" outlineLevel="2" collapsed="false">
      <c r="A239" s="316"/>
      <c r="B239" s="569" t="str">
        <f aca="false">'Plant Configuration'!C278</f>
        <v>BOP Repairs</v>
      </c>
      <c r="C239" s="44"/>
      <c r="D239" s="578" t="n">
        <f aca="false">IF($O$7=6,0,HLOOKUP($D$5,Plant_Configuration,'Plant Configuration'!A278,FALSE()))+IF($R$7=6,0,HLOOKUP($E$5,Plant_Configuration,'Plant Configuration'!A278,FALSE()))+IF($U$7=6,0,HLOOKUP($F$5,Plant_Configuration,'Plant Configuration'!A278,FALSE()))</f>
        <v>0</v>
      </c>
      <c r="E239" s="342" t="n">
        <v>0.25</v>
      </c>
      <c r="F239" s="566" t="n">
        <v>1</v>
      </c>
      <c r="H239" s="316"/>
      <c r="I239" s="567" t="n">
        <f aca="false">D239-J239</f>
        <v>0</v>
      </c>
      <c r="J239" s="567" t="n">
        <f aca="false">E239*D239</f>
        <v>0</v>
      </c>
      <c r="K239" s="317" t="n">
        <f aca="false">F239*D239</f>
        <v>0</v>
      </c>
      <c r="L239" s="317" t="n">
        <f aca="false">D239-K239</f>
        <v>0</v>
      </c>
      <c r="N239" s="45"/>
      <c r="O239" s="45"/>
    </row>
    <row r="240" customFormat="false" ht="12.75" hidden="false" customHeight="false" outlineLevel="2" collapsed="false">
      <c r="A240" s="316"/>
      <c r="B240" s="569" t="str">
        <f aca="false">'Plant Configuration'!C279</f>
        <v>Hydrogen</v>
      </c>
      <c r="C240" s="44"/>
      <c r="D240" s="578" t="n">
        <f aca="false">IF($O$7=6,0,HLOOKUP($D$5,Plant_Configuration,'Plant Configuration'!A279,FALSE()))+IF($R$7=6,0,HLOOKUP($E$5,Plant_Configuration,'Plant Configuration'!A279,FALSE()))+IF($U$7=6,0,HLOOKUP($F$5,Plant_Configuration,'Plant Configuration'!A279,FALSE()))</f>
        <v>0</v>
      </c>
      <c r="E240" s="342" t="n">
        <v>0.25</v>
      </c>
      <c r="F240" s="566" t="n">
        <v>1</v>
      </c>
      <c r="H240" s="316" t="s">
        <v>1102</v>
      </c>
      <c r="I240" s="567" t="n">
        <f aca="false">D240-J240</f>
        <v>0</v>
      </c>
      <c r="J240" s="567" t="n">
        <f aca="false">E240*D240</f>
        <v>0</v>
      </c>
      <c r="K240" s="317" t="n">
        <f aca="false">F240*D240</f>
        <v>0</v>
      </c>
      <c r="L240" s="317" t="n">
        <f aca="false">D240-K240</f>
        <v>0</v>
      </c>
      <c r="N240" s="45"/>
      <c r="O240" s="45"/>
    </row>
    <row r="241" customFormat="false" ht="12.75" hidden="false" customHeight="false" outlineLevel="2" collapsed="false">
      <c r="A241" s="316"/>
      <c r="B241" s="569" t="str">
        <f aca="false">'Plant Configuration'!C280</f>
        <v>Freight</v>
      </c>
      <c r="C241" s="44"/>
      <c r="D241" s="578" t="n">
        <f aca="false">IF($O$7=6,0,HLOOKUP($D$5,Plant_Configuration,'Plant Configuration'!A280,FALSE()))+IF($R$7=6,0,HLOOKUP($E$5,Plant_Configuration,'Plant Configuration'!A280,FALSE()))+IF($U$7=6,0,HLOOKUP($F$5,Plant_Configuration,'Plant Configuration'!A280,FALSE()))</f>
        <v>0</v>
      </c>
      <c r="E241" s="342" t="n">
        <v>0.25</v>
      </c>
      <c r="F241" s="566" t="n">
        <v>1</v>
      </c>
      <c r="H241" s="316" t="s">
        <v>1038</v>
      </c>
      <c r="I241" s="567" t="n">
        <f aca="false">D241-J241</f>
        <v>0</v>
      </c>
      <c r="J241" s="567" t="n">
        <f aca="false">E241*D241</f>
        <v>0</v>
      </c>
      <c r="K241" s="317" t="n">
        <f aca="false">F241*D241</f>
        <v>0</v>
      </c>
      <c r="L241" s="317" t="n">
        <f aca="false">D241-K241</f>
        <v>0</v>
      </c>
      <c r="N241" s="45"/>
      <c r="O241" s="45"/>
    </row>
    <row r="242" customFormat="false" ht="12.75" hidden="false" customHeight="false" outlineLevel="2" collapsed="false">
      <c r="A242" s="316"/>
      <c r="B242" s="569" t="str">
        <f aca="false">'Plant Configuration'!C281</f>
        <v>Other</v>
      </c>
      <c r="C242" s="44"/>
      <c r="D242" s="578" t="n">
        <f aca="false">IF($O$7=6,0,HLOOKUP($D$5,Plant_Configuration,'Plant Configuration'!A281,FALSE()))+IF($R$7=6,0,HLOOKUP($E$5,Plant_Configuration,'Plant Configuration'!A281,FALSE()))+IF($U$7=6,0,HLOOKUP($F$5,Plant_Configuration,'Plant Configuration'!A281,FALSE()))</f>
        <v>0</v>
      </c>
      <c r="E242" s="342" t="n">
        <v>0.25</v>
      </c>
      <c r="F242" s="566" t="n">
        <v>1</v>
      </c>
      <c r="H242" s="316"/>
      <c r="I242" s="567" t="n">
        <f aca="false">D242-J242</f>
        <v>0</v>
      </c>
      <c r="J242" s="567" t="n">
        <f aca="false">E242*D242</f>
        <v>0</v>
      </c>
      <c r="K242" s="317"/>
      <c r="L242" s="317"/>
      <c r="N242" s="45"/>
      <c r="O242" s="45"/>
    </row>
    <row r="243" customFormat="false" ht="12.75" hidden="false" customHeight="false" outlineLevel="1" collapsed="false">
      <c r="A243" s="579"/>
      <c r="B243" s="570" t="s">
        <v>431</v>
      </c>
      <c r="C243" s="0"/>
      <c r="D243" s="571" t="n">
        <f aca="false">SUBTOTAL(9,D226:D242)</f>
        <v>369641.289126316</v>
      </c>
      <c r="E243" s="572"/>
      <c r="F243" s="573"/>
      <c r="H243" s="316" t="s">
        <v>1103</v>
      </c>
      <c r="I243" s="571" t="n">
        <f aca="false">SUBTOTAL(9,I226:I242)</f>
        <v>277230.966844737</v>
      </c>
      <c r="J243" s="571" t="n">
        <f aca="false">SUBTOTAL(9,J226:J242)</f>
        <v>92410.3222815791</v>
      </c>
      <c r="K243" s="571" t="n">
        <f aca="false">SUBTOTAL(9,K226:K242)</f>
        <v>369641.289126316</v>
      </c>
      <c r="L243" s="571" t="n">
        <f aca="false">SUBTOTAL(9,L226:L242)</f>
        <v>0</v>
      </c>
      <c r="M243" s="561"/>
      <c r="N243" s="561"/>
      <c r="O243" s="561"/>
      <c r="P243" s="561"/>
      <c r="Q243" s="561"/>
      <c r="R243" s="561"/>
      <c r="S243" s="561"/>
      <c r="T243" s="561"/>
      <c r="U243" s="561"/>
      <c r="V243" s="561"/>
      <c r="W243" s="561"/>
      <c r="X243" s="561"/>
      <c r="Y243" s="561"/>
      <c r="Z243" s="561"/>
      <c r="AA243" s="561"/>
      <c r="AB243" s="561"/>
      <c r="AC243" s="561"/>
      <c r="AD243" s="561"/>
      <c r="AE243" s="561"/>
      <c r="AF243" s="561"/>
      <c r="AG243" s="561"/>
      <c r="AH243" s="561"/>
      <c r="AI243" s="561"/>
      <c r="AJ243" s="561"/>
      <c r="AK243" s="561"/>
      <c r="AL243" s="561"/>
      <c r="AM243" s="561"/>
      <c r="AN243" s="561"/>
      <c r="AO243" s="561"/>
      <c r="AP243" s="561"/>
      <c r="AQ243" s="561"/>
      <c r="AR243" s="561"/>
      <c r="AS243" s="561"/>
      <c r="AT243" s="561"/>
      <c r="AU243" s="561"/>
      <c r="AV243" s="561"/>
      <c r="AW243" s="561"/>
      <c r="AX243" s="561"/>
      <c r="AY243" s="561"/>
      <c r="AZ243" s="561"/>
      <c r="BA243" s="561"/>
      <c r="BB243" s="561"/>
      <c r="BC243" s="561"/>
      <c r="BD243" s="561"/>
      <c r="BE243" s="561"/>
      <c r="BF243" s="561"/>
      <c r="BG243" s="561"/>
      <c r="BH243" s="561"/>
      <c r="BI243" s="561"/>
      <c r="BJ243" s="561"/>
      <c r="BK243" s="561"/>
      <c r="BL243" s="561"/>
      <c r="BM243" s="561"/>
      <c r="BN243" s="561"/>
      <c r="BO243" s="561"/>
      <c r="BP243" s="561"/>
      <c r="BQ243" s="561"/>
      <c r="BR243" s="561"/>
      <c r="BS243" s="561"/>
      <c r="BT243" s="561"/>
      <c r="BU243" s="561"/>
      <c r="BV243" s="561"/>
      <c r="BW243" s="561"/>
      <c r="BX243" s="561"/>
      <c r="BY243" s="561"/>
      <c r="BZ243" s="561"/>
      <c r="CA243" s="561"/>
      <c r="CB243" s="561"/>
      <c r="CC243" s="561"/>
      <c r="CD243" s="561"/>
      <c r="CE243" s="561"/>
      <c r="CF243" s="561"/>
      <c r="CG243" s="561"/>
      <c r="CH243" s="561"/>
      <c r="CI243" s="561"/>
      <c r="CJ243" s="561"/>
      <c r="CK243" s="561"/>
      <c r="CL243" s="561"/>
      <c r="CM243" s="561"/>
      <c r="CN243" s="561"/>
      <c r="CO243" s="561"/>
      <c r="CP243" s="561"/>
      <c r="CQ243" s="561"/>
      <c r="CR243" s="561"/>
      <c r="CS243" s="561"/>
      <c r="CT243" s="561"/>
      <c r="CU243" s="561"/>
      <c r="CV243" s="561"/>
      <c r="CW243" s="561"/>
      <c r="CX243" s="561"/>
      <c r="CY243" s="561"/>
      <c r="CZ243" s="561"/>
      <c r="DA243" s="561"/>
      <c r="DB243" s="561"/>
      <c r="DC243" s="561"/>
      <c r="DD243" s="561"/>
      <c r="DE243" s="561"/>
      <c r="DF243" s="561"/>
      <c r="DG243" s="561"/>
      <c r="DH243" s="561"/>
      <c r="DI243" s="561"/>
      <c r="DJ243" s="561"/>
      <c r="DK243" s="561"/>
      <c r="DL243" s="561"/>
      <c r="DM243" s="561"/>
      <c r="DN243" s="561"/>
      <c r="DO243" s="561"/>
      <c r="DP243" s="561"/>
      <c r="DQ243" s="561"/>
      <c r="DR243" s="561"/>
      <c r="DS243" s="561"/>
      <c r="DT243" s="561"/>
      <c r="DU243" s="561"/>
      <c r="DV243" s="561"/>
      <c r="DW243" s="561"/>
      <c r="DX243" s="561"/>
      <c r="DY243" s="561"/>
      <c r="DZ243" s="561"/>
      <c r="EA243" s="561"/>
      <c r="EB243" s="561"/>
      <c r="EC243" s="561"/>
      <c r="ED243" s="561"/>
      <c r="EE243" s="561"/>
      <c r="EF243" s="561"/>
      <c r="EG243" s="561"/>
      <c r="EH243" s="561"/>
      <c r="EI243" s="561"/>
      <c r="EJ243" s="561"/>
      <c r="EK243" s="561"/>
      <c r="EL243" s="561"/>
      <c r="EM243" s="561"/>
      <c r="EN243" s="561"/>
      <c r="EO243" s="561"/>
      <c r="EP243" s="561"/>
      <c r="EQ243" s="561"/>
      <c r="ER243" s="561"/>
      <c r="ES243" s="561"/>
      <c r="ET243" s="561"/>
      <c r="EU243" s="561"/>
      <c r="EV243" s="561"/>
      <c r="EW243" s="561"/>
      <c r="EX243" s="561"/>
      <c r="EY243" s="561"/>
      <c r="EZ243" s="561"/>
      <c r="FA243" s="561"/>
      <c r="FB243" s="561"/>
      <c r="FC243" s="561"/>
      <c r="FD243" s="561"/>
      <c r="FE243" s="561"/>
      <c r="FF243" s="561"/>
      <c r="FG243" s="561"/>
      <c r="FH243" s="561"/>
      <c r="FI243" s="561"/>
      <c r="FJ243" s="561"/>
      <c r="FK243" s="561"/>
      <c r="FL243" s="561"/>
      <c r="FM243" s="561"/>
      <c r="FN243" s="561"/>
      <c r="FO243" s="561"/>
      <c r="FP243" s="561"/>
      <c r="FQ243" s="561"/>
      <c r="FR243" s="561"/>
      <c r="FS243" s="561"/>
      <c r="FT243" s="561"/>
      <c r="FU243" s="561"/>
      <c r="FV243" s="561"/>
      <c r="FW243" s="561"/>
      <c r="FX243" s="561"/>
      <c r="FY243" s="561"/>
      <c r="FZ243" s="561"/>
      <c r="GA243" s="561"/>
      <c r="GB243" s="561"/>
      <c r="GC243" s="561"/>
      <c r="GD243" s="561"/>
      <c r="GE243" s="561"/>
      <c r="GF243" s="561"/>
      <c r="GG243" s="561"/>
      <c r="GH243" s="561"/>
      <c r="GI243" s="561"/>
      <c r="GJ243" s="561"/>
      <c r="GK243" s="561"/>
      <c r="GL243" s="561"/>
      <c r="GM243" s="561"/>
      <c r="GN243" s="561"/>
      <c r="GO243" s="561"/>
      <c r="GP243" s="561"/>
      <c r="GQ243" s="561"/>
      <c r="GR243" s="561"/>
      <c r="GS243" s="561"/>
      <c r="GT243" s="561"/>
      <c r="GU243" s="561"/>
      <c r="GV243" s="561"/>
      <c r="GW243" s="561"/>
      <c r="GX243" s="561"/>
      <c r="GY243" s="561"/>
      <c r="GZ243" s="561"/>
      <c r="HA243" s="561"/>
      <c r="HB243" s="561"/>
      <c r="HC243" s="561"/>
      <c r="HD243" s="561"/>
      <c r="HE243" s="561"/>
      <c r="HF243" s="561"/>
      <c r="HG243" s="561"/>
      <c r="HH243" s="561"/>
      <c r="HI243" s="561"/>
      <c r="HJ243" s="561"/>
      <c r="HK243" s="561"/>
      <c r="HL243" s="561"/>
      <c r="HM243" s="561"/>
      <c r="HN243" s="561"/>
      <c r="HO243" s="561"/>
      <c r="HP243" s="561"/>
      <c r="HQ243" s="561"/>
      <c r="HR243" s="561"/>
      <c r="HS243" s="561"/>
      <c r="HT243" s="561"/>
      <c r="HU243" s="561"/>
      <c r="HV243" s="561"/>
      <c r="HW243" s="561"/>
      <c r="HX243" s="561"/>
      <c r="HY243" s="561"/>
      <c r="HZ243" s="561"/>
      <c r="IA243" s="561"/>
      <c r="IB243" s="561"/>
      <c r="IC243" s="561"/>
      <c r="ID243" s="561"/>
      <c r="IE243" s="561"/>
      <c r="IF243" s="561"/>
      <c r="IG243" s="561"/>
      <c r="IH243" s="561"/>
      <c r="II243" s="561"/>
      <c r="IJ243" s="561"/>
      <c r="IK243" s="561"/>
      <c r="IL243" s="561"/>
      <c r="IM243" s="561"/>
      <c r="IN243" s="561"/>
      <c r="IO243" s="561"/>
      <c r="IP243" s="561"/>
      <c r="IQ243" s="561"/>
      <c r="IR243" s="561"/>
      <c r="IS243" s="561"/>
      <c r="IT243" s="561"/>
      <c r="IU243" s="561"/>
      <c r="IV243" s="561"/>
      <c r="IW243" s="561"/>
    </row>
    <row r="244" customFormat="false" ht="12.75" hidden="false" customHeight="false" outlineLevel="1" collapsed="false">
      <c r="A244" s="574" t="s">
        <v>1104</v>
      </c>
      <c r="B244" s="575"/>
      <c r="C244" s="576"/>
      <c r="D244" s="554"/>
      <c r="E244" s="555"/>
      <c r="F244" s="556"/>
      <c r="H244" s="577"/>
      <c r="I244" s="558" t="n">
        <f aca="false">IF(D252=0,0,I252/D252)</f>
        <v>1</v>
      </c>
      <c r="J244" s="558" t="n">
        <f aca="false">1-I244</f>
        <v>0</v>
      </c>
      <c r="K244" s="559" t="n">
        <f aca="false">IF(D252=0,0,K252/D252)</f>
        <v>1</v>
      </c>
      <c r="L244" s="559" t="n">
        <f aca="false">1-K244</f>
        <v>0</v>
      </c>
      <c r="M244" s="561"/>
      <c r="N244" s="561"/>
      <c r="O244" s="561"/>
      <c r="P244" s="561"/>
      <c r="Q244" s="561"/>
      <c r="R244" s="561"/>
      <c r="S244" s="561"/>
      <c r="T244" s="561"/>
      <c r="U244" s="561"/>
      <c r="V244" s="561"/>
      <c r="W244" s="561"/>
      <c r="X244" s="561"/>
      <c r="Y244" s="561"/>
      <c r="Z244" s="561"/>
      <c r="AA244" s="561"/>
      <c r="AB244" s="561"/>
      <c r="AC244" s="561"/>
      <c r="AD244" s="561"/>
      <c r="AE244" s="561"/>
      <c r="AF244" s="561"/>
      <c r="AG244" s="561"/>
      <c r="AH244" s="561"/>
      <c r="AI244" s="561"/>
      <c r="AJ244" s="561"/>
      <c r="AK244" s="561"/>
      <c r="AL244" s="561"/>
      <c r="AM244" s="561"/>
      <c r="AN244" s="561"/>
      <c r="AO244" s="561"/>
      <c r="AP244" s="561"/>
      <c r="AQ244" s="561"/>
      <c r="AR244" s="561"/>
      <c r="AS244" s="561"/>
      <c r="AT244" s="561"/>
      <c r="AU244" s="561"/>
      <c r="AV244" s="561"/>
      <c r="AW244" s="561"/>
      <c r="AX244" s="561"/>
      <c r="AY244" s="561"/>
      <c r="AZ244" s="561"/>
      <c r="BA244" s="561"/>
      <c r="BB244" s="561"/>
      <c r="BC244" s="561"/>
      <c r="BD244" s="561"/>
      <c r="BE244" s="561"/>
      <c r="BF244" s="561"/>
      <c r="BG244" s="561"/>
      <c r="BH244" s="561"/>
      <c r="BI244" s="561"/>
      <c r="BJ244" s="561"/>
      <c r="BK244" s="561"/>
      <c r="BL244" s="561"/>
      <c r="BM244" s="561"/>
      <c r="BN244" s="561"/>
      <c r="BO244" s="561"/>
      <c r="BP244" s="561"/>
      <c r="BQ244" s="561"/>
      <c r="BR244" s="561"/>
      <c r="BS244" s="561"/>
      <c r="BT244" s="561"/>
      <c r="BU244" s="561"/>
      <c r="BV244" s="561"/>
      <c r="BW244" s="561"/>
      <c r="BX244" s="561"/>
      <c r="BY244" s="561"/>
      <c r="BZ244" s="561"/>
      <c r="CA244" s="561"/>
      <c r="CB244" s="561"/>
      <c r="CC244" s="561"/>
      <c r="CD244" s="561"/>
      <c r="CE244" s="561"/>
      <c r="CF244" s="561"/>
      <c r="CG244" s="561"/>
      <c r="CH244" s="561"/>
      <c r="CI244" s="561"/>
      <c r="CJ244" s="561"/>
      <c r="CK244" s="561"/>
      <c r="CL244" s="561"/>
      <c r="CM244" s="561"/>
      <c r="CN244" s="561"/>
      <c r="CO244" s="561"/>
      <c r="CP244" s="561"/>
      <c r="CQ244" s="561"/>
      <c r="CR244" s="561"/>
      <c r="CS244" s="561"/>
      <c r="CT244" s="561"/>
      <c r="CU244" s="561"/>
      <c r="CV244" s="561"/>
      <c r="CW244" s="561"/>
      <c r="CX244" s="561"/>
      <c r="CY244" s="561"/>
      <c r="CZ244" s="561"/>
      <c r="DA244" s="561"/>
      <c r="DB244" s="561"/>
      <c r="DC244" s="561"/>
      <c r="DD244" s="561"/>
      <c r="DE244" s="561"/>
      <c r="DF244" s="561"/>
      <c r="DG244" s="561"/>
      <c r="DH244" s="561"/>
      <c r="DI244" s="561"/>
      <c r="DJ244" s="561"/>
      <c r="DK244" s="561"/>
      <c r="DL244" s="561"/>
      <c r="DM244" s="561"/>
      <c r="DN244" s="561"/>
      <c r="DO244" s="561"/>
      <c r="DP244" s="561"/>
      <c r="DQ244" s="561"/>
      <c r="DR244" s="561"/>
      <c r="DS244" s="561"/>
      <c r="DT244" s="561"/>
      <c r="DU244" s="561"/>
      <c r="DV244" s="561"/>
      <c r="DW244" s="561"/>
      <c r="DX244" s="561"/>
      <c r="DY244" s="561"/>
      <c r="DZ244" s="561"/>
      <c r="EA244" s="561"/>
      <c r="EB244" s="561"/>
      <c r="EC244" s="561"/>
      <c r="ED244" s="561"/>
      <c r="EE244" s="561"/>
      <c r="EF244" s="561"/>
      <c r="EG244" s="561"/>
      <c r="EH244" s="561"/>
      <c r="EI244" s="561"/>
      <c r="EJ244" s="561"/>
      <c r="EK244" s="561"/>
      <c r="EL244" s="561"/>
      <c r="EM244" s="561"/>
      <c r="EN244" s="561"/>
      <c r="EO244" s="561"/>
      <c r="EP244" s="561"/>
      <c r="EQ244" s="561"/>
      <c r="ER244" s="561"/>
      <c r="ES244" s="561"/>
      <c r="ET244" s="561"/>
      <c r="EU244" s="561"/>
      <c r="EV244" s="561"/>
      <c r="EW244" s="561"/>
      <c r="EX244" s="561"/>
      <c r="EY244" s="561"/>
      <c r="EZ244" s="561"/>
      <c r="FA244" s="561"/>
      <c r="FB244" s="561"/>
      <c r="FC244" s="561"/>
      <c r="FD244" s="561"/>
      <c r="FE244" s="561"/>
      <c r="FF244" s="561"/>
      <c r="FG244" s="561"/>
      <c r="FH244" s="561"/>
      <c r="FI244" s="561"/>
      <c r="FJ244" s="561"/>
      <c r="FK244" s="561"/>
      <c r="FL244" s="561"/>
      <c r="FM244" s="561"/>
      <c r="FN244" s="561"/>
      <c r="FO244" s="561"/>
      <c r="FP244" s="561"/>
      <c r="FQ244" s="561"/>
      <c r="FR244" s="561"/>
      <c r="FS244" s="561"/>
      <c r="FT244" s="561"/>
      <c r="FU244" s="561"/>
      <c r="FV244" s="561"/>
      <c r="FW244" s="561"/>
      <c r="FX244" s="561"/>
      <c r="FY244" s="561"/>
      <c r="FZ244" s="561"/>
      <c r="GA244" s="561"/>
      <c r="GB244" s="561"/>
      <c r="GC244" s="561"/>
      <c r="GD244" s="561"/>
      <c r="GE244" s="561"/>
      <c r="GF244" s="561"/>
      <c r="GG244" s="561"/>
      <c r="GH244" s="561"/>
      <c r="GI244" s="561"/>
      <c r="GJ244" s="561"/>
      <c r="GK244" s="561"/>
      <c r="GL244" s="561"/>
      <c r="GM244" s="561"/>
      <c r="GN244" s="561"/>
      <c r="GO244" s="561"/>
      <c r="GP244" s="561"/>
      <c r="GQ244" s="561"/>
      <c r="GR244" s="561"/>
      <c r="GS244" s="561"/>
      <c r="GT244" s="561"/>
      <c r="GU244" s="561"/>
      <c r="GV244" s="561"/>
      <c r="GW244" s="561"/>
      <c r="GX244" s="561"/>
      <c r="GY244" s="561"/>
      <c r="GZ244" s="561"/>
      <c r="HA244" s="561"/>
      <c r="HB244" s="561"/>
      <c r="HC244" s="561"/>
      <c r="HD244" s="561"/>
      <c r="HE244" s="561"/>
      <c r="HF244" s="561"/>
      <c r="HG244" s="561"/>
      <c r="HH244" s="561"/>
      <c r="HI244" s="561"/>
      <c r="HJ244" s="561"/>
      <c r="HK244" s="561"/>
      <c r="HL244" s="561"/>
      <c r="HM244" s="561"/>
      <c r="HN244" s="561"/>
      <c r="HO244" s="561"/>
      <c r="HP244" s="561"/>
      <c r="HQ244" s="561"/>
      <c r="HR244" s="561"/>
      <c r="HS244" s="561"/>
      <c r="HT244" s="561"/>
      <c r="HU244" s="561"/>
      <c r="HV244" s="561"/>
      <c r="HW244" s="561"/>
      <c r="HX244" s="561"/>
      <c r="HY244" s="561"/>
      <c r="HZ244" s="561"/>
      <c r="IA244" s="561"/>
      <c r="IB244" s="561"/>
      <c r="IC244" s="561"/>
      <c r="ID244" s="561"/>
      <c r="IE244" s="561"/>
      <c r="IF244" s="561"/>
      <c r="IG244" s="561"/>
      <c r="IH244" s="561"/>
      <c r="II244" s="561"/>
      <c r="IJ244" s="561"/>
      <c r="IK244" s="561"/>
      <c r="IL244" s="561"/>
      <c r="IM244" s="561"/>
      <c r="IN244" s="561"/>
      <c r="IO244" s="561"/>
      <c r="IP244" s="561"/>
      <c r="IQ244" s="561"/>
      <c r="IR244" s="561"/>
      <c r="IS244" s="561"/>
      <c r="IT244" s="561"/>
      <c r="IU244" s="561"/>
      <c r="IV244" s="561"/>
      <c r="IW244" s="561"/>
    </row>
    <row r="245" customFormat="false" ht="12.75" hidden="false" customHeight="false" outlineLevel="2" collapsed="false">
      <c r="A245" s="316"/>
      <c r="B245" s="569" t="str">
        <f aca="false">'Plant Configuration'!C284</f>
        <v>Basis/Justification:</v>
      </c>
      <c r="C245" s="44"/>
      <c r="D245" s="578" t="n">
        <f aca="false">IF($O$7=6,0,HLOOKUP($D$5,Plant_Configuration,'Plant Configuration'!A284,FALSE()))+IF($R$7=6,0,HLOOKUP($E$5,Plant_Configuration,'Plant Configuration'!A284,FALSE()))+IF($U$7=6,0,HLOOKUP($F$5,Plant_Configuration,'Plant Configuration'!A284,FALSE()))</f>
        <v>1160000</v>
      </c>
      <c r="E245" s="342" t="n">
        <v>0</v>
      </c>
      <c r="F245" s="566" t="n">
        <v>1</v>
      </c>
      <c r="H245" s="316" t="s">
        <v>1105</v>
      </c>
      <c r="I245" s="567" t="n">
        <f aca="false">D245-J245</f>
        <v>1160000</v>
      </c>
      <c r="J245" s="567" t="n">
        <f aca="false">E245*D245</f>
        <v>0</v>
      </c>
      <c r="K245" s="317" t="n">
        <f aca="false">F245*D245</f>
        <v>1160000</v>
      </c>
      <c r="L245" s="317" t="n">
        <f aca="false">D245-K245</f>
        <v>0</v>
      </c>
      <c r="N245" s="45"/>
      <c r="O245" s="45"/>
    </row>
    <row r="246" customFormat="false" ht="12.75" hidden="false" customHeight="false" outlineLevel="2" collapsed="false">
      <c r="A246" s="316"/>
      <c r="B246" s="569"/>
      <c r="C246" s="44"/>
      <c r="D246" s="578" t="n">
        <f aca="false">IF($O$7=6,0,HLOOKUP($D$5,Plant_Configuration,'Plant Configuration'!A285,FALSE()))+IF($R$7=6,0,HLOOKUP($E$5,Plant_Configuration,'Plant Configuration'!A285,FALSE()))+IF($U$7=6,0,HLOOKUP($F$5,Plant_Configuration,'Plant Configuration'!A285,FALSE()))</f>
        <v>0</v>
      </c>
      <c r="E246" s="342" t="n">
        <v>0</v>
      </c>
      <c r="F246" s="566" t="n">
        <v>1</v>
      </c>
      <c r="H246" s="316" t="s">
        <v>1106</v>
      </c>
      <c r="I246" s="567" t="n">
        <f aca="false">D246-J246</f>
        <v>0</v>
      </c>
      <c r="J246" s="567" t="n">
        <f aca="false">E246*D246</f>
        <v>0</v>
      </c>
      <c r="K246" s="317"/>
      <c r="L246" s="317"/>
      <c r="N246" s="45"/>
      <c r="O246" s="45"/>
    </row>
    <row r="247" customFormat="false" ht="12.75" hidden="false" customHeight="false" outlineLevel="2" collapsed="false">
      <c r="A247" s="316" t="s">
        <v>1107</v>
      </c>
      <c r="B247" s="569"/>
      <c r="C247" s="44"/>
      <c r="D247" s="578" t="n">
        <f aca="false">IF($O$7=6,0,HLOOKUP($D$5,Plant_Configuration,'Plant Configuration'!A286,FALSE()))+IF($R$7=6,0,HLOOKUP($E$5,Plant_Configuration,'Plant Configuration'!A286,FALSE()))+IF($U$7=6,0,HLOOKUP($F$5,Plant_Configuration,'Plant Configuration'!A286,FALSE()))</f>
        <v>0</v>
      </c>
      <c r="E247" s="342" t="n">
        <v>0</v>
      </c>
      <c r="F247" s="566" t="n">
        <v>1</v>
      </c>
      <c r="H247" s="316" t="s">
        <v>1108</v>
      </c>
      <c r="I247" s="567" t="n">
        <f aca="false">D247-J247</f>
        <v>0</v>
      </c>
      <c r="J247" s="567" t="n">
        <f aca="false">E247*D247</f>
        <v>0</v>
      </c>
      <c r="K247" s="317"/>
      <c r="L247" s="317"/>
      <c r="N247" s="45"/>
      <c r="O247" s="45"/>
    </row>
    <row r="248" customFormat="false" ht="12.75" hidden="false" customHeight="false" outlineLevel="2" collapsed="false">
      <c r="A248" s="316" t="s">
        <v>1109</v>
      </c>
      <c r="B248" s="569"/>
      <c r="C248" s="44"/>
      <c r="D248" s="578" t="n">
        <f aca="false">IF($O$7=6,0,HLOOKUP($D$5,Plant_Configuration,'Plant Configuration'!A287,FALSE()))+IF($R$7=6,0,HLOOKUP($E$5,Plant_Configuration,'Plant Configuration'!A287,FALSE()))+IF($U$7=6,0,HLOOKUP($F$5,Plant_Configuration,'Plant Configuration'!A287,FALSE()))</f>
        <v>0</v>
      </c>
      <c r="E248" s="342" t="n">
        <v>0</v>
      </c>
      <c r="F248" s="566" t="n">
        <v>1</v>
      </c>
      <c r="H248" s="316" t="s">
        <v>1110</v>
      </c>
      <c r="I248" s="567" t="n">
        <f aca="false">D248-J248</f>
        <v>0</v>
      </c>
      <c r="J248" s="567" t="n">
        <f aca="false">E248*D248</f>
        <v>0</v>
      </c>
      <c r="K248" s="317"/>
      <c r="L248" s="317"/>
      <c r="N248" s="45"/>
      <c r="O248" s="45"/>
    </row>
    <row r="249" customFormat="false" ht="12.75" hidden="false" customHeight="false" outlineLevel="2" collapsed="false">
      <c r="A249" s="316" t="s">
        <v>1111</v>
      </c>
      <c r="B249" s="569"/>
      <c r="C249" s="44"/>
      <c r="D249" s="578" t="n">
        <f aca="false">IF($O$7=6,0,HLOOKUP($D$5,Plant_Configuration,'Plant Configuration'!A288,FALSE()))+IF($R$7=6,0,HLOOKUP($E$5,Plant_Configuration,'Plant Configuration'!A288,FALSE()))+IF($U$7=6,0,HLOOKUP($F$5,Plant_Configuration,'Plant Configuration'!A288,FALSE()))</f>
        <v>0</v>
      </c>
      <c r="E249" s="342" t="n">
        <v>0</v>
      </c>
      <c r="F249" s="566" t="n">
        <v>1</v>
      </c>
      <c r="H249" s="316" t="s">
        <v>1112</v>
      </c>
      <c r="I249" s="567" t="n">
        <f aca="false">D249-J249</f>
        <v>0</v>
      </c>
      <c r="J249" s="567" t="n">
        <f aca="false">E249*D249</f>
        <v>0</v>
      </c>
      <c r="K249" s="317"/>
      <c r="L249" s="317"/>
      <c r="N249" s="45"/>
      <c r="O249" s="45"/>
    </row>
    <row r="250" customFormat="false" ht="12.75" hidden="false" customHeight="false" outlineLevel="2" collapsed="false">
      <c r="A250" s="316"/>
      <c r="B250" s="569"/>
      <c r="C250" s="44"/>
      <c r="D250" s="578" t="n">
        <f aca="false">IF($O$7=6,0,HLOOKUP($D$5,Plant_Configuration,'Plant Configuration'!A289,FALSE()))+IF($R$7=6,0,HLOOKUP($E$5,Plant_Configuration,'Plant Configuration'!A289,FALSE()))+IF($U$7=6,0,HLOOKUP($F$5,Plant_Configuration,'Plant Configuration'!A289,FALSE()))</f>
        <v>0</v>
      </c>
      <c r="E250" s="342" t="n">
        <v>0</v>
      </c>
      <c r="F250" s="566" t="n">
        <v>1</v>
      </c>
      <c r="H250" s="316" t="s">
        <v>1113</v>
      </c>
      <c r="I250" s="567" t="n">
        <f aca="false">D250-J250</f>
        <v>0</v>
      </c>
      <c r="J250" s="567" t="n">
        <f aca="false">E250*D250</f>
        <v>0</v>
      </c>
      <c r="K250" s="317"/>
      <c r="L250" s="317"/>
      <c r="N250" s="45"/>
      <c r="O250" s="45"/>
    </row>
    <row r="251" customFormat="false" ht="12.75" hidden="false" customHeight="false" outlineLevel="2" collapsed="false">
      <c r="A251" s="316"/>
      <c r="B251" s="569"/>
      <c r="C251" s="44"/>
      <c r="D251" s="578" t="n">
        <f aca="false">IF($O$7=6,0,HLOOKUP($D$5,Plant_Configuration,'Plant Configuration'!A290,FALSE()))+IF($R$7=6,0,HLOOKUP($E$5,Plant_Configuration,'Plant Configuration'!A290,FALSE()))+IF($U$7=6,0,HLOOKUP($F$5,Plant_Configuration,'Plant Configuration'!A290,FALSE()))</f>
        <v>0</v>
      </c>
      <c r="E251" s="342" t="n">
        <v>0</v>
      </c>
      <c r="F251" s="566" t="n">
        <v>1</v>
      </c>
      <c r="H251" s="316" t="s">
        <v>1114</v>
      </c>
      <c r="I251" s="567" t="n">
        <f aca="false">D251-J251</f>
        <v>0</v>
      </c>
      <c r="J251" s="567" t="n">
        <f aca="false">E251*D251</f>
        <v>0</v>
      </c>
      <c r="K251" s="317"/>
      <c r="L251" s="317"/>
      <c r="N251" s="45"/>
      <c r="O251" s="45"/>
    </row>
    <row r="252" customFormat="false" ht="12.75" hidden="false" customHeight="false" outlineLevel="1" collapsed="false">
      <c r="A252" s="316"/>
      <c r="B252" s="570" t="s">
        <v>431</v>
      </c>
      <c r="C252" s="0"/>
      <c r="D252" s="571" t="n">
        <f aca="false">SUBTOTAL(9,D245:D247)</f>
        <v>1160000</v>
      </c>
      <c r="E252" s="572"/>
      <c r="F252" s="573"/>
      <c r="H252" s="316"/>
      <c r="I252" s="571" t="n">
        <f aca="false">SUBTOTAL(9,I245)</f>
        <v>1160000</v>
      </c>
      <c r="J252" s="571" t="n">
        <f aca="false">SUBTOTAL(9,J245)</f>
        <v>0</v>
      </c>
      <c r="K252" s="571" t="n">
        <f aca="false">SUBTOTAL(9,K245)</f>
        <v>1160000</v>
      </c>
      <c r="L252" s="571" t="n">
        <f aca="false">SUBTOTAL(9,L245)</f>
        <v>0</v>
      </c>
      <c r="M252" s="561"/>
      <c r="N252" s="561"/>
      <c r="O252" s="561"/>
      <c r="P252" s="561"/>
      <c r="Q252" s="561"/>
      <c r="R252" s="561"/>
      <c r="S252" s="561"/>
      <c r="T252" s="561"/>
      <c r="U252" s="561"/>
      <c r="V252" s="561"/>
      <c r="W252" s="561"/>
      <c r="X252" s="561"/>
      <c r="Y252" s="561"/>
      <c r="Z252" s="561"/>
      <c r="AA252" s="561"/>
      <c r="AB252" s="561"/>
      <c r="AC252" s="561"/>
      <c r="AD252" s="561"/>
      <c r="AE252" s="561"/>
      <c r="AF252" s="561"/>
      <c r="AG252" s="561"/>
      <c r="AH252" s="561"/>
      <c r="AI252" s="561"/>
      <c r="AJ252" s="561"/>
      <c r="AK252" s="561"/>
      <c r="AL252" s="561"/>
      <c r="AM252" s="561"/>
      <c r="AN252" s="561"/>
      <c r="AO252" s="561"/>
      <c r="AP252" s="561"/>
      <c r="AQ252" s="561"/>
      <c r="AR252" s="561"/>
      <c r="AS252" s="561"/>
      <c r="AT252" s="561"/>
      <c r="AU252" s="561"/>
      <c r="AV252" s="561"/>
      <c r="AW252" s="561"/>
      <c r="AX252" s="561"/>
      <c r="AY252" s="561"/>
      <c r="AZ252" s="561"/>
      <c r="BA252" s="561"/>
      <c r="BB252" s="561"/>
      <c r="BC252" s="561"/>
      <c r="BD252" s="561"/>
      <c r="BE252" s="561"/>
      <c r="BF252" s="561"/>
      <c r="BG252" s="561"/>
      <c r="BH252" s="561"/>
      <c r="BI252" s="561"/>
      <c r="BJ252" s="561"/>
      <c r="BK252" s="561"/>
      <c r="BL252" s="561"/>
      <c r="BM252" s="561"/>
      <c r="BN252" s="561"/>
      <c r="BO252" s="561"/>
      <c r="BP252" s="561"/>
      <c r="BQ252" s="561"/>
      <c r="BR252" s="561"/>
      <c r="BS252" s="561"/>
      <c r="BT252" s="561"/>
      <c r="BU252" s="561"/>
      <c r="BV252" s="561"/>
      <c r="BW252" s="561"/>
      <c r="BX252" s="561"/>
      <c r="BY252" s="561"/>
      <c r="BZ252" s="561"/>
      <c r="CA252" s="561"/>
      <c r="CB252" s="561"/>
      <c r="CC252" s="561"/>
      <c r="CD252" s="561"/>
      <c r="CE252" s="561"/>
      <c r="CF252" s="561"/>
      <c r="CG252" s="561"/>
      <c r="CH252" s="561"/>
      <c r="CI252" s="561"/>
      <c r="CJ252" s="561"/>
      <c r="CK252" s="561"/>
      <c r="CL252" s="561"/>
      <c r="CM252" s="561"/>
      <c r="CN252" s="561"/>
      <c r="CO252" s="561"/>
      <c r="CP252" s="561"/>
      <c r="CQ252" s="561"/>
      <c r="CR252" s="561"/>
      <c r="CS252" s="561"/>
      <c r="CT252" s="561"/>
      <c r="CU252" s="561"/>
      <c r="CV252" s="561"/>
      <c r="CW252" s="561"/>
      <c r="CX252" s="561"/>
      <c r="CY252" s="561"/>
      <c r="CZ252" s="561"/>
      <c r="DA252" s="561"/>
      <c r="DB252" s="561"/>
      <c r="DC252" s="561"/>
      <c r="DD252" s="561"/>
      <c r="DE252" s="561"/>
      <c r="DF252" s="561"/>
      <c r="DG252" s="561"/>
      <c r="DH252" s="561"/>
      <c r="DI252" s="561"/>
      <c r="DJ252" s="561"/>
      <c r="DK252" s="561"/>
      <c r="DL252" s="561"/>
      <c r="DM252" s="561"/>
      <c r="DN252" s="561"/>
      <c r="DO252" s="561"/>
      <c r="DP252" s="561"/>
      <c r="DQ252" s="561"/>
      <c r="DR252" s="561"/>
      <c r="DS252" s="561"/>
      <c r="DT252" s="561"/>
      <c r="DU252" s="561"/>
      <c r="DV252" s="561"/>
      <c r="DW252" s="561"/>
      <c r="DX252" s="561"/>
      <c r="DY252" s="561"/>
      <c r="DZ252" s="561"/>
      <c r="EA252" s="561"/>
      <c r="EB252" s="561"/>
      <c r="EC252" s="561"/>
      <c r="ED252" s="561"/>
      <c r="EE252" s="561"/>
      <c r="EF252" s="561"/>
      <c r="EG252" s="561"/>
      <c r="EH252" s="561"/>
      <c r="EI252" s="561"/>
      <c r="EJ252" s="561"/>
      <c r="EK252" s="561"/>
      <c r="EL252" s="561"/>
      <c r="EM252" s="561"/>
      <c r="EN252" s="561"/>
      <c r="EO252" s="561"/>
      <c r="EP252" s="561"/>
      <c r="EQ252" s="561"/>
      <c r="ER252" s="561"/>
      <c r="ES252" s="561"/>
      <c r="ET252" s="561"/>
      <c r="EU252" s="561"/>
      <c r="EV252" s="561"/>
      <c r="EW252" s="561"/>
      <c r="EX252" s="561"/>
      <c r="EY252" s="561"/>
      <c r="EZ252" s="561"/>
      <c r="FA252" s="561"/>
      <c r="FB252" s="561"/>
      <c r="FC252" s="561"/>
      <c r="FD252" s="561"/>
      <c r="FE252" s="561"/>
      <c r="FF252" s="561"/>
      <c r="FG252" s="561"/>
      <c r="FH252" s="561"/>
      <c r="FI252" s="561"/>
      <c r="FJ252" s="561"/>
      <c r="FK252" s="561"/>
      <c r="FL252" s="561"/>
      <c r="FM252" s="561"/>
      <c r="FN252" s="561"/>
      <c r="FO252" s="561"/>
      <c r="FP252" s="561"/>
      <c r="FQ252" s="561"/>
      <c r="FR252" s="561"/>
      <c r="FS252" s="561"/>
      <c r="FT252" s="561"/>
      <c r="FU252" s="561"/>
      <c r="FV252" s="561"/>
      <c r="FW252" s="561"/>
      <c r="FX252" s="561"/>
      <c r="FY252" s="561"/>
      <c r="FZ252" s="561"/>
      <c r="GA252" s="561"/>
      <c r="GB252" s="561"/>
      <c r="GC252" s="561"/>
      <c r="GD252" s="561"/>
      <c r="GE252" s="561"/>
      <c r="GF252" s="561"/>
      <c r="GG252" s="561"/>
      <c r="GH252" s="561"/>
      <c r="GI252" s="561"/>
      <c r="GJ252" s="561"/>
      <c r="GK252" s="561"/>
      <c r="GL252" s="561"/>
      <c r="GM252" s="561"/>
      <c r="GN252" s="561"/>
      <c r="GO252" s="561"/>
      <c r="GP252" s="561"/>
      <c r="GQ252" s="561"/>
      <c r="GR252" s="561"/>
      <c r="GS252" s="561"/>
      <c r="GT252" s="561"/>
      <c r="GU252" s="561"/>
      <c r="GV252" s="561"/>
      <c r="GW252" s="561"/>
      <c r="GX252" s="561"/>
      <c r="GY252" s="561"/>
      <c r="GZ252" s="561"/>
      <c r="HA252" s="561"/>
      <c r="HB252" s="561"/>
      <c r="HC252" s="561"/>
      <c r="HD252" s="561"/>
      <c r="HE252" s="561"/>
      <c r="HF252" s="561"/>
      <c r="HG252" s="561"/>
      <c r="HH252" s="561"/>
      <c r="HI252" s="561"/>
      <c r="HJ252" s="561"/>
      <c r="HK252" s="561"/>
      <c r="HL252" s="561"/>
      <c r="HM252" s="561"/>
      <c r="HN252" s="561"/>
      <c r="HO252" s="561"/>
      <c r="HP252" s="561"/>
      <c r="HQ252" s="561"/>
      <c r="HR252" s="561"/>
      <c r="HS252" s="561"/>
      <c r="HT252" s="561"/>
      <c r="HU252" s="561"/>
      <c r="HV252" s="561"/>
      <c r="HW252" s="561"/>
      <c r="HX252" s="561"/>
      <c r="HY252" s="561"/>
      <c r="HZ252" s="561"/>
      <c r="IA252" s="561"/>
      <c r="IB252" s="561"/>
      <c r="IC252" s="561"/>
      <c r="ID252" s="561"/>
      <c r="IE252" s="561"/>
      <c r="IF252" s="561"/>
      <c r="IG252" s="561"/>
      <c r="IH252" s="561"/>
      <c r="II252" s="561"/>
      <c r="IJ252" s="561"/>
      <c r="IK252" s="561"/>
      <c r="IL252" s="561"/>
      <c r="IM252" s="561"/>
      <c r="IN252" s="561"/>
      <c r="IO252" s="561"/>
      <c r="IP252" s="561"/>
      <c r="IQ252" s="561"/>
      <c r="IR252" s="561"/>
      <c r="IS252" s="561"/>
      <c r="IT252" s="561"/>
      <c r="IU252" s="561"/>
      <c r="IV252" s="561"/>
      <c r="IW252" s="561"/>
    </row>
    <row r="253" customFormat="false" ht="12.75" hidden="false" customHeight="false" outlineLevel="1" collapsed="false">
      <c r="A253" s="592" t="s">
        <v>150</v>
      </c>
      <c r="B253" s="575"/>
      <c r="C253" s="593"/>
      <c r="D253" s="554"/>
      <c r="E253" s="555"/>
      <c r="F253" s="556"/>
      <c r="H253" s="594"/>
      <c r="I253" s="595" t="n">
        <v>1</v>
      </c>
      <c r="J253" s="595" t="n">
        <f aca="false">1-I253</f>
        <v>0</v>
      </c>
      <c r="K253" s="595" t="n">
        <f aca="false">K258/D258</f>
        <v>0</v>
      </c>
      <c r="L253" s="595" t="n">
        <f aca="false">1-K253</f>
        <v>1</v>
      </c>
      <c r="M253" s="561"/>
      <c r="N253" s="561"/>
      <c r="O253" s="561"/>
      <c r="P253" s="561"/>
      <c r="Q253" s="561"/>
      <c r="R253" s="561"/>
      <c r="S253" s="561"/>
      <c r="T253" s="561"/>
      <c r="U253" s="561"/>
      <c r="V253" s="561"/>
      <c r="W253" s="561"/>
      <c r="X253" s="561"/>
      <c r="Y253" s="561"/>
      <c r="Z253" s="561"/>
      <c r="AA253" s="561"/>
      <c r="AB253" s="561"/>
      <c r="AC253" s="561"/>
      <c r="AD253" s="561"/>
      <c r="AE253" s="561"/>
      <c r="AF253" s="561"/>
      <c r="AG253" s="561"/>
      <c r="AH253" s="561"/>
      <c r="AI253" s="561"/>
      <c r="AJ253" s="561"/>
      <c r="AK253" s="561"/>
      <c r="AL253" s="561"/>
      <c r="AM253" s="561"/>
      <c r="AN253" s="561"/>
      <c r="AO253" s="561"/>
      <c r="AP253" s="561"/>
      <c r="AQ253" s="561"/>
      <c r="AR253" s="561"/>
      <c r="AS253" s="561"/>
      <c r="AT253" s="561"/>
      <c r="AU253" s="561"/>
      <c r="AV253" s="561"/>
      <c r="AW253" s="561"/>
      <c r="AX253" s="561"/>
      <c r="AY253" s="561"/>
      <c r="AZ253" s="561"/>
      <c r="BA253" s="561"/>
      <c r="BB253" s="561"/>
      <c r="BC253" s="561"/>
      <c r="BD253" s="561"/>
      <c r="BE253" s="561"/>
      <c r="BF253" s="561"/>
      <c r="BG253" s="561"/>
      <c r="BH253" s="561"/>
      <c r="BI253" s="561"/>
      <c r="BJ253" s="561"/>
      <c r="BK253" s="561"/>
      <c r="BL253" s="561"/>
      <c r="BM253" s="561"/>
      <c r="BN253" s="561"/>
      <c r="BO253" s="561"/>
      <c r="BP253" s="561"/>
      <c r="BQ253" s="561"/>
      <c r="BR253" s="561"/>
      <c r="BS253" s="561"/>
      <c r="BT253" s="561"/>
      <c r="BU253" s="561"/>
      <c r="BV253" s="561"/>
      <c r="BW253" s="561"/>
      <c r="BX253" s="561"/>
      <c r="BY253" s="561"/>
      <c r="BZ253" s="561"/>
      <c r="CA253" s="561"/>
      <c r="CB253" s="561"/>
      <c r="CC253" s="561"/>
      <c r="CD253" s="561"/>
      <c r="CE253" s="561"/>
      <c r="CF253" s="561"/>
      <c r="CG253" s="561"/>
      <c r="CH253" s="561"/>
      <c r="CI253" s="561"/>
      <c r="CJ253" s="561"/>
      <c r="CK253" s="561"/>
      <c r="CL253" s="561"/>
      <c r="CM253" s="561"/>
      <c r="CN253" s="561"/>
      <c r="CO253" s="561"/>
      <c r="CP253" s="561"/>
      <c r="CQ253" s="561"/>
      <c r="CR253" s="561"/>
      <c r="CS253" s="561"/>
      <c r="CT253" s="561"/>
      <c r="CU253" s="561"/>
      <c r="CV253" s="561"/>
      <c r="CW253" s="561"/>
      <c r="CX253" s="561"/>
      <c r="CY253" s="561"/>
      <c r="CZ253" s="561"/>
      <c r="DA253" s="561"/>
      <c r="DB253" s="561"/>
      <c r="DC253" s="561"/>
      <c r="DD253" s="561"/>
      <c r="DE253" s="561"/>
      <c r="DF253" s="561"/>
      <c r="DG253" s="561"/>
      <c r="DH253" s="561"/>
      <c r="DI253" s="561"/>
      <c r="DJ253" s="561"/>
      <c r="DK253" s="561"/>
      <c r="DL253" s="561"/>
      <c r="DM253" s="561"/>
      <c r="DN253" s="561"/>
      <c r="DO253" s="561"/>
      <c r="DP253" s="561"/>
      <c r="DQ253" s="561"/>
      <c r="DR253" s="561"/>
      <c r="DS253" s="561"/>
      <c r="DT253" s="561"/>
      <c r="DU253" s="561"/>
      <c r="DV253" s="561"/>
      <c r="DW253" s="561"/>
      <c r="DX253" s="561"/>
      <c r="DY253" s="561"/>
      <c r="DZ253" s="561"/>
      <c r="EA253" s="561"/>
      <c r="EB253" s="561"/>
      <c r="EC253" s="561"/>
      <c r="ED253" s="561"/>
      <c r="EE253" s="561"/>
      <c r="EF253" s="561"/>
      <c r="EG253" s="561"/>
      <c r="EH253" s="561"/>
      <c r="EI253" s="561"/>
      <c r="EJ253" s="561"/>
      <c r="EK253" s="561"/>
      <c r="EL253" s="561"/>
      <c r="EM253" s="561"/>
      <c r="EN253" s="561"/>
      <c r="EO253" s="561"/>
      <c r="EP253" s="561"/>
      <c r="EQ253" s="561"/>
      <c r="ER253" s="561"/>
      <c r="ES253" s="561"/>
      <c r="ET253" s="561"/>
      <c r="EU253" s="561"/>
      <c r="EV253" s="561"/>
      <c r="EW253" s="561"/>
      <c r="EX253" s="561"/>
      <c r="EY253" s="561"/>
      <c r="EZ253" s="561"/>
      <c r="FA253" s="561"/>
      <c r="FB253" s="561"/>
      <c r="FC253" s="561"/>
      <c r="FD253" s="561"/>
      <c r="FE253" s="561"/>
      <c r="FF253" s="561"/>
      <c r="FG253" s="561"/>
      <c r="FH253" s="561"/>
      <c r="FI253" s="561"/>
      <c r="FJ253" s="561"/>
      <c r="FK253" s="561"/>
      <c r="FL253" s="561"/>
      <c r="FM253" s="561"/>
      <c r="FN253" s="561"/>
      <c r="FO253" s="561"/>
      <c r="FP253" s="561"/>
      <c r="FQ253" s="561"/>
      <c r="FR253" s="561"/>
      <c r="FS253" s="561"/>
      <c r="FT253" s="561"/>
      <c r="FU253" s="561"/>
      <c r="FV253" s="561"/>
      <c r="FW253" s="561"/>
      <c r="FX253" s="561"/>
      <c r="FY253" s="561"/>
      <c r="FZ253" s="561"/>
      <c r="GA253" s="561"/>
      <c r="GB253" s="561"/>
      <c r="GC253" s="561"/>
      <c r="GD253" s="561"/>
      <c r="GE253" s="561"/>
      <c r="GF253" s="561"/>
      <c r="GG253" s="561"/>
      <c r="GH253" s="561"/>
      <c r="GI253" s="561"/>
      <c r="GJ253" s="561"/>
      <c r="GK253" s="561"/>
      <c r="GL253" s="561"/>
      <c r="GM253" s="561"/>
      <c r="GN253" s="561"/>
      <c r="GO253" s="561"/>
      <c r="GP253" s="561"/>
      <c r="GQ253" s="561"/>
      <c r="GR253" s="561"/>
      <c r="GS253" s="561"/>
      <c r="GT253" s="561"/>
      <c r="GU253" s="561"/>
      <c r="GV253" s="561"/>
      <c r="GW253" s="561"/>
      <c r="GX253" s="561"/>
      <c r="GY253" s="561"/>
      <c r="GZ253" s="561"/>
      <c r="HA253" s="561"/>
      <c r="HB253" s="561"/>
      <c r="HC253" s="561"/>
      <c r="HD253" s="561"/>
      <c r="HE253" s="561"/>
      <c r="HF253" s="561"/>
      <c r="HG253" s="561"/>
      <c r="HH253" s="561"/>
      <c r="HI253" s="561"/>
      <c r="HJ253" s="561"/>
      <c r="HK253" s="561"/>
      <c r="HL253" s="561"/>
      <c r="HM253" s="561"/>
      <c r="HN253" s="561"/>
      <c r="HO253" s="561"/>
      <c r="HP253" s="561"/>
      <c r="HQ253" s="561"/>
      <c r="HR253" s="561"/>
      <c r="HS253" s="561"/>
      <c r="HT253" s="561"/>
      <c r="HU253" s="561"/>
      <c r="HV253" s="561"/>
      <c r="HW253" s="561"/>
      <c r="HX253" s="561"/>
      <c r="HY253" s="561"/>
      <c r="HZ253" s="561"/>
      <c r="IA253" s="561"/>
      <c r="IB253" s="561"/>
      <c r="IC253" s="561"/>
      <c r="ID253" s="561"/>
      <c r="IE253" s="561"/>
      <c r="IF253" s="561"/>
      <c r="IG253" s="561"/>
      <c r="IH253" s="561"/>
      <c r="II253" s="561"/>
      <c r="IJ253" s="561"/>
      <c r="IK253" s="561"/>
      <c r="IL253" s="561"/>
      <c r="IM253" s="561"/>
      <c r="IN253" s="561"/>
      <c r="IO253" s="561"/>
      <c r="IP253" s="561"/>
      <c r="IQ253" s="561"/>
      <c r="IR253" s="561"/>
      <c r="IS253" s="561"/>
      <c r="IT253" s="561"/>
      <c r="IU253" s="561"/>
      <c r="IV253" s="561"/>
      <c r="IW253" s="561"/>
    </row>
    <row r="254" customFormat="false" ht="12.75" hidden="false" customHeight="false" outlineLevel="2" collapsed="false">
      <c r="A254" s="325"/>
      <c r="B254" s="569" t="str">
        <f aca="false">'Plant Configuration'!C293</f>
        <v>Basis/Justification:</v>
      </c>
      <c r="C254" s="336"/>
      <c r="D254" s="578" t="n">
        <f aca="false">IF($O$7=6,0,HLOOKUP($D$5,Plant_Configuration,'Plant Configuration'!A293,FALSE()))+IF($R$7=6,0,HLOOKUP($E$5,Plant_Configuration,'Plant Configuration'!A293,FALSE()))+IF($U$7=6,0,HLOOKUP($F$5,Plant_Configuration,'Plant Configuration'!A293,FALSE()))</f>
        <v>0</v>
      </c>
      <c r="E254" s="342" t="n">
        <v>0</v>
      </c>
      <c r="F254" s="566" t="n">
        <v>1</v>
      </c>
      <c r="H254" s="325" t="s">
        <v>817</v>
      </c>
      <c r="I254" s="567" t="n">
        <f aca="false">D254-J254</f>
        <v>0</v>
      </c>
      <c r="J254" s="567" t="n">
        <f aca="false">E254*D254</f>
        <v>0</v>
      </c>
      <c r="K254" s="317" t="n">
        <v>0</v>
      </c>
      <c r="L254" s="317" t="n">
        <f aca="false">D254-K254</f>
        <v>0</v>
      </c>
      <c r="N254" s="45"/>
      <c r="O254" s="45"/>
    </row>
    <row r="255" customFormat="false" ht="12.75" hidden="false" customHeight="false" outlineLevel="2" collapsed="false">
      <c r="A255" s="325"/>
      <c r="B255" s="569" t="str">
        <f aca="false">'Plant Configuration'!C294</f>
        <v>Annual % of Payroll &amp; Burden based </v>
      </c>
      <c r="C255" s="336"/>
      <c r="D255" s="578" t="n">
        <f aca="false">IF($O$7=6,0,HLOOKUP($D$5,Plant_Configuration,'Plant Configuration'!A294,FALSE()))+IF($R$7=6,0,HLOOKUP($E$5,Plant_Configuration,'Plant Configuration'!A294,FALSE()))+IF($U$7=6,0,HLOOKUP($F$5,Plant_Configuration,'Plant Configuration'!A294,FALSE()))</f>
        <v>4.1</v>
      </c>
      <c r="E255" s="342" t="n">
        <v>0</v>
      </c>
      <c r="F255" s="566" t="n">
        <v>1</v>
      </c>
      <c r="H255" s="325" t="s">
        <v>819</v>
      </c>
      <c r="I255" s="567" t="n">
        <f aca="false">D255-J255</f>
        <v>4.1</v>
      </c>
      <c r="J255" s="567" t="n">
        <f aca="false">E255*D255</f>
        <v>0</v>
      </c>
      <c r="K255" s="317"/>
      <c r="L255" s="317"/>
      <c r="N255" s="45"/>
      <c r="O255" s="45"/>
    </row>
    <row r="256" customFormat="false" ht="12.75" hidden="false" customHeight="false" outlineLevel="2" collapsed="false">
      <c r="A256" s="325"/>
      <c r="B256" s="569" t="str">
        <f aca="false">'Plant Configuration'!C295</f>
        <v>on country type (10%, 15%, 20%)</v>
      </c>
      <c r="C256" s="336"/>
      <c r="D256" s="578" t="n">
        <f aca="false">IF($O$7=6,0,HLOOKUP($D$5,Plant_Configuration,'Plant Configuration'!A295,FALSE()))+IF($R$7=6,0,HLOOKUP($E$5,Plant_Configuration,'Plant Configuration'!A295,FALSE()))+IF($U$7=6,0,HLOOKUP($F$5,Plant_Configuration,'Plant Configuration'!A295,FALSE()))</f>
        <v>0</v>
      </c>
      <c r="E256" s="342" t="n">
        <v>0</v>
      </c>
      <c r="F256" s="566" t="n">
        <v>1</v>
      </c>
      <c r="H256" s="325" t="s">
        <v>821</v>
      </c>
      <c r="I256" s="567" t="n">
        <f aca="false">D256-J256</f>
        <v>0</v>
      </c>
      <c r="J256" s="567" t="n">
        <f aca="false">E256*D256</f>
        <v>0</v>
      </c>
      <c r="K256" s="317"/>
      <c r="L256" s="317"/>
      <c r="N256" s="45"/>
      <c r="O256" s="45"/>
    </row>
    <row r="257" customFormat="false" ht="12.75" hidden="false" customHeight="false" outlineLevel="2" collapsed="false">
      <c r="A257" s="325"/>
      <c r="B257" s="569" t="n">
        <f aca="false">'Plant Configuration'!C296</f>
        <v>0</v>
      </c>
      <c r="C257" s="326"/>
      <c r="D257" s="578" t="n">
        <f aca="false">IF($O$7=6,0,HLOOKUP($D$5,Plant_Configuration,'Plant Configuration'!A296,FALSE()))+IF($R$7=6,0,HLOOKUP($E$5,Plant_Configuration,'Plant Configuration'!A296,FALSE()))+IF($U$7=6,0,HLOOKUP($F$5,Plant_Configuration,'Plant Configuration'!A296,FALSE()))</f>
        <v>0</v>
      </c>
      <c r="E257" s="342" t="n">
        <v>0</v>
      </c>
      <c r="F257" s="566" t="n">
        <v>1</v>
      </c>
      <c r="H257" s="325"/>
      <c r="I257" s="567" t="n">
        <f aca="false">D257-J257</f>
        <v>0</v>
      </c>
      <c r="J257" s="567" t="n">
        <f aca="false">E257*D257</f>
        <v>0</v>
      </c>
      <c r="K257" s="317"/>
      <c r="L257" s="317"/>
      <c r="N257" s="45"/>
      <c r="O257" s="45"/>
    </row>
    <row r="258" customFormat="false" ht="12.75" hidden="false" customHeight="false" outlineLevel="1" collapsed="false">
      <c r="A258" s="579"/>
      <c r="B258" s="570" t="s">
        <v>431</v>
      </c>
      <c r="C258" s="0"/>
      <c r="D258" s="596" t="n">
        <f aca="false">SUBTOTAL(9,D254:D257)</f>
        <v>4.1</v>
      </c>
      <c r="E258" s="572"/>
      <c r="F258" s="573"/>
      <c r="H258" s="325" t="s">
        <v>1115</v>
      </c>
      <c r="I258" s="571" t="n">
        <f aca="false">SUBTOTAL(9,I254:I257)</f>
        <v>4.1</v>
      </c>
      <c r="J258" s="571" t="n">
        <f aca="false">SUBTOTAL(9,J254:J257)</f>
        <v>0</v>
      </c>
      <c r="K258" s="571" t="n">
        <f aca="false">SUBTOTAL(9,K254:K257)</f>
        <v>0</v>
      </c>
      <c r="L258" s="571" t="n">
        <f aca="false">SUBTOTAL(9,L254:L257)</f>
        <v>0</v>
      </c>
      <c r="M258" s="561"/>
      <c r="N258" s="561"/>
      <c r="O258" s="561"/>
      <c r="P258" s="561"/>
      <c r="Q258" s="561"/>
      <c r="R258" s="561"/>
      <c r="S258" s="561"/>
      <c r="T258" s="561"/>
      <c r="U258" s="561"/>
      <c r="V258" s="561"/>
      <c r="W258" s="561"/>
      <c r="X258" s="561"/>
      <c r="Y258" s="561"/>
      <c r="Z258" s="561"/>
      <c r="AA258" s="561"/>
      <c r="AB258" s="561"/>
      <c r="AC258" s="561"/>
      <c r="AD258" s="561"/>
      <c r="AE258" s="561"/>
      <c r="AF258" s="561"/>
      <c r="AG258" s="561"/>
      <c r="AH258" s="561"/>
      <c r="AI258" s="561"/>
      <c r="AJ258" s="561"/>
      <c r="AK258" s="561"/>
      <c r="AL258" s="561"/>
      <c r="AM258" s="561"/>
      <c r="AN258" s="561"/>
      <c r="AO258" s="561"/>
      <c r="AP258" s="561"/>
      <c r="AQ258" s="561"/>
      <c r="AR258" s="561"/>
      <c r="AS258" s="561"/>
      <c r="AT258" s="561"/>
      <c r="AU258" s="561"/>
      <c r="AV258" s="561"/>
      <c r="AW258" s="561"/>
      <c r="AX258" s="561"/>
      <c r="AY258" s="561"/>
      <c r="AZ258" s="561"/>
      <c r="BA258" s="561"/>
      <c r="BB258" s="561"/>
      <c r="BC258" s="561"/>
      <c r="BD258" s="561"/>
      <c r="BE258" s="561"/>
      <c r="BF258" s="561"/>
      <c r="BG258" s="561"/>
      <c r="BH258" s="561"/>
      <c r="BI258" s="561"/>
      <c r="BJ258" s="561"/>
      <c r="BK258" s="561"/>
      <c r="BL258" s="561"/>
      <c r="BM258" s="561"/>
      <c r="BN258" s="561"/>
      <c r="BO258" s="561"/>
      <c r="BP258" s="561"/>
      <c r="BQ258" s="561"/>
      <c r="BR258" s="561"/>
      <c r="BS258" s="561"/>
      <c r="BT258" s="561"/>
      <c r="BU258" s="561"/>
      <c r="BV258" s="561"/>
      <c r="BW258" s="561"/>
      <c r="BX258" s="561"/>
      <c r="BY258" s="561"/>
      <c r="BZ258" s="561"/>
      <c r="CA258" s="561"/>
      <c r="CB258" s="561"/>
      <c r="CC258" s="561"/>
      <c r="CD258" s="561"/>
      <c r="CE258" s="561"/>
      <c r="CF258" s="561"/>
      <c r="CG258" s="561"/>
      <c r="CH258" s="561"/>
      <c r="CI258" s="561"/>
      <c r="CJ258" s="561"/>
      <c r="CK258" s="561"/>
      <c r="CL258" s="561"/>
      <c r="CM258" s="561"/>
      <c r="CN258" s="561"/>
      <c r="CO258" s="561"/>
      <c r="CP258" s="561"/>
      <c r="CQ258" s="561"/>
      <c r="CR258" s="561"/>
      <c r="CS258" s="561"/>
      <c r="CT258" s="561"/>
      <c r="CU258" s="561"/>
      <c r="CV258" s="561"/>
      <c r="CW258" s="561"/>
      <c r="CX258" s="561"/>
      <c r="CY258" s="561"/>
      <c r="CZ258" s="561"/>
      <c r="DA258" s="561"/>
      <c r="DB258" s="561"/>
      <c r="DC258" s="561"/>
      <c r="DD258" s="561"/>
      <c r="DE258" s="561"/>
      <c r="DF258" s="561"/>
      <c r="DG258" s="561"/>
      <c r="DH258" s="561"/>
      <c r="DI258" s="561"/>
      <c r="DJ258" s="561"/>
      <c r="DK258" s="561"/>
      <c r="DL258" s="561"/>
      <c r="DM258" s="561"/>
      <c r="DN258" s="561"/>
      <c r="DO258" s="561"/>
      <c r="DP258" s="561"/>
      <c r="DQ258" s="561"/>
      <c r="DR258" s="561"/>
      <c r="DS258" s="561"/>
      <c r="DT258" s="561"/>
      <c r="DU258" s="561"/>
      <c r="DV258" s="561"/>
      <c r="DW258" s="561"/>
      <c r="DX258" s="561"/>
      <c r="DY258" s="561"/>
      <c r="DZ258" s="561"/>
      <c r="EA258" s="561"/>
      <c r="EB258" s="561"/>
      <c r="EC258" s="561"/>
      <c r="ED258" s="561"/>
      <c r="EE258" s="561"/>
      <c r="EF258" s="561"/>
      <c r="EG258" s="561"/>
      <c r="EH258" s="561"/>
      <c r="EI258" s="561"/>
      <c r="EJ258" s="561"/>
      <c r="EK258" s="561"/>
      <c r="EL258" s="561"/>
      <c r="EM258" s="561"/>
      <c r="EN258" s="561"/>
      <c r="EO258" s="561"/>
      <c r="EP258" s="561"/>
      <c r="EQ258" s="561"/>
      <c r="ER258" s="561"/>
      <c r="ES258" s="561"/>
      <c r="ET258" s="561"/>
      <c r="EU258" s="561"/>
      <c r="EV258" s="561"/>
      <c r="EW258" s="561"/>
      <c r="EX258" s="561"/>
      <c r="EY258" s="561"/>
      <c r="EZ258" s="561"/>
      <c r="FA258" s="561"/>
      <c r="FB258" s="561"/>
      <c r="FC258" s="561"/>
      <c r="FD258" s="561"/>
      <c r="FE258" s="561"/>
      <c r="FF258" s="561"/>
      <c r="FG258" s="561"/>
      <c r="FH258" s="561"/>
      <c r="FI258" s="561"/>
      <c r="FJ258" s="561"/>
      <c r="FK258" s="561"/>
      <c r="FL258" s="561"/>
      <c r="FM258" s="561"/>
      <c r="FN258" s="561"/>
      <c r="FO258" s="561"/>
      <c r="FP258" s="561"/>
      <c r="FQ258" s="561"/>
      <c r="FR258" s="561"/>
      <c r="FS258" s="561"/>
      <c r="FT258" s="561"/>
      <c r="FU258" s="561"/>
      <c r="FV258" s="561"/>
      <c r="FW258" s="561"/>
      <c r="FX258" s="561"/>
      <c r="FY258" s="561"/>
      <c r="FZ258" s="561"/>
      <c r="GA258" s="561"/>
      <c r="GB258" s="561"/>
      <c r="GC258" s="561"/>
      <c r="GD258" s="561"/>
      <c r="GE258" s="561"/>
      <c r="GF258" s="561"/>
      <c r="GG258" s="561"/>
      <c r="GH258" s="561"/>
      <c r="GI258" s="561"/>
      <c r="GJ258" s="561"/>
      <c r="GK258" s="561"/>
      <c r="GL258" s="561"/>
      <c r="GM258" s="561"/>
      <c r="GN258" s="561"/>
      <c r="GO258" s="561"/>
      <c r="GP258" s="561"/>
      <c r="GQ258" s="561"/>
      <c r="GR258" s="561"/>
      <c r="GS258" s="561"/>
      <c r="GT258" s="561"/>
      <c r="GU258" s="561"/>
      <c r="GV258" s="561"/>
      <c r="GW258" s="561"/>
      <c r="GX258" s="561"/>
      <c r="GY258" s="561"/>
      <c r="GZ258" s="561"/>
      <c r="HA258" s="561"/>
      <c r="HB258" s="561"/>
      <c r="HC258" s="561"/>
      <c r="HD258" s="561"/>
      <c r="HE258" s="561"/>
      <c r="HF258" s="561"/>
      <c r="HG258" s="561"/>
      <c r="HH258" s="561"/>
      <c r="HI258" s="561"/>
      <c r="HJ258" s="561"/>
      <c r="HK258" s="561"/>
      <c r="HL258" s="561"/>
      <c r="HM258" s="561"/>
      <c r="HN258" s="561"/>
      <c r="HO258" s="561"/>
      <c r="HP258" s="561"/>
      <c r="HQ258" s="561"/>
      <c r="HR258" s="561"/>
      <c r="HS258" s="561"/>
      <c r="HT258" s="561"/>
      <c r="HU258" s="561"/>
      <c r="HV258" s="561"/>
      <c r="HW258" s="561"/>
      <c r="HX258" s="561"/>
      <c r="HY258" s="561"/>
      <c r="HZ258" s="561"/>
      <c r="IA258" s="561"/>
      <c r="IB258" s="561"/>
      <c r="IC258" s="561"/>
      <c r="ID258" s="561"/>
      <c r="IE258" s="561"/>
      <c r="IF258" s="561"/>
      <c r="IG258" s="561"/>
      <c r="IH258" s="561"/>
      <c r="II258" s="561"/>
      <c r="IJ258" s="561"/>
      <c r="IK258" s="561"/>
      <c r="IL258" s="561"/>
      <c r="IM258" s="561"/>
      <c r="IN258" s="561"/>
      <c r="IO258" s="561"/>
      <c r="IP258" s="561"/>
      <c r="IQ258" s="561"/>
      <c r="IR258" s="561"/>
      <c r="IS258" s="561"/>
      <c r="IT258" s="561"/>
      <c r="IU258" s="561"/>
      <c r="IV258" s="561"/>
      <c r="IW258" s="561"/>
    </row>
    <row r="259" customFormat="false" ht="12.75" hidden="false" customHeight="false" outlineLevel="1" collapsed="false">
      <c r="A259" s="574" t="s">
        <v>1116</v>
      </c>
      <c r="B259" s="575"/>
      <c r="C259" s="576"/>
      <c r="D259" s="554"/>
      <c r="E259" s="555"/>
      <c r="F259" s="556"/>
      <c r="H259" s="577"/>
      <c r="I259" s="558" t="n">
        <f aca="false">IF(D265=0,0,I265/D265)</f>
        <v>0.710880147349854</v>
      </c>
      <c r="J259" s="558" t="n">
        <f aca="false">1-I259</f>
        <v>0.289119852650146</v>
      </c>
      <c r="K259" s="559" t="n">
        <f aca="false">IF(D265=0,0,K265/D265)</f>
        <v>1</v>
      </c>
      <c r="L259" s="559" t="n">
        <f aca="false">1-K259</f>
        <v>0</v>
      </c>
      <c r="M259" s="561"/>
      <c r="N259" s="561"/>
      <c r="O259" s="561"/>
      <c r="P259" s="561"/>
      <c r="Q259" s="561"/>
      <c r="R259" s="561"/>
      <c r="S259" s="561"/>
      <c r="T259" s="561"/>
      <c r="U259" s="561"/>
      <c r="V259" s="561"/>
      <c r="W259" s="561"/>
      <c r="X259" s="561"/>
      <c r="Y259" s="561"/>
      <c r="Z259" s="561"/>
      <c r="AA259" s="561"/>
      <c r="AB259" s="561"/>
      <c r="AC259" s="561"/>
      <c r="AD259" s="561"/>
      <c r="AE259" s="561"/>
      <c r="AF259" s="561"/>
      <c r="AG259" s="561"/>
      <c r="AH259" s="561"/>
      <c r="AI259" s="561"/>
      <c r="AJ259" s="561"/>
      <c r="AK259" s="561"/>
      <c r="AL259" s="561"/>
      <c r="AM259" s="561"/>
      <c r="AN259" s="561"/>
      <c r="AO259" s="561"/>
      <c r="AP259" s="561"/>
      <c r="AQ259" s="561"/>
      <c r="AR259" s="561"/>
      <c r="AS259" s="561"/>
      <c r="AT259" s="561"/>
      <c r="AU259" s="561"/>
      <c r="AV259" s="561"/>
      <c r="AW259" s="561"/>
      <c r="AX259" s="561"/>
      <c r="AY259" s="561"/>
      <c r="AZ259" s="561"/>
      <c r="BA259" s="561"/>
      <c r="BB259" s="561"/>
      <c r="BC259" s="561"/>
      <c r="BD259" s="561"/>
      <c r="BE259" s="561"/>
      <c r="BF259" s="561"/>
      <c r="BG259" s="561"/>
      <c r="BH259" s="561"/>
      <c r="BI259" s="561"/>
      <c r="BJ259" s="561"/>
      <c r="BK259" s="561"/>
      <c r="BL259" s="561"/>
      <c r="BM259" s="561"/>
      <c r="BN259" s="561"/>
      <c r="BO259" s="561"/>
      <c r="BP259" s="561"/>
      <c r="BQ259" s="561"/>
      <c r="BR259" s="561"/>
      <c r="BS259" s="561"/>
      <c r="BT259" s="561"/>
      <c r="BU259" s="561"/>
      <c r="BV259" s="561"/>
      <c r="BW259" s="561"/>
      <c r="BX259" s="561"/>
      <c r="BY259" s="561"/>
      <c r="BZ259" s="561"/>
      <c r="CA259" s="561"/>
      <c r="CB259" s="561"/>
      <c r="CC259" s="561"/>
      <c r="CD259" s="561"/>
      <c r="CE259" s="561"/>
      <c r="CF259" s="561"/>
      <c r="CG259" s="561"/>
      <c r="CH259" s="561"/>
      <c r="CI259" s="561"/>
      <c r="CJ259" s="561"/>
      <c r="CK259" s="561"/>
      <c r="CL259" s="561"/>
      <c r="CM259" s="561"/>
      <c r="CN259" s="561"/>
      <c r="CO259" s="561"/>
      <c r="CP259" s="561"/>
      <c r="CQ259" s="561"/>
      <c r="CR259" s="561"/>
      <c r="CS259" s="561"/>
      <c r="CT259" s="561"/>
      <c r="CU259" s="561"/>
      <c r="CV259" s="561"/>
      <c r="CW259" s="561"/>
      <c r="CX259" s="561"/>
      <c r="CY259" s="561"/>
      <c r="CZ259" s="561"/>
      <c r="DA259" s="561"/>
      <c r="DB259" s="561"/>
      <c r="DC259" s="561"/>
      <c r="DD259" s="561"/>
      <c r="DE259" s="561"/>
      <c r="DF259" s="561"/>
      <c r="DG259" s="561"/>
      <c r="DH259" s="561"/>
      <c r="DI259" s="561"/>
      <c r="DJ259" s="561"/>
      <c r="DK259" s="561"/>
      <c r="DL259" s="561"/>
      <c r="DM259" s="561"/>
      <c r="DN259" s="561"/>
      <c r="DO259" s="561"/>
      <c r="DP259" s="561"/>
      <c r="DQ259" s="561"/>
      <c r="DR259" s="561"/>
      <c r="DS259" s="561"/>
      <c r="DT259" s="561"/>
      <c r="DU259" s="561"/>
      <c r="DV259" s="561"/>
      <c r="DW259" s="561"/>
      <c r="DX259" s="561"/>
      <c r="DY259" s="561"/>
      <c r="DZ259" s="561"/>
      <c r="EA259" s="561"/>
      <c r="EB259" s="561"/>
      <c r="EC259" s="561"/>
      <c r="ED259" s="561"/>
      <c r="EE259" s="561"/>
      <c r="EF259" s="561"/>
      <c r="EG259" s="561"/>
      <c r="EH259" s="561"/>
      <c r="EI259" s="561"/>
      <c r="EJ259" s="561"/>
      <c r="EK259" s="561"/>
      <c r="EL259" s="561"/>
      <c r="EM259" s="561"/>
      <c r="EN259" s="561"/>
      <c r="EO259" s="561"/>
      <c r="EP259" s="561"/>
      <c r="EQ259" s="561"/>
      <c r="ER259" s="561"/>
      <c r="ES259" s="561"/>
      <c r="ET259" s="561"/>
      <c r="EU259" s="561"/>
      <c r="EV259" s="561"/>
      <c r="EW259" s="561"/>
      <c r="EX259" s="561"/>
      <c r="EY259" s="561"/>
      <c r="EZ259" s="561"/>
      <c r="FA259" s="561"/>
      <c r="FB259" s="561"/>
      <c r="FC259" s="561"/>
      <c r="FD259" s="561"/>
      <c r="FE259" s="561"/>
      <c r="FF259" s="561"/>
      <c r="FG259" s="561"/>
      <c r="FH259" s="561"/>
      <c r="FI259" s="561"/>
      <c r="FJ259" s="561"/>
      <c r="FK259" s="561"/>
      <c r="FL259" s="561"/>
      <c r="FM259" s="561"/>
      <c r="FN259" s="561"/>
      <c r="FO259" s="561"/>
      <c r="FP259" s="561"/>
      <c r="FQ259" s="561"/>
      <c r="FR259" s="561"/>
      <c r="FS259" s="561"/>
      <c r="FT259" s="561"/>
      <c r="FU259" s="561"/>
      <c r="FV259" s="561"/>
      <c r="FW259" s="561"/>
      <c r="FX259" s="561"/>
      <c r="FY259" s="561"/>
      <c r="FZ259" s="561"/>
      <c r="GA259" s="561"/>
      <c r="GB259" s="561"/>
      <c r="GC259" s="561"/>
      <c r="GD259" s="561"/>
      <c r="GE259" s="561"/>
      <c r="GF259" s="561"/>
      <c r="GG259" s="561"/>
      <c r="GH259" s="561"/>
      <c r="GI259" s="561"/>
      <c r="GJ259" s="561"/>
      <c r="GK259" s="561"/>
      <c r="GL259" s="561"/>
      <c r="GM259" s="561"/>
      <c r="GN259" s="561"/>
      <c r="GO259" s="561"/>
      <c r="GP259" s="561"/>
      <c r="GQ259" s="561"/>
      <c r="GR259" s="561"/>
      <c r="GS259" s="561"/>
      <c r="GT259" s="561"/>
      <c r="GU259" s="561"/>
      <c r="GV259" s="561"/>
      <c r="GW259" s="561"/>
      <c r="GX259" s="561"/>
      <c r="GY259" s="561"/>
      <c r="GZ259" s="561"/>
      <c r="HA259" s="561"/>
      <c r="HB259" s="561"/>
      <c r="HC259" s="561"/>
      <c r="HD259" s="561"/>
      <c r="HE259" s="561"/>
      <c r="HF259" s="561"/>
      <c r="HG259" s="561"/>
      <c r="HH259" s="561"/>
      <c r="HI259" s="561"/>
      <c r="HJ259" s="561"/>
      <c r="HK259" s="561"/>
      <c r="HL259" s="561"/>
      <c r="HM259" s="561"/>
      <c r="HN259" s="561"/>
      <c r="HO259" s="561"/>
      <c r="HP259" s="561"/>
      <c r="HQ259" s="561"/>
      <c r="HR259" s="561"/>
      <c r="HS259" s="561"/>
      <c r="HT259" s="561"/>
      <c r="HU259" s="561"/>
      <c r="HV259" s="561"/>
      <c r="HW259" s="561"/>
      <c r="HX259" s="561"/>
      <c r="HY259" s="561"/>
      <c r="HZ259" s="561"/>
      <c r="IA259" s="561"/>
      <c r="IB259" s="561"/>
      <c r="IC259" s="561"/>
      <c r="ID259" s="561"/>
      <c r="IE259" s="561"/>
      <c r="IF259" s="561"/>
      <c r="IG259" s="561"/>
      <c r="IH259" s="561"/>
      <c r="II259" s="561"/>
      <c r="IJ259" s="561"/>
      <c r="IK259" s="561"/>
      <c r="IL259" s="561"/>
      <c r="IM259" s="561"/>
      <c r="IN259" s="561"/>
      <c r="IO259" s="561"/>
      <c r="IP259" s="561"/>
      <c r="IQ259" s="561"/>
      <c r="IR259" s="561"/>
      <c r="IS259" s="561"/>
      <c r="IT259" s="561"/>
      <c r="IU259" s="561"/>
      <c r="IV259" s="561"/>
      <c r="IW259" s="561"/>
    </row>
    <row r="260" customFormat="false" ht="12.75" hidden="false" customHeight="false" outlineLevel="2" collapsed="false">
      <c r="A260" s="316"/>
      <c r="B260" s="569" t="s">
        <v>1117</v>
      </c>
      <c r="C260" s="44"/>
      <c r="D260" s="578" t="n">
        <f aca="false">IF($O$7=6,0,HLOOKUP($D$5,Plant_Configuration,'Plant Configuration'!A299,FALSE()))+IF($R$7=6,0,HLOOKUP($E$5,Plant_Configuration,'Plant Configuration'!A299,FALSE()))+IF($U$7=6,0,HLOOKUP($F$5,Plant_Configuration,'Plant Configuration'!A299,FALSE()))</f>
        <v>5238380</v>
      </c>
      <c r="E260" s="342" t="n">
        <v>0.95</v>
      </c>
      <c r="F260" s="566" t="n">
        <v>1</v>
      </c>
      <c r="H260" s="316" t="s">
        <v>1118</v>
      </c>
      <c r="I260" s="567" t="n">
        <f aca="false">D260-J260</f>
        <v>261919</v>
      </c>
      <c r="J260" s="567" t="n">
        <f aca="false">E260*D260</f>
        <v>4976461</v>
      </c>
      <c r="K260" s="317" t="n">
        <f aca="false">F260*D260</f>
        <v>5238380</v>
      </c>
      <c r="L260" s="317" t="n">
        <f aca="false">D260-K260</f>
        <v>0</v>
      </c>
      <c r="N260" s="45"/>
      <c r="O260" s="45"/>
    </row>
    <row r="261" customFormat="false" ht="12.75" hidden="false" customHeight="false" outlineLevel="2" collapsed="false">
      <c r="A261" s="316"/>
      <c r="B261" s="569" t="s">
        <v>1119</v>
      </c>
      <c r="C261" s="44"/>
      <c r="D261" s="578" t="n">
        <f aca="false">IF($O$7=6,0,HLOOKUP($D$5,Plant_Configuration,'Plant Configuration'!A300,FALSE()))+IF($R$7=6,0,HLOOKUP($E$5,Plant_Configuration,'Plant Configuration'!A300,FALSE()))+IF($U$7=6,0,HLOOKUP($F$5,Plant_Configuration,'Plant Configuration'!A300,FALSE()))</f>
        <v>100023570.684</v>
      </c>
      <c r="E261" s="342" t="n">
        <v>0</v>
      </c>
      <c r="F261" s="566" t="n">
        <v>1</v>
      </c>
      <c r="H261" s="316" t="s">
        <v>1120</v>
      </c>
      <c r="I261" s="567" t="n">
        <f aca="false">D261-J261</f>
        <v>100023570.684</v>
      </c>
      <c r="J261" s="567" t="n">
        <f aca="false">E261*D261</f>
        <v>0</v>
      </c>
      <c r="K261" s="317" t="n">
        <f aca="false">F261*D261</f>
        <v>100023570.684</v>
      </c>
      <c r="L261" s="317" t="n">
        <f aca="false">D261-K261</f>
        <v>0</v>
      </c>
      <c r="N261" s="45"/>
      <c r="O261" s="45"/>
    </row>
    <row r="262" customFormat="false" ht="12.75" hidden="false" customHeight="false" outlineLevel="2" collapsed="false">
      <c r="A262" s="316"/>
      <c r="B262" s="569" t="s">
        <v>1121</v>
      </c>
      <c r="C262" s="44"/>
      <c r="D262" s="578" t="n">
        <f aca="false">IF($O$7=6,0,HLOOKUP($D$5,Plant_Configuration,'Plant Configuration'!A301,FALSE()))+IF($R$7=6,0,HLOOKUP($E$5,Plant_Configuration,'Plant Configuration'!A301,FALSE()))+IF($U$7=6,0,HLOOKUP($F$5,Plant_Configuration,'Plant Configuration'!A301,FALSE()))</f>
        <v>35810338.4464</v>
      </c>
      <c r="E262" s="342" t="n">
        <v>1</v>
      </c>
      <c r="F262" s="566" t="n">
        <v>1</v>
      </c>
      <c r="H262" s="316" t="s">
        <v>1122</v>
      </c>
      <c r="I262" s="567" t="n">
        <f aca="false">D262-J262</f>
        <v>0</v>
      </c>
      <c r="J262" s="567" t="n">
        <f aca="false">E262*D262</f>
        <v>35810338.4464</v>
      </c>
      <c r="K262" s="317" t="n">
        <f aca="false">F262*D262</f>
        <v>35810338.4464</v>
      </c>
      <c r="L262" s="317" t="n">
        <f aca="false">D262-K262</f>
        <v>0</v>
      </c>
      <c r="N262" s="45"/>
      <c r="O262" s="45"/>
    </row>
    <row r="263" customFormat="false" ht="12.75" hidden="false" customHeight="false" outlineLevel="2" collapsed="false">
      <c r="A263" s="316"/>
      <c r="B263" s="569" t="str">
        <f aca="false">'Plant Configuration'!C302</f>
        <v>total cost (LM 6000)</v>
      </c>
      <c r="C263" s="44"/>
      <c r="D263" s="578" t="n">
        <f aca="false">IF($O$7=6,0,HLOOKUP($D$5,Plant_Configuration,'Plant Configuration'!A302,FALSE()))+IF($R$7=6,0,HLOOKUP($E$5,Plant_Configuration,'Plant Configuration'!A302,FALSE()))+IF($U$7=6,0,HLOOKUP($F$5,Plant_Configuration,'Plant Configuration'!A302,FALSE()))</f>
        <v>0</v>
      </c>
      <c r="E263" s="342" t="n">
        <v>1</v>
      </c>
      <c r="F263" s="566" t="n">
        <v>1</v>
      </c>
      <c r="H263" s="316"/>
      <c r="I263" s="567" t="n">
        <f aca="false">D263-J263</f>
        <v>0</v>
      </c>
      <c r="J263" s="567" t="n">
        <f aca="false">E263*D263</f>
        <v>0</v>
      </c>
      <c r="K263" s="317"/>
      <c r="L263" s="317"/>
      <c r="N263" s="45"/>
      <c r="O263" s="45"/>
    </row>
    <row r="264" customFormat="false" ht="12.75" hidden="false" customHeight="false" outlineLevel="2" collapsed="false">
      <c r="A264" s="316"/>
      <c r="B264" s="569" t="str">
        <f aca="false">'Plant Configuration'!C303</f>
        <v>Other</v>
      </c>
      <c r="C264" s="44"/>
      <c r="D264" s="578" t="n">
        <f aca="false">IF($O$7=6,0,HLOOKUP($D$5,Plant_Configuration,'Plant Configuration'!A303,FALSE()))+IF($R$7=6,0,HLOOKUP($E$5,Plant_Configuration,'Plant Configuration'!A303,FALSE()))+IF($U$7=6,0,HLOOKUP($F$5,Plant_Configuration,'Plant Configuration'!A303,FALSE()))</f>
        <v>0</v>
      </c>
      <c r="E264" s="342" t="n">
        <v>1</v>
      </c>
      <c r="F264" s="566" t="n">
        <v>1</v>
      </c>
      <c r="H264" s="316"/>
      <c r="I264" s="567" t="n">
        <f aca="false">D264-J264</f>
        <v>0</v>
      </c>
      <c r="J264" s="567" t="n">
        <f aca="false">E264*D264</f>
        <v>0</v>
      </c>
      <c r="K264" s="317"/>
      <c r="L264" s="317"/>
      <c r="N264" s="45"/>
      <c r="O264" s="45"/>
    </row>
    <row r="265" customFormat="false" ht="12.75" hidden="false" customHeight="false" outlineLevel="1" collapsed="false">
      <c r="A265" s="316"/>
      <c r="B265" s="570" t="s">
        <v>431</v>
      </c>
      <c r="C265" s="0"/>
      <c r="D265" s="571" t="n">
        <f aca="false">SUBTOTAL(9,D260:D264)</f>
        <v>141072289.1304</v>
      </c>
      <c r="E265" s="572"/>
      <c r="F265" s="573"/>
      <c r="H265" s="316"/>
      <c r="I265" s="571" t="n">
        <f aca="false">SUBTOTAL(9,I260:I264)</f>
        <v>100285489.684</v>
      </c>
      <c r="J265" s="571" t="n">
        <f aca="false">SUBTOTAL(9,J260:J264)</f>
        <v>40786799.4464</v>
      </c>
      <c r="K265" s="571" t="n">
        <f aca="false">SUBTOTAL(9,K260:K264)</f>
        <v>141072289.1304</v>
      </c>
      <c r="L265" s="571" t="n">
        <f aca="false">SUBTOTAL(9,L260:L264)</f>
        <v>0</v>
      </c>
      <c r="M265" s="561"/>
      <c r="N265" s="561"/>
      <c r="O265" s="561"/>
      <c r="P265" s="561"/>
      <c r="Q265" s="561"/>
      <c r="R265" s="561"/>
      <c r="S265" s="561"/>
      <c r="T265" s="561"/>
      <c r="U265" s="561"/>
      <c r="V265" s="561"/>
      <c r="W265" s="561"/>
      <c r="X265" s="561"/>
      <c r="Y265" s="561"/>
      <c r="Z265" s="561"/>
      <c r="AA265" s="561"/>
      <c r="AB265" s="561"/>
      <c r="AC265" s="561"/>
      <c r="AD265" s="561"/>
      <c r="AE265" s="561"/>
      <c r="AF265" s="561"/>
      <c r="AG265" s="561"/>
      <c r="AH265" s="561"/>
      <c r="AI265" s="561"/>
      <c r="AJ265" s="561"/>
      <c r="AK265" s="561"/>
      <c r="AL265" s="561"/>
      <c r="AM265" s="561"/>
      <c r="AN265" s="561"/>
      <c r="AO265" s="561"/>
      <c r="AP265" s="561"/>
      <c r="AQ265" s="561"/>
      <c r="AR265" s="561"/>
      <c r="AS265" s="561"/>
      <c r="AT265" s="561"/>
      <c r="AU265" s="561"/>
      <c r="AV265" s="561"/>
      <c r="AW265" s="561"/>
      <c r="AX265" s="561"/>
      <c r="AY265" s="561"/>
      <c r="AZ265" s="561"/>
      <c r="BA265" s="561"/>
      <c r="BB265" s="561"/>
      <c r="BC265" s="561"/>
      <c r="BD265" s="561"/>
      <c r="BE265" s="561"/>
      <c r="BF265" s="561"/>
      <c r="BG265" s="561"/>
      <c r="BH265" s="561"/>
      <c r="BI265" s="561"/>
      <c r="BJ265" s="561"/>
      <c r="BK265" s="561"/>
      <c r="BL265" s="561"/>
      <c r="BM265" s="561"/>
      <c r="BN265" s="561"/>
      <c r="BO265" s="561"/>
      <c r="BP265" s="561"/>
      <c r="BQ265" s="561"/>
      <c r="BR265" s="561"/>
      <c r="BS265" s="561"/>
      <c r="BT265" s="561"/>
      <c r="BU265" s="561"/>
      <c r="BV265" s="561"/>
      <c r="BW265" s="561"/>
      <c r="BX265" s="561"/>
      <c r="BY265" s="561"/>
      <c r="BZ265" s="561"/>
      <c r="CA265" s="561"/>
      <c r="CB265" s="561"/>
      <c r="CC265" s="561"/>
      <c r="CD265" s="561"/>
      <c r="CE265" s="561"/>
      <c r="CF265" s="561"/>
      <c r="CG265" s="561"/>
      <c r="CH265" s="561"/>
      <c r="CI265" s="561"/>
      <c r="CJ265" s="561"/>
      <c r="CK265" s="561"/>
      <c r="CL265" s="561"/>
      <c r="CM265" s="561"/>
      <c r="CN265" s="561"/>
      <c r="CO265" s="561"/>
      <c r="CP265" s="561"/>
      <c r="CQ265" s="561"/>
      <c r="CR265" s="561"/>
      <c r="CS265" s="561"/>
      <c r="CT265" s="561"/>
      <c r="CU265" s="561"/>
      <c r="CV265" s="561"/>
      <c r="CW265" s="561"/>
      <c r="CX265" s="561"/>
      <c r="CY265" s="561"/>
      <c r="CZ265" s="561"/>
      <c r="DA265" s="561"/>
      <c r="DB265" s="561"/>
      <c r="DC265" s="561"/>
      <c r="DD265" s="561"/>
      <c r="DE265" s="561"/>
      <c r="DF265" s="561"/>
      <c r="DG265" s="561"/>
      <c r="DH265" s="561"/>
      <c r="DI265" s="561"/>
      <c r="DJ265" s="561"/>
      <c r="DK265" s="561"/>
      <c r="DL265" s="561"/>
      <c r="DM265" s="561"/>
      <c r="DN265" s="561"/>
      <c r="DO265" s="561"/>
      <c r="DP265" s="561"/>
      <c r="DQ265" s="561"/>
      <c r="DR265" s="561"/>
      <c r="DS265" s="561"/>
      <c r="DT265" s="561"/>
      <c r="DU265" s="561"/>
      <c r="DV265" s="561"/>
      <c r="DW265" s="561"/>
      <c r="DX265" s="561"/>
      <c r="DY265" s="561"/>
      <c r="DZ265" s="561"/>
      <c r="EA265" s="561"/>
      <c r="EB265" s="561"/>
      <c r="EC265" s="561"/>
      <c r="ED265" s="561"/>
      <c r="EE265" s="561"/>
      <c r="EF265" s="561"/>
      <c r="EG265" s="561"/>
      <c r="EH265" s="561"/>
      <c r="EI265" s="561"/>
      <c r="EJ265" s="561"/>
      <c r="EK265" s="561"/>
      <c r="EL265" s="561"/>
      <c r="EM265" s="561"/>
      <c r="EN265" s="561"/>
      <c r="EO265" s="561"/>
      <c r="EP265" s="561"/>
      <c r="EQ265" s="561"/>
      <c r="ER265" s="561"/>
      <c r="ES265" s="561"/>
      <c r="ET265" s="561"/>
      <c r="EU265" s="561"/>
      <c r="EV265" s="561"/>
      <c r="EW265" s="561"/>
      <c r="EX265" s="561"/>
      <c r="EY265" s="561"/>
      <c r="EZ265" s="561"/>
      <c r="FA265" s="561"/>
      <c r="FB265" s="561"/>
      <c r="FC265" s="561"/>
      <c r="FD265" s="561"/>
      <c r="FE265" s="561"/>
      <c r="FF265" s="561"/>
      <c r="FG265" s="561"/>
      <c r="FH265" s="561"/>
      <c r="FI265" s="561"/>
      <c r="FJ265" s="561"/>
      <c r="FK265" s="561"/>
      <c r="FL265" s="561"/>
      <c r="FM265" s="561"/>
      <c r="FN265" s="561"/>
      <c r="FO265" s="561"/>
      <c r="FP265" s="561"/>
      <c r="FQ265" s="561"/>
      <c r="FR265" s="561"/>
      <c r="FS265" s="561"/>
      <c r="FT265" s="561"/>
      <c r="FU265" s="561"/>
      <c r="FV265" s="561"/>
      <c r="FW265" s="561"/>
      <c r="FX265" s="561"/>
      <c r="FY265" s="561"/>
      <c r="FZ265" s="561"/>
      <c r="GA265" s="561"/>
      <c r="GB265" s="561"/>
      <c r="GC265" s="561"/>
      <c r="GD265" s="561"/>
      <c r="GE265" s="561"/>
      <c r="GF265" s="561"/>
      <c r="GG265" s="561"/>
      <c r="GH265" s="561"/>
      <c r="GI265" s="561"/>
      <c r="GJ265" s="561"/>
      <c r="GK265" s="561"/>
      <c r="GL265" s="561"/>
      <c r="GM265" s="561"/>
      <c r="GN265" s="561"/>
      <c r="GO265" s="561"/>
      <c r="GP265" s="561"/>
      <c r="GQ265" s="561"/>
      <c r="GR265" s="561"/>
      <c r="GS265" s="561"/>
      <c r="GT265" s="561"/>
      <c r="GU265" s="561"/>
      <c r="GV265" s="561"/>
      <c r="GW265" s="561"/>
      <c r="GX265" s="561"/>
      <c r="GY265" s="561"/>
      <c r="GZ265" s="561"/>
      <c r="HA265" s="561"/>
      <c r="HB265" s="561"/>
      <c r="HC265" s="561"/>
      <c r="HD265" s="561"/>
      <c r="HE265" s="561"/>
      <c r="HF265" s="561"/>
      <c r="HG265" s="561"/>
      <c r="HH265" s="561"/>
      <c r="HI265" s="561"/>
      <c r="HJ265" s="561"/>
      <c r="HK265" s="561"/>
      <c r="HL265" s="561"/>
      <c r="HM265" s="561"/>
      <c r="HN265" s="561"/>
      <c r="HO265" s="561"/>
      <c r="HP265" s="561"/>
      <c r="HQ265" s="561"/>
      <c r="HR265" s="561"/>
      <c r="HS265" s="561"/>
      <c r="HT265" s="561"/>
      <c r="HU265" s="561"/>
      <c r="HV265" s="561"/>
      <c r="HW265" s="561"/>
      <c r="HX265" s="561"/>
      <c r="HY265" s="561"/>
      <c r="HZ265" s="561"/>
      <c r="IA265" s="561"/>
      <c r="IB265" s="561"/>
      <c r="IC265" s="561"/>
      <c r="ID265" s="561"/>
      <c r="IE265" s="561"/>
      <c r="IF265" s="561"/>
      <c r="IG265" s="561"/>
      <c r="IH265" s="561"/>
      <c r="II265" s="561"/>
      <c r="IJ265" s="561"/>
      <c r="IK265" s="561"/>
      <c r="IL265" s="561"/>
      <c r="IM265" s="561"/>
      <c r="IN265" s="561"/>
      <c r="IO265" s="561"/>
      <c r="IP265" s="561"/>
      <c r="IQ265" s="561"/>
      <c r="IR265" s="561"/>
      <c r="IS265" s="561"/>
      <c r="IT265" s="561"/>
      <c r="IU265" s="561"/>
      <c r="IV265" s="561"/>
      <c r="IW265" s="561"/>
    </row>
    <row r="266" customFormat="false" ht="12.75" hidden="false" customHeight="false" outlineLevel="1" collapsed="false">
      <c r="A266" s="574" t="s">
        <v>173</v>
      </c>
      <c r="B266" s="575"/>
      <c r="C266" s="576"/>
      <c r="D266" s="554"/>
      <c r="E266" s="555"/>
      <c r="F266" s="556"/>
      <c r="H266" s="577"/>
      <c r="I266" s="558" t="n">
        <f aca="false">IF(D269=0,0,I269/D269)</f>
        <v>0</v>
      </c>
      <c r="J266" s="558" t="n">
        <f aca="false">1-I266</f>
        <v>1</v>
      </c>
      <c r="K266" s="559" t="n">
        <f aca="false">IF(D269=0,0,K269/D269)</f>
        <v>0</v>
      </c>
      <c r="L266" s="559" t="n">
        <f aca="false">1-K266</f>
        <v>1</v>
      </c>
      <c r="M266" s="561"/>
      <c r="N266" s="561"/>
      <c r="O266" s="561"/>
      <c r="P266" s="561"/>
      <c r="Q266" s="561"/>
      <c r="R266" s="561"/>
      <c r="S266" s="561"/>
      <c r="T266" s="561"/>
      <c r="U266" s="561"/>
      <c r="V266" s="561"/>
      <c r="W266" s="561"/>
      <c r="X266" s="561"/>
      <c r="Y266" s="561"/>
      <c r="Z266" s="561"/>
      <c r="AA266" s="561"/>
      <c r="AB266" s="561"/>
      <c r="AC266" s="561"/>
      <c r="AD266" s="561"/>
      <c r="AE266" s="561"/>
      <c r="AF266" s="561"/>
      <c r="AG266" s="561"/>
      <c r="AH266" s="561"/>
      <c r="AI266" s="561"/>
      <c r="AJ266" s="561"/>
      <c r="AK266" s="561"/>
      <c r="AL266" s="561"/>
      <c r="AM266" s="561"/>
      <c r="AN266" s="561"/>
      <c r="AO266" s="561"/>
      <c r="AP266" s="561"/>
      <c r="AQ266" s="561"/>
      <c r="AR266" s="561"/>
      <c r="AS266" s="561"/>
      <c r="AT266" s="561"/>
      <c r="AU266" s="561"/>
      <c r="AV266" s="561"/>
      <c r="AW266" s="561"/>
      <c r="AX266" s="561"/>
      <c r="AY266" s="561"/>
      <c r="AZ266" s="561"/>
      <c r="BA266" s="561"/>
      <c r="BB266" s="561"/>
      <c r="BC266" s="561"/>
      <c r="BD266" s="561"/>
      <c r="BE266" s="561"/>
      <c r="BF266" s="561"/>
      <c r="BG266" s="561"/>
      <c r="BH266" s="561"/>
      <c r="BI266" s="561"/>
      <c r="BJ266" s="561"/>
      <c r="BK266" s="561"/>
      <c r="BL266" s="561"/>
      <c r="BM266" s="561"/>
      <c r="BN266" s="561"/>
      <c r="BO266" s="561"/>
      <c r="BP266" s="561"/>
      <c r="BQ266" s="561"/>
      <c r="BR266" s="561"/>
      <c r="BS266" s="561"/>
      <c r="BT266" s="561"/>
      <c r="BU266" s="561"/>
      <c r="BV266" s="561"/>
      <c r="BW266" s="561"/>
      <c r="BX266" s="561"/>
      <c r="BY266" s="561"/>
      <c r="BZ266" s="561"/>
      <c r="CA266" s="561"/>
      <c r="CB266" s="561"/>
      <c r="CC266" s="561"/>
      <c r="CD266" s="561"/>
      <c r="CE266" s="561"/>
      <c r="CF266" s="561"/>
      <c r="CG266" s="561"/>
      <c r="CH266" s="561"/>
      <c r="CI266" s="561"/>
      <c r="CJ266" s="561"/>
      <c r="CK266" s="561"/>
      <c r="CL266" s="561"/>
      <c r="CM266" s="561"/>
      <c r="CN266" s="561"/>
      <c r="CO266" s="561"/>
      <c r="CP266" s="561"/>
      <c r="CQ266" s="561"/>
      <c r="CR266" s="561"/>
      <c r="CS266" s="561"/>
      <c r="CT266" s="561"/>
      <c r="CU266" s="561"/>
      <c r="CV266" s="561"/>
      <c r="CW266" s="561"/>
      <c r="CX266" s="561"/>
      <c r="CY266" s="561"/>
      <c r="CZ266" s="561"/>
      <c r="DA266" s="561"/>
      <c r="DB266" s="561"/>
      <c r="DC266" s="561"/>
      <c r="DD266" s="561"/>
      <c r="DE266" s="561"/>
      <c r="DF266" s="561"/>
      <c r="DG266" s="561"/>
      <c r="DH266" s="561"/>
      <c r="DI266" s="561"/>
      <c r="DJ266" s="561"/>
      <c r="DK266" s="561"/>
      <c r="DL266" s="561"/>
      <c r="DM266" s="561"/>
      <c r="DN266" s="561"/>
      <c r="DO266" s="561"/>
      <c r="DP266" s="561"/>
      <c r="DQ266" s="561"/>
      <c r="DR266" s="561"/>
      <c r="DS266" s="561"/>
      <c r="DT266" s="561"/>
      <c r="DU266" s="561"/>
      <c r="DV266" s="561"/>
      <c r="DW266" s="561"/>
      <c r="DX266" s="561"/>
      <c r="DY266" s="561"/>
      <c r="DZ266" s="561"/>
      <c r="EA266" s="561"/>
      <c r="EB266" s="561"/>
      <c r="EC266" s="561"/>
      <c r="ED266" s="561"/>
      <c r="EE266" s="561"/>
      <c r="EF266" s="561"/>
      <c r="EG266" s="561"/>
      <c r="EH266" s="561"/>
      <c r="EI266" s="561"/>
      <c r="EJ266" s="561"/>
      <c r="EK266" s="561"/>
      <c r="EL266" s="561"/>
      <c r="EM266" s="561"/>
      <c r="EN266" s="561"/>
      <c r="EO266" s="561"/>
      <c r="EP266" s="561"/>
      <c r="EQ266" s="561"/>
      <c r="ER266" s="561"/>
      <c r="ES266" s="561"/>
      <c r="ET266" s="561"/>
      <c r="EU266" s="561"/>
      <c r="EV266" s="561"/>
      <c r="EW266" s="561"/>
      <c r="EX266" s="561"/>
      <c r="EY266" s="561"/>
      <c r="EZ266" s="561"/>
      <c r="FA266" s="561"/>
      <c r="FB266" s="561"/>
      <c r="FC266" s="561"/>
      <c r="FD266" s="561"/>
      <c r="FE266" s="561"/>
      <c r="FF266" s="561"/>
      <c r="FG266" s="561"/>
      <c r="FH266" s="561"/>
      <c r="FI266" s="561"/>
      <c r="FJ266" s="561"/>
      <c r="FK266" s="561"/>
      <c r="FL266" s="561"/>
      <c r="FM266" s="561"/>
      <c r="FN266" s="561"/>
      <c r="FO266" s="561"/>
      <c r="FP266" s="561"/>
      <c r="FQ266" s="561"/>
      <c r="FR266" s="561"/>
      <c r="FS266" s="561"/>
      <c r="FT266" s="561"/>
      <c r="FU266" s="561"/>
      <c r="FV266" s="561"/>
      <c r="FW266" s="561"/>
      <c r="FX266" s="561"/>
      <c r="FY266" s="561"/>
      <c r="FZ266" s="561"/>
      <c r="GA266" s="561"/>
      <c r="GB266" s="561"/>
      <c r="GC266" s="561"/>
      <c r="GD266" s="561"/>
      <c r="GE266" s="561"/>
      <c r="GF266" s="561"/>
      <c r="GG266" s="561"/>
      <c r="GH266" s="561"/>
      <c r="GI266" s="561"/>
      <c r="GJ266" s="561"/>
      <c r="GK266" s="561"/>
      <c r="GL266" s="561"/>
      <c r="GM266" s="561"/>
      <c r="GN266" s="561"/>
      <c r="GO266" s="561"/>
      <c r="GP266" s="561"/>
      <c r="GQ266" s="561"/>
      <c r="GR266" s="561"/>
      <c r="GS266" s="561"/>
      <c r="GT266" s="561"/>
      <c r="GU266" s="561"/>
      <c r="GV266" s="561"/>
      <c r="GW266" s="561"/>
      <c r="GX266" s="561"/>
      <c r="GY266" s="561"/>
      <c r="GZ266" s="561"/>
      <c r="HA266" s="561"/>
      <c r="HB266" s="561"/>
      <c r="HC266" s="561"/>
      <c r="HD266" s="561"/>
      <c r="HE266" s="561"/>
      <c r="HF266" s="561"/>
      <c r="HG266" s="561"/>
      <c r="HH266" s="561"/>
      <c r="HI266" s="561"/>
      <c r="HJ266" s="561"/>
      <c r="HK266" s="561"/>
      <c r="HL266" s="561"/>
      <c r="HM266" s="561"/>
      <c r="HN266" s="561"/>
      <c r="HO266" s="561"/>
      <c r="HP266" s="561"/>
      <c r="HQ266" s="561"/>
      <c r="HR266" s="561"/>
      <c r="HS266" s="561"/>
      <c r="HT266" s="561"/>
      <c r="HU266" s="561"/>
      <c r="HV266" s="561"/>
      <c r="HW266" s="561"/>
      <c r="HX266" s="561"/>
      <c r="HY266" s="561"/>
      <c r="HZ266" s="561"/>
      <c r="IA266" s="561"/>
      <c r="IB266" s="561"/>
      <c r="IC266" s="561"/>
      <c r="ID266" s="561"/>
      <c r="IE266" s="561"/>
      <c r="IF266" s="561"/>
      <c r="IG266" s="561"/>
      <c r="IH266" s="561"/>
      <c r="II266" s="561"/>
      <c r="IJ266" s="561"/>
      <c r="IK266" s="561"/>
      <c r="IL266" s="561"/>
      <c r="IM266" s="561"/>
      <c r="IN266" s="561"/>
      <c r="IO266" s="561"/>
      <c r="IP266" s="561"/>
      <c r="IQ266" s="561"/>
      <c r="IR266" s="561"/>
      <c r="IS266" s="561"/>
      <c r="IT266" s="561"/>
      <c r="IU266" s="561"/>
      <c r="IV266" s="561"/>
      <c r="IW266" s="561"/>
    </row>
    <row r="267" customFormat="false" ht="12.75" hidden="false" customHeight="false" outlineLevel="2" collapsed="false">
      <c r="A267" s="316"/>
      <c r="B267" s="569" t="str">
        <f aca="false">'Plant Configuration'!C306</f>
        <v>Administrative/Technical</v>
      </c>
      <c r="C267" s="44"/>
      <c r="D267" s="578" t="n">
        <f aca="false">IF($O$7=6,0,HLOOKUP($D$5,Plant_Configuration,'Plant Configuration'!A306,FALSE()))+IF($R$7=6,0,HLOOKUP($E$5,Plant_Configuration,'Plant Configuration'!A306,FALSE()))+IF($U$7=6,0,HLOOKUP($F$5,Plant_Configuration,'Plant Configuration'!A306,FALSE()))</f>
        <v>0</v>
      </c>
      <c r="E267" s="342" t="n">
        <v>0</v>
      </c>
      <c r="F267" s="566" t="n">
        <v>1</v>
      </c>
      <c r="H267" s="316"/>
      <c r="I267" s="567" t="n">
        <f aca="false">D267-J267</f>
        <v>0</v>
      </c>
      <c r="J267" s="567" t="n">
        <f aca="false">E267*D267</f>
        <v>0</v>
      </c>
      <c r="K267" s="317" t="n">
        <f aca="false">F267*D267</f>
        <v>0</v>
      </c>
      <c r="L267" s="317" t="n">
        <f aca="false">D267-K267</f>
        <v>0</v>
      </c>
      <c r="N267" s="45"/>
      <c r="O267" s="45"/>
    </row>
    <row r="268" customFormat="false" ht="12.75" hidden="false" customHeight="false" outlineLevel="2" collapsed="false">
      <c r="A268" s="316"/>
      <c r="B268" s="569" t="str">
        <f aca="false">'Plant Configuration'!C307</f>
        <v>Other</v>
      </c>
      <c r="C268" s="44"/>
      <c r="D268" s="578" t="n">
        <f aca="false">IF($O$7=6,0,HLOOKUP($D$5,Plant_Configuration,'Plant Configuration'!A307,FALSE()))+IF($R$7=6,0,HLOOKUP($E$5,Plant_Configuration,'Plant Configuration'!A307,FALSE()))+IF($U$7=6,0,HLOOKUP($F$5,Plant_Configuration,'Plant Configuration'!A307,FALSE()))</f>
        <v>0</v>
      </c>
      <c r="E268" s="342" t="n">
        <v>0</v>
      </c>
      <c r="F268" s="566" t="n">
        <v>1</v>
      </c>
      <c r="H268" s="316"/>
      <c r="I268" s="567" t="n">
        <f aca="false">D268-J268</f>
        <v>0</v>
      </c>
      <c r="J268" s="567" t="n">
        <f aca="false">E268*D268</f>
        <v>0</v>
      </c>
      <c r="K268" s="317"/>
      <c r="L268" s="317"/>
      <c r="N268" s="45"/>
      <c r="O268" s="45"/>
    </row>
    <row r="269" customFormat="false" ht="12.75" hidden="false" customHeight="false" outlineLevel="1" collapsed="false">
      <c r="A269" s="579"/>
      <c r="B269" s="570" t="s">
        <v>431</v>
      </c>
      <c r="C269" s="0"/>
      <c r="D269" s="571" t="n">
        <f aca="false">SUBTOTAL(9,D267)</f>
        <v>0</v>
      </c>
      <c r="E269" s="572"/>
      <c r="F269" s="573"/>
      <c r="H269" s="316" t="s">
        <v>983</v>
      </c>
      <c r="I269" s="571" t="n">
        <f aca="false">SUBTOTAL(9,I267)</f>
        <v>0</v>
      </c>
      <c r="J269" s="571" t="n">
        <f aca="false">SUBTOTAL(9,J267)</f>
        <v>0</v>
      </c>
      <c r="K269" s="571" t="n">
        <f aca="false">SUBTOTAL(9,K267)</f>
        <v>0</v>
      </c>
      <c r="L269" s="571" t="n">
        <f aca="false">SUBTOTAL(9,L267)</f>
        <v>0</v>
      </c>
      <c r="M269" s="561"/>
      <c r="N269" s="561"/>
      <c r="O269" s="561"/>
      <c r="P269" s="561"/>
      <c r="Q269" s="561"/>
      <c r="R269" s="561"/>
      <c r="S269" s="561"/>
      <c r="T269" s="561"/>
      <c r="U269" s="561"/>
      <c r="V269" s="561"/>
      <c r="W269" s="561"/>
      <c r="X269" s="561"/>
      <c r="Y269" s="561"/>
      <c r="Z269" s="561"/>
      <c r="AA269" s="561"/>
      <c r="AB269" s="561"/>
      <c r="AC269" s="561"/>
      <c r="AD269" s="561"/>
      <c r="AE269" s="561"/>
      <c r="AF269" s="561"/>
      <c r="AG269" s="561"/>
      <c r="AH269" s="561"/>
      <c r="AI269" s="561"/>
      <c r="AJ269" s="561"/>
      <c r="AK269" s="561"/>
      <c r="AL269" s="561"/>
      <c r="AM269" s="561"/>
      <c r="AN269" s="561"/>
      <c r="AO269" s="561"/>
      <c r="AP269" s="561"/>
      <c r="AQ269" s="561"/>
      <c r="AR269" s="561"/>
      <c r="AS269" s="561"/>
      <c r="AT269" s="561"/>
      <c r="AU269" s="561"/>
      <c r="AV269" s="561"/>
      <c r="AW269" s="561"/>
      <c r="AX269" s="561"/>
      <c r="AY269" s="561"/>
      <c r="AZ269" s="561"/>
      <c r="BA269" s="561"/>
      <c r="BB269" s="561"/>
      <c r="BC269" s="561"/>
      <c r="BD269" s="561"/>
      <c r="BE269" s="561"/>
      <c r="BF269" s="561"/>
      <c r="BG269" s="561"/>
      <c r="BH269" s="561"/>
      <c r="BI269" s="561"/>
      <c r="BJ269" s="561"/>
      <c r="BK269" s="561"/>
      <c r="BL269" s="561"/>
      <c r="BM269" s="561"/>
      <c r="BN269" s="561"/>
      <c r="BO269" s="561"/>
      <c r="BP269" s="561"/>
      <c r="BQ269" s="561"/>
      <c r="BR269" s="561"/>
      <c r="BS269" s="561"/>
      <c r="BT269" s="561"/>
      <c r="BU269" s="561"/>
      <c r="BV269" s="561"/>
      <c r="BW269" s="561"/>
      <c r="BX269" s="561"/>
      <c r="BY269" s="561"/>
      <c r="BZ269" s="561"/>
      <c r="CA269" s="561"/>
      <c r="CB269" s="561"/>
      <c r="CC269" s="561"/>
      <c r="CD269" s="561"/>
      <c r="CE269" s="561"/>
      <c r="CF269" s="561"/>
      <c r="CG269" s="561"/>
      <c r="CH269" s="561"/>
      <c r="CI269" s="561"/>
      <c r="CJ269" s="561"/>
      <c r="CK269" s="561"/>
      <c r="CL269" s="561"/>
      <c r="CM269" s="561"/>
      <c r="CN269" s="561"/>
      <c r="CO269" s="561"/>
      <c r="CP269" s="561"/>
      <c r="CQ269" s="561"/>
      <c r="CR269" s="561"/>
      <c r="CS269" s="561"/>
      <c r="CT269" s="561"/>
      <c r="CU269" s="561"/>
      <c r="CV269" s="561"/>
      <c r="CW269" s="561"/>
      <c r="CX269" s="561"/>
      <c r="CY269" s="561"/>
      <c r="CZ269" s="561"/>
      <c r="DA269" s="561"/>
      <c r="DB269" s="561"/>
      <c r="DC269" s="561"/>
      <c r="DD269" s="561"/>
      <c r="DE269" s="561"/>
      <c r="DF269" s="561"/>
      <c r="DG269" s="561"/>
      <c r="DH269" s="561"/>
      <c r="DI269" s="561"/>
      <c r="DJ269" s="561"/>
      <c r="DK269" s="561"/>
      <c r="DL269" s="561"/>
      <c r="DM269" s="561"/>
      <c r="DN269" s="561"/>
      <c r="DO269" s="561"/>
      <c r="DP269" s="561"/>
      <c r="DQ269" s="561"/>
      <c r="DR269" s="561"/>
      <c r="DS269" s="561"/>
      <c r="DT269" s="561"/>
      <c r="DU269" s="561"/>
      <c r="DV269" s="561"/>
      <c r="DW269" s="561"/>
      <c r="DX269" s="561"/>
      <c r="DY269" s="561"/>
      <c r="DZ269" s="561"/>
      <c r="EA269" s="561"/>
      <c r="EB269" s="561"/>
      <c r="EC269" s="561"/>
      <c r="ED269" s="561"/>
      <c r="EE269" s="561"/>
      <c r="EF269" s="561"/>
      <c r="EG269" s="561"/>
      <c r="EH269" s="561"/>
      <c r="EI269" s="561"/>
      <c r="EJ269" s="561"/>
      <c r="EK269" s="561"/>
      <c r="EL269" s="561"/>
      <c r="EM269" s="561"/>
      <c r="EN269" s="561"/>
      <c r="EO269" s="561"/>
      <c r="EP269" s="561"/>
      <c r="EQ269" s="561"/>
      <c r="ER269" s="561"/>
      <c r="ES269" s="561"/>
      <c r="ET269" s="561"/>
      <c r="EU269" s="561"/>
      <c r="EV269" s="561"/>
      <c r="EW269" s="561"/>
      <c r="EX269" s="561"/>
      <c r="EY269" s="561"/>
      <c r="EZ269" s="561"/>
      <c r="FA269" s="561"/>
      <c r="FB269" s="561"/>
      <c r="FC269" s="561"/>
      <c r="FD269" s="561"/>
      <c r="FE269" s="561"/>
      <c r="FF269" s="561"/>
      <c r="FG269" s="561"/>
      <c r="FH269" s="561"/>
      <c r="FI269" s="561"/>
      <c r="FJ269" s="561"/>
      <c r="FK269" s="561"/>
      <c r="FL269" s="561"/>
      <c r="FM269" s="561"/>
      <c r="FN269" s="561"/>
      <c r="FO269" s="561"/>
      <c r="FP269" s="561"/>
      <c r="FQ269" s="561"/>
      <c r="FR269" s="561"/>
      <c r="FS269" s="561"/>
      <c r="FT269" s="561"/>
      <c r="FU269" s="561"/>
      <c r="FV269" s="561"/>
      <c r="FW269" s="561"/>
      <c r="FX269" s="561"/>
      <c r="FY269" s="561"/>
      <c r="FZ269" s="561"/>
      <c r="GA269" s="561"/>
      <c r="GB269" s="561"/>
      <c r="GC269" s="561"/>
      <c r="GD269" s="561"/>
      <c r="GE269" s="561"/>
      <c r="GF269" s="561"/>
      <c r="GG269" s="561"/>
      <c r="GH269" s="561"/>
      <c r="GI269" s="561"/>
      <c r="GJ269" s="561"/>
      <c r="GK269" s="561"/>
      <c r="GL269" s="561"/>
      <c r="GM269" s="561"/>
      <c r="GN269" s="561"/>
      <c r="GO269" s="561"/>
      <c r="GP269" s="561"/>
      <c r="GQ269" s="561"/>
      <c r="GR269" s="561"/>
      <c r="GS269" s="561"/>
      <c r="GT269" s="561"/>
      <c r="GU269" s="561"/>
      <c r="GV269" s="561"/>
      <c r="GW269" s="561"/>
      <c r="GX269" s="561"/>
      <c r="GY269" s="561"/>
      <c r="GZ269" s="561"/>
      <c r="HA269" s="561"/>
      <c r="HB269" s="561"/>
      <c r="HC269" s="561"/>
      <c r="HD269" s="561"/>
      <c r="HE269" s="561"/>
      <c r="HF269" s="561"/>
      <c r="HG269" s="561"/>
      <c r="HH269" s="561"/>
      <c r="HI269" s="561"/>
      <c r="HJ269" s="561"/>
      <c r="HK269" s="561"/>
      <c r="HL269" s="561"/>
      <c r="HM269" s="561"/>
      <c r="HN269" s="561"/>
      <c r="HO269" s="561"/>
      <c r="HP269" s="561"/>
      <c r="HQ269" s="561"/>
      <c r="HR269" s="561"/>
      <c r="HS269" s="561"/>
      <c r="HT269" s="561"/>
      <c r="HU269" s="561"/>
      <c r="HV269" s="561"/>
      <c r="HW269" s="561"/>
      <c r="HX269" s="561"/>
      <c r="HY269" s="561"/>
      <c r="HZ269" s="561"/>
      <c r="IA269" s="561"/>
      <c r="IB269" s="561"/>
      <c r="IC269" s="561"/>
      <c r="ID269" s="561"/>
      <c r="IE269" s="561"/>
      <c r="IF269" s="561"/>
      <c r="IG269" s="561"/>
      <c r="IH269" s="561"/>
      <c r="II269" s="561"/>
      <c r="IJ269" s="561"/>
      <c r="IK269" s="561"/>
      <c r="IL269" s="561"/>
      <c r="IM269" s="561"/>
      <c r="IN269" s="561"/>
      <c r="IO269" s="561"/>
      <c r="IP269" s="561"/>
      <c r="IQ269" s="561"/>
      <c r="IR269" s="561"/>
      <c r="IS269" s="561"/>
      <c r="IT269" s="561"/>
      <c r="IU269" s="561"/>
      <c r="IV269" s="561"/>
      <c r="IW269" s="561"/>
    </row>
    <row r="270" customFormat="false" ht="12.75" hidden="false" customHeight="false" outlineLevel="1" collapsed="false">
      <c r="A270" s="574" t="s">
        <v>1123</v>
      </c>
      <c r="B270" s="575"/>
      <c r="C270" s="576"/>
      <c r="D270" s="554"/>
      <c r="E270" s="555"/>
      <c r="F270" s="556"/>
      <c r="H270" s="577"/>
      <c r="I270" s="558" t="n">
        <f aca="false">IF(D273=0,0,I273/D273)</f>
        <v>1</v>
      </c>
      <c r="J270" s="558" t="n">
        <f aca="false">1-I270</f>
        <v>0</v>
      </c>
      <c r="K270" s="559" t="n">
        <f aca="false">IF(D273=0,0,K273/D273)</f>
        <v>1</v>
      </c>
      <c r="L270" s="559" t="n">
        <f aca="false">1-K270</f>
        <v>0</v>
      </c>
      <c r="M270" s="561"/>
      <c r="N270" s="561"/>
      <c r="O270" s="561"/>
      <c r="P270" s="561"/>
      <c r="Q270" s="561"/>
      <c r="R270" s="561"/>
      <c r="S270" s="561"/>
      <c r="T270" s="561"/>
      <c r="U270" s="561"/>
      <c r="V270" s="561"/>
      <c r="W270" s="561"/>
      <c r="X270" s="561"/>
      <c r="Y270" s="561"/>
      <c r="Z270" s="561"/>
      <c r="AA270" s="561"/>
      <c r="AB270" s="561"/>
      <c r="AC270" s="561"/>
      <c r="AD270" s="561"/>
      <c r="AE270" s="561"/>
      <c r="AF270" s="561"/>
      <c r="AG270" s="561"/>
      <c r="AH270" s="561"/>
      <c r="AI270" s="561"/>
      <c r="AJ270" s="561"/>
      <c r="AK270" s="561"/>
      <c r="AL270" s="561"/>
      <c r="AM270" s="561"/>
      <c r="AN270" s="561"/>
      <c r="AO270" s="561"/>
      <c r="AP270" s="561"/>
      <c r="AQ270" s="561"/>
      <c r="AR270" s="561"/>
      <c r="AS270" s="561"/>
      <c r="AT270" s="561"/>
      <c r="AU270" s="561"/>
      <c r="AV270" s="561"/>
      <c r="AW270" s="561"/>
      <c r="AX270" s="561"/>
      <c r="AY270" s="561"/>
      <c r="AZ270" s="561"/>
      <c r="BA270" s="561"/>
      <c r="BB270" s="561"/>
      <c r="BC270" s="561"/>
      <c r="BD270" s="561"/>
      <c r="BE270" s="561"/>
      <c r="BF270" s="561"/>
      <c r="BG270" s="561"/>
      <c r="BH270" s="561"/>
      <c r="BI270" s="561"/>
      <c r="BJ270" s="561"/>
      <c r="BK270" s="561"/>
      <c r="BL270" s="561"/>
      <c r="BM270" s="561"/>
      <c r="BN270" s="561"/>
      <c r="BO270" s="561"/>
      <c r="BP270" s="561"/>
      <c r="BQ270" s="561"/>
      <c r="BR270" s="561"/>
      <c r="BS270" s="561"/>
      <c r="BT270" s="561"/>
      <c r="BU270" s="561"/>
      <c r="BV270" s="561"/>
      <c r="BW270" s="561"/>
      <c r="BX270" s="561"/>
      <c r="BY270" s="561"/>
      <c r="BZ270" s="561"/>
      <c r="CA270" s="561"/>
      <c r="CB270" s="561"/>
      <c r="CC270" s="561"/>
      <c r="CD270" s="561"/>
      <c r="CE270" s="561"/>
      <c r="CF270" s="561"/>
      <c r="CG270" s="561"/>
      <c r="CH270" s="561"/>
      <c r="CI270" s="561"/>
      <c r="CJ270" s="561"/>
      <c r="CK270" s="561"/>
      <c r="CL270" s="561"/>
      <c r="CM270" s="561"/>
      <c r="CN270" s="561"/>
      <c r="CO270" s="561"/>
      <c r="CP270" s="561"/>
      <c r="CQ270" s="561"/>
      <c r="CR270" s="561"/>
      <c r="CS270" s="561"/>
      <c r="CT270" s="561"/>
      <c r="CU270" s="561"/>
      <c r="CV270" s="561"/>
      <c r="CW270" s="561"/>
      <c r="CX270" s="561"/>
      <c r="CY270" s="561"/>
      <c r="CZ270" s="561"/>
      <c r="DA270" s="561"/>
      <c r="DB270" s="561"/>
      <c r="DC270" s="561"/>
      <c r="DD270" s="561"/>
      <c r="DE270" s="561"/>
      <c r="DF270" s="561"/>
      <c r="DG270" s="561"/>
      <c r="DH270" s="561"/>
      <c r="DI270" s="561"/>
      <c r="DJ270" s="561"/>
      <c r="DK270" s="561"/>
      <c r="DL270" s="561"/>
      <c r="DM270" s="561"/>
      <c r="DN270" s="561"/>
      <c r="DO270" s="561"/>
      <c r="DP270" s="561"/>
      <c r="DQ270" s="561"/>
      <c r="DR270" s="561"/>
      <c r="DS270" s="561"/>
      <c r="DT270" s="561"/>
      <c r="DU270" s="561"/>
      <c r="DV270" s="561"/>
      <c r="DW270" s="561"/>
      <c r="DX270" s="561"/>
      <c r="DY270" s="561"/>
      <c r="DZ270" s="561"/>
      <c r="EA270" s="561"/>
      <c r="EB270" s="561"/>
      <c r="EC270" s="561"/>
      <c r="ED270" s="561"/>
      <c r="EE270" s="561"/>
      <c r="EF270" s="561"/>
      <c r="EG270" s="561"/>
      <c r="EH270" s="561"/>
      <c r="EI270" s="561"/>
      <c r="EJ270" s="561"/>
      <c r="EK270" s="561"/>
      <c r="EL270" s="561"/>
      <c r="EM270" s="561"/>
      <c r="EN270" s="561"/>
      <c r="EO270" s="561"/>
      <c r="EP270" s="561"/>
      <c r="EQ270" s="561"/>
      <c r="ER270" s="561"/>
      <c r="ES270" s="561"/>
      <c r="ET270" s="561"/>
      <c r="EU270" s="561"/>
      <c r="EV270" s="561"/>
      <c r="EW270" s="561"/>
      <c r="EX270" s="561"/>
      <c r="EY270" s="561"/>
      <c r="EZ270" s="561"/>
      <c r="FA270" s="561"/>
      <c r="FB270" s="561"/>
      <c r="FC270" s="561"/>
      <c r="FD270" s="561"/>
      <c r="FE270" s="561"/>
      <c r="FF270" s="561"/>
      <c r="FG270" s="561"/>
      <c r="FH270" s="561"/>
      <c r="FI270" s="561"/>
      <c r="FJ270" s="561"/>
      <c r="FK270" s="561"/>
      <c r="FL270" s="561"/>
      <c r="FM270" s="561"/>
      <c r="FN270" s="561"/>
      <c r="FO270" s="561"/>
      <c r="FP270" s="561"/>
      <c r="FQ270" s="561"/>
      <c r="FR270" s="561"/>
      <c r="FS270" s="561"/>
      <c r="FT270" s="561"/>
      <c r="FU270" s="561"/>
      <c r="FV270" s="561"/>
      <c r="FW270" s="561"/>
      <c r="FX270" s="561"/>
      <c r="FY270" s="561"/>
      <c r="FZ270" s="561"/>
      <c r="GA270" s="561"/>
      <c r="GB270" s="561"/>
      <c r="GC270" s="561"/>
      <c r="GD270" s="561"/>
      <c r="GE270" s="561"/>
      <c r="GF270" s="561"/>
      <c r="GG270" s="561"/>
      <c r="GH270" s="561"/>
      <c r="GI270" s="561"/>
      <c r="GJ270" s="561"/>
      <c r="GK270" s="561"/>
      <c r="GL270" s="561"/>
      <c r="GM270" s="561"/>
      <c r="GN270" s="561"/>
      <c r="GO270" s="561"/>
      <c r="GP270" s="561"/>
      <c r="GQ270" s="561"/>
      <c r="GR270" s="561"/>
      <c r="GS270" s="561"/>
      <c r="GT270" s="561"/>
      <c r="GU270" s="561"/>
      <c r="GV270" s="561"/>
      <c r="GW270" s="561"/>
      <c r="GX270" s="561"/>
      <c r="GY270" s="561"/>
      <c r="GZ270" s="561"/>
      <c r="HA270" s="561"/>
      <c r="HB270" s="561"/>
      <c r="HC270" s="561"/>
      <c r="HD270" s="561"/>
      <c r="HE270" s="561"/>
      <c r="HF270" s="561"/>
      <c r="HG270" s="561"/>
      <c r="HH270" s="561"/>
      <c r="HI270" s="561"/>
      <c r="HJ270" s="561"/>
      <c r="HK270" s="561"/>
      <c r="HL270" s="561"/>
      <c r="HM270" s="561"/>
      <c r="HN270" s="561"/>
      <c r="HO270" s="561"/>
      <c r="HP270" s="561"/>
      <c r="HQ270" s="561"/>
      <c r="HR270" s="561"/>
      <c r="HS270" s="561"/>
      <c r="HT270" s="561"/>
      <c r="HU270" s="561"/>
      <c r="HV270" s="561"/>
      <c r="HW270" s="561"/>
      <c r="HX270" s="561"/>
      <c r="HY270" s="561"/>
      <c r="HZ270" s="561"/>
      <c r="IA270" s="561"/>
      <c r="IB270" s="561"/>
      <c r="IC270" s="561"/>
      <c r="ID270" s="561"/>
      <c r="IE270" s="561"/>
      <c r="IF270" s="561"/>
      <c r="IG270" s="561"/>
      <c r="IH270" s="561"/>
      <c r="II270" s="561"/>
      <c r="IJ270" s="561"/>
      <c r="IK270" s="561"/>
      <c r="IL270" s="561"/>
      <c r="IM270" s="561"/>
      <c r="IN270" s="561"/>
      <c r="IO270" s="561"/>
      <c r="IP270" s="561"/>
      <c r="IQ270" s="561"/>
      <c r="IR270" s="561"/>
      <c r="IS270" s="561"/>
      <c r="IT270" s="561"/>
      <c r="IU270" s="561"/>
      <c r="IV270" s="561"/>
      <c r="IW270" s="561"/>
    </row>
    <row r="271" customFormat="false" ht="12.75" hidden="false" customHeight="false" outlineLevel="2" collapsed="false">
      <c r="A271" s="316"/>
      <c r="B271" s="597" t="str">
        <f aca="false">'Plant Configuration'!C310</f>
        <v>Project Expenses</v>
      </c>
      <c r="C271" s="598"/>
      <c r="D271" s="578" t="n">
        <f aca="false">IF($O$7=6,0,HLOOKUP($D$5,Plant_Configuration,'Plant Configuration'!A310,FALSE()))+IF($R$7=6,0,HLOOKUP($E$5,Plant_Configuration,'Plant Configuration'!A310,FALSE()))+IF($U$7=6,0,HLOOKUP($F$5,Plant_Configuration,'Plant Configuration'!A310,FALSE()))</f>
        <v>26055.5222919563</v>
      </c>
      <c r="E271" s="342" t="n">
        <v>0</v>
      </c>
      <c r="F271" s="566" t="n">
        <v>1</v>
      </c>
      <c r="H271" s="316" t="s">
        <v>1124</v>
      </c>
      <c r="I271" s="567" t="n">
        <f aca="false">D271-J271</f>
        <v>26055.5222919563</v>
      </c>
      <c r="J271" s="567" t="n">
        <f aca="false">E271*D271</f>
        <v>0</v>
      </c>
      <c r="K271" s="317" t="n">
        <f aca="false">F271*D271</f>
        <v>26055.5222919563</v>
      </c>
      <c r="L271" s="317" t="n">
        <f aca="false">D271-K271</f>
        <v>0</v>
      </c>
      <c r="N271" s="45"/>
      <c r="O271" s="45"/>
    </row>
    <row r="272" customFormat="false" ht="12.75" hidden="false" customHeight="false" outlineLevel="2" collapsed="false">
      <c r="A272" s="316"/>
      <c r="B272" s="597" t="str">
        <f aca="false">'Plant Configuration'!C311</f>
        <v>Other</v>
      </c>
      <c r="C272" s="44"/>
      <c r="D272" s="578" t="n">
        <f aca="false">IF($O$7=6,0,HLOOKUP($D$5,Plant_Configuration,'Plant Configuration'!A311,FALSE()))+IF($R$7=6,0,HLOOKUP($E$5,Plant_Configuration,'Plant Configuration'!A311,FALSE()))+IF($U$7=6,0,HLOOKUP($F$5,Plant_Configuration,'Plant Configuration'!A311,FALSE()))</f>
        <v>0</v>
      </c>
      <c r="E272" s="342" t="n">
        <v>0</v>
      </c>
      <c r="F272" s="566" t="n">
        <v>1</v>
      </c>
      <c r="H272" s="316"/>
      <c r="I272" s="567" t="n">
        <f aca="false">D272-J272</f>
        <v>0</v>
      </c>
      <c r="J272" s="567" t="n">
        <f aca="false">E272*D272</f>
        <v>0</v>
      </c>
      <c r="K272" s="317"/>
      <c r="L272" s="317"/>
      <c r="N272" s="45"/>
      <c r="O272" s="45"/>
    </row>
    <row r="273" customFormat="false" ht="12.75" hidden="false" customHeight="false" outlineLevel="1" collapsed="false">
      <c r="A273" s="316"/>
      <c r="B273" s="570" t="s">
        <v>431</v>
      </c>
      <c r="C273" s="0"/>
      <c r="D273" s="571" t="n">
        <f aca="false">SUBTOTAL(9,D271:D272)</f>
        <v>26055.5222919563</v>
      </c>
      <c r="E273" s="572"/>
      <c r="F273" s="573"/>
      <c r="H273" s="316" t="s">
        <v>1115</v>
      </c>
      <c r="I273" s="571" t="n">
        <f aca="false">SUBTOTAL(9,I271:I272)</f>
        <v>26055.5222919563</v>
      </c>
      <c r="J273" s="571" t="n">
        <f aca="false">SUBTOTAL(9,J271:J272)</f>
        <v>0</v>
      </c>
      <c r="K273" s="571" t="n">
        <f aca="false">SUBTOTAL(9,K271:K272)</f>
        <v>26055.5222919563</v>
      </c>
      <c r="L273" s="571" t="n">
        <f aca="false">SUBTOTAL(9,L271:L272)</f>
        <v>0</v>
      </c>
      <c r="M273" s="561"/>
      <c r="N273" s="561"/>
      <c r="O273" s="561"/>
      <c r="P273" s="561"/>
      <c r="Q273" s="561"/>
      <c r="R273" s="561"/>
      <c r="S273" s="561"/>
      <c r="T273" s="561"/>
      <c r="U273" s="561"/>
      <c r="V273" s="561"/>
      <c r="W273" s="561"/>
      <c r="X273" s="561"/>
      <c r="Y273" s="561"/>
      <c r="Z273" s="561"/>
      <c r="AA273" s="561"/>
      <c r="AB273" s="561"/>
      <c r="AC273" s="561"/>
      <c r="AD273" s="561"/>
      <c r="AE273" s="561"/>
      <c r="AF273" s="561"/>
      <c r="AG273" s="561"/>
      <c r="AH273" s="561"/>
      <c r="AI273" s="561"/>
      <c r="AJ273" s="561"/>
      <c r="AK273" s="561"/>
      <c r="AL273" s="561"/>
      <c r="AM273" s="561"/>
      <c r="AN273" s="561"/>
      <c r="AO273" s="561"/>
      <c r="AP273" s="561"/>
      <c r="AQ273" s="561"/>
      <c r="AR273" s="561"/>
      <c r="AS273" s="561"/>
      <c r="AT273" s="561"/>
      <c r="AU273" s="561"/>
      <c r="AV273" s="561"/>
      <c r="AW273" s="561"/>
      <c r="AX273" s="561"/>
      <c r="AY273" s="561"/>
      <c r="AZ273" s="561"/>
      <c r="BA273" s="561"/>
      <c r="BB273" s="561"/>
      <c r="BC273" s="561"/>
      <c r="BD273" s="561"/>
      <c r="BE273" s="561"/>
      <c r="BF273" s="561"/>
      <c r="BG273" s="561"/>
      <c r="BH273" s="561"/>
      <c r="BI273" s="561"/>
      <c r="BJ273" s="561"/>
      <c r="BK273" s="561"/>
      <c r="BL273" s="561"/>
      <c r="BM273" s="561"/>
      <c r="BN273" s="561"/>
      <c r="BO273" s="561"/>
      <c r="BP273" s="561"/>
      <c r="BQ273" s="561"/>
      <c r="BR273" s="561"/>
      <c r="BS273" s="561"/>
      <c r="BT273" s="561"/>
      <c r="BU273" s="561"/>
      <c r="BV273" s="561"/>
      <c r="BW273" s="561"/>
      <c r="BX273" s="561"/>
      <c r="BY273" s="561"/>
      <c r="BZ273" s="561"/>
      <c r="CA273" s="561"/>
      <c r="CB273" s="561"/>
      <c r="CC273" s="561"/>
      <c r="CD273" s="561"/>
      <c r="CE273" s="561"/>
      <c r="CF273" s="561"/>
      <c r="CG273" s="561"/>
      <c r="CH273" s="561"/>
      <c r="CI273" s="561"/>
      <c r="CJ273" s="561"/>
      <c r="CK273" s="561"/>
      <c r="CL273" s="561"/>
      <c r="CM273" s="561"/>
      <c r="CN273" s="561"/>
      <c r="CO273" s="561"/>
      <c r="CP273" s="561"/>
      <c r="CQ273" s="561"/>
      <c r="CR273" s="561"/>
      <c r="CS273" s="561"/>
      <c r="CT273" s="561"/>
      <c r="CU273" s="561"/>
      <c r="CV273" s="561"/>
      <c r="CW273" s="561"/>
      <c r="CX273" s="561"/>
      <c r="CY273" s="561"/>
      <c r="CZ273" s="561"/>
      <c r="DA273" s="561"/>
      <c r="DB273" s="561"/>
      <c r="DC273" s="561"/>
      <c r="DD273" s="561"/>
      <c r="DE273" s="561"/>
      <c r="DF273" s="561"/>
      <c r="DG273" s="561"/>
      <c r="DH273" s="561"/>
      <c r="DI273" s="561"/>
      <c r="DJ273" s="561"/>
      <c r="DK273" s="561"/>
      <c r="DL273" s="561"/>
      <c r="DM273" s="561"/>
      <c r="DN273" s="561"/>
      <c r="DO273" s="561"/>
      <c r="DP273" s="561"/>
      <c r="DQ273" s="561"/>
      <c r="DR273" s="561"/>
      <c r="DS273" s="561"/>
      <c r="DT273" s="561"/>
      <c r="DU273" s="561"/>
      <c r="DV273" s="561"/>
      <c r="DW273" s="561"/>
      <c r="DX273" s="561"/>
      <c r="DY273" s="561"/>
      <c r="DZ273" s="561"/>
      <c r="EA273" s="561"/>
      <c r="EB273" s="561"/>
      <c r="EC273" s="561"/>
      <c r="ED273" s="561"/>
      <c r="EE273" s="561"/>
      <c r="EF273" s="561"/>
      <c r="EG273" s="561"/>
      <c r="EH273" s="561"/>
      <c r="EI273" s="561"/>
      <c r="EJ273" s="561"/>
      <c r="EK273" s="561"/>
      <c r="EL273" s="561"/>
      <c r="EM273" s="561"/>
      <c r="EN273" s="561"/>
      <c r="EO273" s="561"/>
      <c r="EP273" s="561"/>
      <c r="EQ273" s="561"/>
      <c r="ER273" s="561"/>
      <c r="ES273" s="561"/>
      <c r="ET273" s="561"/>
      <c r="EU273" s="561"/>
      <c r="EV273" s="561"/>
      <c r="EW273" s="561"/>
      <c r="EX273" s="561"/>
      <c r="EY273" s="561"/>
      <c r="EZ273" s="561"/>
      <c r="FA273" s="561"/>
      <c r="FB273" s="561"/>
      <c r="FC273" s="561"/>
      <c r="FD273" s="561"/>
      <c r="FE273" s="561"/>
      <c r="FF273" s="561"/>
      <c r="FG273" s="561"/>
      <c r="FH273" s="561"/>
      <c r="FI273" s="561"/>
      <c r="FJ273" s="561"/>
      <c r="FK273" s="561"/>
      <c r="FL273" s="561"/>
      <c r="FM273" s="561"/>
      <c r="FN273" s="561"/>
      <c r="FO273" s="561"/>
      <c r="FP273" s="561"/>
      <c r="FQ273" s="561"/>
      <c r="FR273" s="561"/>
      <c r="FS273" s="561"/>
      <c r="FT273" s="561"/>
      <c r="FU273" s="561"/>
      <c r="FV273" s="561"/>
      <c r="FW273" s="561"/>
      <c r="FX273" s="561"/>
      <c r="FY273" s="561"/>
      <c r="FZ273" s="561"/>
      <c r="GA273" s="561"/>
      <c r="GB273" s="561"/>
      <c r="GC273" s="561"/>
      <c r="GD273" s="561"/>
      <c r="GE273" s="561"/>
      <c r="GF273" s="561"/>
      <c r="GG273" s="561"/>
      <c r="GH273" s="561"/>
      <c r="GI273" s="561"/>
      <c r="GJ273" s="561"/>
      <c r="GK273" s="561"/>
      <c r="GL273" s="561"/>
      <c r="GM273" s="561"/>
      <c r="GN273" s="561"/>
      <c r="GO273" s="561"/>
      <c r="GP273" s="561"/>
      <c r="GQ273" s="561"/>
      <c r="GR273" s="561"/>
      <c r="GS273" s="561"/>
      <c r="GT273" s="561"/>
      <c r="GU273" s="561"/>
      <c r="GV273" s="561"/>
      <c r="GW273" s="561"/>
      <c r="GX273" s="561"/>
      <c r="GY273" s="561"/>
      <c r="GZ273" s="561"/>
      <c r="HA273" s="561"/>
      <c r="HB273" s="561"/>
      <c r="HC273" s="561"/>
      <c r="HD273" s="561"/>
      <c r="HE273" s="561"/>
      <c r="HF273" s="561"/>
      <c r="HG273" s="561"/>
      <c r="HH273" s="561"/>
      <c r="HI273" s="561"/>
      <c r="HJ273" s="561"/>
      <c r="HK273" s="561"/>
      <c r="HL273" s="561"/>
      <c r="HM273" s="561"/>
      <c r="HN273" s="561"/>
      <c r="HO273" s="561"/>
      <c r="HP273" s="561"/>
      <c r="HQ273" s="561"/>
      <c r="HR273" s="561"/>
      <c r="HS273" s="561"/>
      <c r="HT273" s="561"/>
      <c r="HU273" s="561"/>
      <c r="HV273" s="561"/>
      <c r="HW273" s="561"/>
      <c r="HX273" s="561"/>
      <c r="HY273" s="561"/>
      <c r="HZ273" s="561"/>
      <c r="IA273" s="561"/>
      <c r="IB273" s="561"/>
      <c r="IC273" s="561"/>
      <c r="ID273" s="561"/>
      <c r="IE273" s="561"/>
      <c r="IF273" s="561"/>
      <c r="IG273" s="561"/>
      <c r="IH273" s="561"/>
      <c r="II273" s="561"/>
      <c r="IJ273" s="561"/>
      <c r="IK273" s="561"/>
      <c r="IL273" s="561"/>
      <c r="IM273" s="561"/>
      <c r="IN273" s="561"/>
      <c r="IO273" s="561"/>
      <c r="IP273" s="561"/>
      <c r="IQ273" s="561"/>
      <c r="IR273" s="561"/>
      <c r="IS273" s="561"/>
      <c r="IT273" s="561"/>
      <c r="IU273" s="561"/>
      <c r="IV273" s="561"/>
      <c r="IW273" s="561"/>
    </row>
    <row r="274" customFormat="false" ht="12.75" hidden="false" customHeight="false" outlineLevel="0" collapsed="false">
      <c r="A274" s="574" t="s">
        <v>1125</v>
      </c>
      <c r="B274" s="575"/>
      <c r="C274" s="576"/>
      <c r="D274" s="554"/>
      <c r="E274" s="555"/>
      <c r="F274" s="556"/>
      <c r="H274" s="577"/>
      <c r="I274" s="558" t="n">
        <f aca="false">I285/D285</f>
        <v>0.5</v>
      </c>
      <c r="J274" s="558" t="n">
        <f aca="false">1-I274</f>
        <v>0.5</v>
      </c>
      <c r="K274" s="559" t="n">
        <f aca="false">K285/D285</f>
        <v>1</v>
      </c>
      <c r="L274" s="559" t="n">
        <f aca="false">1-K274</f>
        <v>0</v>
      </c>
      <c r="N274" s="45"/>
      <c r="O274" s="45"/>
    </row>
    <row r="275" customFormat="false" ht="12.75" hidden="false" customHeight="false" outlineLevel="0" collapsed="false">
      <c r="A275" s="316"/>
      <c r="B275" s="569" t="str">
        <f aca="false">'Plant Configuration'!C314</f>
        <v>3 Trucks:</v>
      </c>
      <c r="C275" s="44"/>
      <c r="D275" s="578" t="n">
        <f aca="false">IF($O$7=6,0,HLOOKUP($D$5,Plant_Configuration,'Plant Configuration'!A314,FALSE()))+IF($R$7=6,0,HLOOKUP($E$5,Plant_Configuration,'Plant Configuration'!A314,FALSE()))+IF($U$7=6,0,HLOOKUP($F$5,Plant_Configuration,'Plant Configuration'!A314,FALSE()))</f>
        <v>0</v>
      </c>
      <c r="E275" s="342"/>
      <c r="F275" s="566"/>
      <c r="H275" s="316"/>
      <c r="I275" s="567" t="n">
        <f aca="false">D275-J275</f>
        <v>0</v>
      </c>
      <c r="J275" s="567" t="n">
        <f aca="false">E275*D275</f>
        <v>0</v>
      </c>
      <c r="K275" s="317"/>
      <c r="L275" s="317"/>
      <c r="N275" s="45"/>
      <c r="O275" s="45"/>
    </row>
    <row r="276" customFormat="false" ht="12.75" hidden="false" customHeight="false" outlineLevel="0" collapsed="false">
      <c r="A276" s="316"/>
      <c r="B276" s="569" t="str">
        <f aca="false">'Plant Configuration'!C315</f>
        <v>3 x gal/15 miles x $1.5/gal x 20000 miles/yr</v>
      </c>
      <c r="C276" s="44"/>
      <c r="D276" s="578" t="n">
        <f aca="false">IF($O$7=6,0,HLOOKUP($D$5,Plant_Configuration,'Plant Configuration'!A315,FALSE()))+IF($R$7=6,0,HLOOKUP($E$5,Plant_Configuration,'Plant Configuration'!A315,FALSE()))+IF($U$7=6,0,HLOOKUP($F$5,Plant_Configuration,'Plant Configuration'!A315,FALSE()))</f>
        <v>6000</v>
      </c>
      <c r="E276" s="342" t="n">
        <v>0.5</v>
      </c>
      <c r="F276" s="566" t="n">
        <v>1</v>
      </c>
      <c r="H276" s="316"/>
      <c r="I276" s="567" t="n">
        <f aca="false">D276-J276</f>
        <v>3000</v>
      </c>
      <c r="J276" s="567" t="n">
        <f aca="false">E276*D276</f>
        <v>3000</v>
      </c>
      <c r="K276" s="317" t="n">
        <f aca="false">F276*D276</f>
        <v>6000</v>
      </c>
      <c r="L276" s="317" t="n">
        <f aca="false">D276-K276</f>
        <v>0</v>
      </c>
      <c r="N276" s="45"/>
      <c r="O276" s="45"/>
    </row>
    <row r="277" customFormat="false" ht="12.75" hidden="false" customHeight="false" outlineLevel="0" collapsed="false">
      <c r="A277" s="316"/>
      <c r="B277" s="569" t="str">
        <f aca="false">'Plant Configuration'!C316</f>
        <v>1 Van &amp; 1 Flat-bed Truck:</v>
      </c>
      <c r="C277" s="44"/>
      <c r="D277" s="578" t="n">
        <f aca="false">IF($O$7=6,0,HLOOKUP($D$5,Plant_Configuration,'Plant Configuration'!A316,FALSE()))+IF($R$7=6,0,HLOOKUP($E$5,Plant_Configuration,'Plant Configuration'!A316,FALSE()))+IF($U$7=6,0,HLOOKUP($F$5,Plant_Configuration,'Plant Configuration'!A316,FALSE()))</f>
        <v>0</v>
      </c>
      <c r="E277" s="342"/>
      <c r="F277" s="566"/>
      <c r="H277" s="316"/>
      <c r="I277" s="567" t="n">
        <f aca="false">D277-J277</f>
        <v>0</v>
      </c>
      <c r="J277" s="567" t="n">
        <f aca="false">E277*D277</f>
        <v>0</v>
      </c>
      <c r="K277" s="317"/>
      <c r="L277" s="317"/>
    </row>
    <row r="278" customFormat="false" ht="12.75" hidden="false" customHeight="false" outlineLevel="0" collapsed="false">
      <c r="A278" s="316"/>
      <c r="B278" s="569" t="str">
        <f aca="false">'Plant Configuration'!C317</f>
        <v>2 x gal/ 10 miles x $1.5/gal x 20 miles/day x 365 days/year</v>
      </c>
      <c r="C278" s="44"/>
      <c r="D278" s="578" t="n">
        <f aca="false">IF($O$7=6,0,HLOOKUP($D$5,Plant_Configuration,'Plant Configuration'!A317,FALSE()))+IF($R$7=6,0,HLOOKUP($E$5,Plant_Configuration,'Plant Configuration'!A317,FALSE()))+IF($U$7=6,0,HLOOKUP($F$5,Plant_Configuration,'Plant Configuration'!A317,FALSE()))</f>
        <v>2190</v>
      </c>
      <c r="E278" s="342" t="n">
        <v>0.5</v>
      </c>
      <c r="F278" s="566" t="n">
        <v>1</v>
      </c>
      <c r="H278" s="316"/>
      <c r="I278" s="567" t="n">
        <f aca="false">D278-J278</f>
        <v>1095</v>
      </c>
      <c r="J278" s="567" t="n">
        <f aca="false">E278*D278</f>
        <v>1095</v>
      </c>
      <c r="K278" s="317" t="n">
        <f aca="false">F278*D278</f>
        <v>2190</v>
      </c>
      <c r="L278" s="317" t="n">
        <f aca="false">D278-K278</f>
        <v>0</v>
      </c>
    </row>
    <row r="279" customFormat="false" ht="12.75" hidden="false" customHeight="false" outlineLevel="0" collapsed="false">
      <c r="A279" s="316"/>
      <c r="B279" s="569" t="str">
        <f aca="false">'Plant Configuration'!C318</f>
        <v>2 Forklifts:</v>
      </c>
      <c r="C279" s="44"/>
      <c r="D279" s="578" t="n">
        <f aca="false">IF($O$7=6,0,HLOOKUP($D$5,Plant_Configuration,'Plant Configuration'!A318,FALSE()))+IF($R$7=6,0,HLOOKUP($E$5,Plant_Configuration,'Plant Configuration'!A318,FALSE()))+IF($U$7=6,0,HLOOKUP($F$5,Plant_Configuration,'Plant Configuration'!A318,FALSE()))</f>
        <v>0</v>
      </c>
      <c r="E279" s="342"/>
      <c r="F279" s="566"/>
      <c r="H279" s="316"/>
      <c r="I279" s="567" t="n">
        <f aca="false">D279-J279</f>
        <v>0</v>
      </c>
      <c r="J279" s="567" t="n">
        <f aca="false">E279*D279</f>
        <v>0</v>
      </c>
      <c r="K279" s="317"/>
      <c r="L279" s="317"/>
    </row>
    <row r="280" customFormat="false" ht="12.75" hidden="false" customHeight="false" outlineLevel="0" collapsed="false">
      <c r="A280" s="316"/>
      <c r="B280" s="569" t="str">
        <f aca="false">'Plant Configuration'!C319</f>
        <v>2 x 2 gal/hr x $1.5/gal x 2 hr/day x 365 days/yr</v>
      </c>
      <c r="C280" s="44"/>
      <c r="D280" s="578" t="n">
        <f aca="false">IF($O$7=6,0,HLOOKUP($D$5,Plant_Configuration,'Plant Configuration'!A319,FALSE()))+IF($R$7=6,0,HLOOKUP($E$5,Plant_Configuration,'Plant Configuration'!A319,FALSE()))+IF($U$7=6,0,HLOOKUP($F$5,Plant_Configuration,'Plant Configuration'!A319,FALSE()))</f>
        <v>4380</v>
      </c>
      <c r="E280" s="342" t="n">
        <v>0.5</v>
      </c>
      <c r="F280" s="566" t="n">
        <v>1</v>
      </c>
      <c r="H280" s="316"/>
      <c r="I280" s="567" t="n">
        <f aca="false">D280-J280</f>
        <v>2190</v>
      </c>
      <c r="J280" s="567" t="n">
        <f aca="false">E280*D280</f>
        <v>2190</v>
      </c>
      <c r="K280" s="317" t="n">
        <f aca="false">F280*D280</f>
        <v>4380</v>
      </c>
      <c r="L280" s="317" t="n">
        <f aca="false">D280-K280</f>
        <v>0</v>
      </c>
    </row>
    <row r="281" customFormat="false" ht="12.75" hidden="false" customHeight="false" outlineLevel="0" collapsed="false">
      <c r="A281" s="316"/>
      <c r="B281" s="569" t="str">
        <f aca="false">'Plant Configuration'!C320</f>
        <v>1 Crane:</v>
      </c>
      <c r="C281" s="44"/>
      <c r="D281" s="578" t="n">
        <f aca="false">IF($O$7=6,0,HLOOKUP($D$5,Plant_Configuration,'Plant Configuration'!A320,FALSE()))+IF($R$7=6,0,HLOOKUP($E$5,Plant_Configuration,'Plant Configuration'!A320,FALSE()))+IF($U$7=6,0,HLOOKUP($F$5,Plant_Configuration,'Plant Configuration'!A320,FALSE()))</f>
        <v>0</v>
      </c>
      <c r="E281" s="342"/>
      <c r="F281" s="566"/>
      <c r="H281" s="316"/>
      <c r="I281" s="567" t="n">
        <f aca="false">D281-J281</f>
        <v>0</v>
      </c>
      <c r="J281" s="567" t="n">
        <f aca="false">E281*D281</f>
        <v>0</v>
      </c>
      <c r="K281" s="317"/>
      <c r="L281" s="317"/>
    </row>
    <row r="282" customFormat="false" ht="12.75" hidden="false" customHeight="false" outlineLevel="0" collapsed="false">
      <c r="A282" s="316"/>
      <c r="B282" s="569" t="str">
        <f aca="false">'Plant Configuration'!C321</f>
        <v>5 gal/hr x $1.5/gal x 40 days/yr x 8 hours/day</v>
      </c>
      <c r="C282" s="44"/>
      <c r="D282" s="578" t="n">
        <f aca="false">IF($O$7=6,0,HLOOKUP($D$5,Plant_Configuration,'Plant Configuration'!A321,FALSE()))+IF($R$7=6,0,HLOOKUP($E$5,Plant_Configuration,'Plant Configuration'!A321,FALSE()))+IF($U$7=6,0,HLOOKUP($F$5,Plant_Configuration,'Plant Configuration'!A321,FALSE()))</f>
        <v>0</v>
      </c>
      <c r="E282" s="342" t="n">
        <v>0.5</v>
      </c>
      <c r="F282" s="566" t="n">
        <v>1</v>
      </c>
      <c r="H282" s="316"/>
      <c r="I282" s="567" t="n">
        <f aca="false">D282-J282</f>
        <v>0</v>
      </c>
      <c r="J282" s="567" t="n">
        <f aca="false">E282*D282</f>
        <v>0</v>
      </c>
      <c r="K282" s="317" t="n">
        <f aca="false">F282*D282</f>
        <v>0</v>
      </c>
      <c r="L282" s="317" t="n">
        <f aca="false">D282-K282</f>
        <v>0</v>
      </c>
    </row>
    <row r="283" customFormat="false" ht="12.75" hidden="false" customHeight="false" outlineLevel="0" collapsed="false">
      <c r="A283" s="316"/>
      <c r="B283" s="569" t="str">
        <f aca="false">'Plant Configuration'!C322</f>
        <v>1 Crew Boats:</v>
      </c>
      <c r="C283" s="44"/>
      <c r="D283" s="578" t="n">
        <f aca="false">IF($O$7=6,0,HLOOKUP($D$5,Plant_Configuration,'Plant Configuration'!A322,FALSE()))+IF($R$7=6,0,HLOOKUP($E$5,Plant_Configuration,'Plant Configuration'!A322,FALSE()))+IF($U$7=6,0,HLOOKUP($F$5,Plant_Configuration,'Plant Configuration'!A322,FALSE()))</f>
        <v>0</v>
      </c>
      <c r="E283" s="342"/>
      <c r="F283" s="566"/>
      <c r="H283" s="316"/>
      <c r="I283" s="567" t="n">
        <f aca="false">D283-J283</f>
        <v>0</v>
      </c>
      <c r="J283" s="567" t="n">
        <f aca="false">E283*D283</f>
        <v>0</v>
      </c>
      <c r="K283" s="317"/>
      <c r="L283" s="317"/>
    </row>
    <row r="284" customFormat="false" ht="12.75" hidden="false" customHeight="false" outlineLevel="0" collapsed="false">
      <c r="A284" s="316"/>
      <c r="B284" s="569" t="str">
        <f aca="false">'Plant Configuration'!C323</f>
        <v>20 gal/hr x 1hr/30 miles x 30 miles x 2rd trips/d x365 days/yr x $1.5/gal x 2.0 (idle factor)</v>
      </c>
      <c r="C284" s="44"/>
      <c r="D284" s="578" t="n">
        <f aca="false">IF($O$7=6,0,HLOOKUP($D$5,Plant_Configuration,'Plant Configuration'!A323,FALSE()))+IF($R$7=6,0,HLOOKUP($E$5,Plant_Configuration,'Plant Configuration'!A323,FALSE()))+IF($U$7=6,0,HLOOKUP($F$5,Plant_Configuration,'Plant Configuration'!A323,FALSE()))</f>
        <v>0</v>
      </c>
      <c r="E284" s="342" t="n">
        <v>0.5</v>
      </c>
      <c r="F284" s="566" t="n">
        <v>1</v>
      </c>
      <c r="H284" s="316"/>
      <c r="I284" s="567" t="n">
        <f aca="false">D284-J284</f>
        <v>0</v>
      </c>
      <c r="J284" s="567" t="n">
        <f aca="false">E284*D284</f>
        <v>0</v>
      </c>
      <c r="K284" s="317" t="n">
        <f aca="false">F284*D284</f>
        <v>0</v>
      </c>
      <c r="L284" s="317" t="n">
        <f aca="false">D284-K284</f>
        <v>0</v>
      </c>
    </row>
    <row r="285" customFormat="false" ht="13.5" hidden="false" customHeight="false" outlineLevel="0" collapsed="false">
      <c r="A285" s="316"/>
      <c r="B285" s="570" t="s">
        <v>431</v>
      </c>
      <c r="C285" s="0"/>
      <c r="D285" s="571" t="n">
        <f aca="false">SUM(D276:D284)</f>
        <v>12570</v>
      </c>
      <c r="E285" s="572"/>
      <c r="F285" s="573"/>
      <c r="H285" s="580" t="s">
        <v>1126</v>
      </c>
      <c r="I285" s="571" t="n">
        <f aca="false">SUM(I276:I284)</f>
        <v>6285</v>
      </c>
      <c r="J285" s="571" t="n">
        <f aca="false">SUM(J276:J284)</f>
        <v>6285</v>
      </c>
      <c r="K285" s="571" t="n">
        <f aca="false">SUM(K276:K284)</f>
        <v>12570</v>
      </c>
      <c r="L285" s="571" t="n">
        <f aca="false">SUM(L276:L284)</f>
        <v>0</v>
      </c>
    </row>
    <row r="286" customFormat="false" ht="13.5" hidden="false" customHeight="false" outlineLevel="0" collapsed="false">
      <c r="A286" s="599"/>
      <c r="B286" s="600"/>
      <c r="C286" s="600"/>
      <c r="D286" s="601"/>
      <c r="E286" s="602"/>
      <c r="F286" s="603"/>
      <c r="H286" s="604"/>
      <c r="I286" s="605"/>
      <c r="J286" s="605"/>
      <c r="K286" s="554"/>
      <c r="L286" s="554"/>
    </row>
    <row r="287" customFormat="false" ht="12.75" hidden="false" customHeight="false" outlineLevel="0" collapsed="false">
      <c r="D287" s="606"/>
      <c r="E287" s="524"/>
      <c r="I287" s="607"/>
      <c r="J287" s="607"/>
    </row>
    <row r="288" customFormat="false" ht="12.75" hidden="false" customHeight="false" outlineLevel="0" collapsed="false">
      <c r="D288" s="46"/>
    </row>
    <row r="289" customFormat="false" ht="12.75" hidden="false" customHeight="false" outlineLevel="0" collapsed="false">
      <c r="A289" s="45" t="s">
        <v>1127</v>
      </c>
    </row>
    <row r="290" customFormat="false" ht="12.75" hidden="false" customHeight="false" outlineLevel="0" collapsed="false">
      <c r="A290" s="45" t="s">
        <v>1128</v>
      </c>
    </row>
    <row r="291" customFormat="false" ht="12.75" hidden="false" customHeight="false" outlineLevel="0" collapsed="false">
      <c r="A291" s="45" t="s">
        <v>1129</v>
      </c>
    </row>
    <row r="292" customFormat="false" ht="12.75" hidden="false" customHeight="false" outlineLevel="0" collapsed="false">
      <c r="A292" s="45" t="s">
        <v>1130</v>
      </c>
    </row>
    <row r="293" customFormat="false" ht="12.75" hidden="false" customHeight="false" outlineLevel="0" collapsed="false">
      <c r="A293" s="45" t="s">
        <v>1131</v>
      </c>
    </row>
    <row r="294" customFormat="false" ht="12.75" hidden="false" customHeight="false" outlineLevel="0" collapsed="false">
      <c r="A294" s="45" t="s">
        <v>1132</v>
      </c>
    </row>
    <row r="295" customFormat="false" ht="12.75" hidden="false" customHeight="false" outlineLevel="0" collapsed="false">
      <c r="A295" s="45" t="s">
        <v>1133</v>
      </c>
    </row>
    <row r="296" customFormat="false" ht="12.75" hidden="false" customHeight="false" outlineLevel="0" collapsed="false">
      <c r="A296" s="45" t="s">
        <v>1134</v>
      </c>
    </row>
    <row r="297" customFormat="false" ht="12.75" hidden="false" customHeight="false" outlineLevel="0" collapsed="false">
      <c r="A297" s="45" t="s">
        <v>1135</v>
      </c>
    </row>
  </sheetData>
  <mergeCells count="3">
    <mergeCell ref="O45:P46"/>
    <mergeCell ref="Q45:Q46"/>
    <mergeCell ref="S45:S46"/>
  </mergeCells>
  <printOptions headings="false" gridLines="false" gridLinesSet="true" horizontalCentered="true" verticalCentered="false"/>
  <pageMargins left="0.747916666666667" right="0.747916666666667" top="0.984027777777778" bottom="0.984027777777778" header="0.5" footer="0.5"/>
  <pageSetup paperSize="1" scale="100" fitToWidth="1" fitToHeight="5" pageOrder="downThenOver" orientation="portrait" blackAndWhite="false" draft="false" cellComments="none" horizontalDpi="300" verticalDpi="300" copies="1"/>
  <headerFooter differentFirst="false" differentOddEven="false">
    <oddHeader>&amp;C&amp;"Arial,Bold Italic"&amp;16ENRON PROPRIETARY
AND CONFIDENTIAL
INFORMATION</oddHeader>
    <oddFooter>&amp;L&amp;D&amp;CPage _____&amp;R&amp;F
&amp;A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L1337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4" ySplit="10" topLeftCell="E307" activePane="bottomRight" state="frozen"/>
      <selection pane="topLeft" activeCell="A1" activeCellId="0" sqref="A1"/>
      <selection pane="topRight" activeCell="E1" activeCellId="0" sqref="E1"/>
      <selection pane="bottomLeft" activeCell="A307" activeCellId="0" sqref="A307"/>
      <selection pane="bottomRight" activeCell="G336" activeCellId="0" sqref="G33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608" width="1.41"/>
    <col collapsed="false" customWidth="true" hidden="false" outlineLevel="0" max="2" min="2" style="609" width="9.28"/>
    <col collapsed="false" customWidth="true" hidden="false" outlineLevel="0" max="3" min="3" style="609" width="43.41"/>
    <col collapsed="false" customWidth="true" hidden="false" outlineLevel="0" max="4" min="4" style="609" width="4.56"/>
    <col collapsed="false" customWidth="true" hidden="false" outlineLevel="0" max="5" min="5" style="45" width="16.99"/>
    <col collapsed="false" customWidth="true" hidden="false" outlineLevel="0" max="9" min="6" style="0" width="14.41"/>
    <col collapsed="false" customWidth="true" hidden="false" outlineLevel="0" max="11" min="10" style="0" width="13.28"/>
    <col collapsed="false" customWidth="true" hidden="false" outlineLevel="0" max="12" min="12" style="0" width="12.7"/>
  </cols>
  <sheetData>
    <row r="1" customFormat="false" ht="20.25" hidden="false" customHeight="false" outlineLevel="0" collapsed="false">
      <c r="B1" s="610" t="s">
        <v>1136</v>
      </c>
      <c r="E1" s="533"/>
    </row>
    <row r="2" customFormat="false" ht="12.75" hidden="false" customHeight="false" outlineLevel="0" collapsed="false">
      <c r="E2" s="533"/>
    </row>
    <row r="3" customFormat="false" ht="12.75" hidden="false" customHeight="false" outlineLevel="0" collapsed="false">
      <c r="B3" s="611" t="s">
        <v>1137</v>
      </c>
      <c r="E3" s="533"/>
    </row>
    <row r="4" customFormat="false" ht="13.5" hidden="false" customHeight="false" outlineLevel="0" collapsed="false">
      <c r="E4" s="538"/>
    </row>
    <row r="5" customFormat="false" ht="12.75" hidden="false" customHeight="false" outlineLevel="0" collapsed="false">
      <c r="A5" s="608" t="n">
        <v>1</v>
      </c>
      <c r="B5" s="612" t="s">
        <v>1138</v>
      </c>
      <c r="E5" s="613" t="s">
        <v>1139</v>
      </c>
      <c r="F5" s="613" t="s">
        <v>1140</v>
      </c>
      <c r="G5" s="613" t="s">
        <v>1141</v>
      </c>
      <c r="H5" s="613" t="s">
        <v>1142</v>
      </c>
      <c r="I5" s="613" t="s">
        <v>1143</v>
      </c>
      <c r="J5" s="614" t="s">
        <v>51</v>
      </c>
      <c r="K5" s="613" t="s">
        <v>1144</v>
      </c>
      <c r="L5" s="613" t="s">
        <v>1145</v>
      </c>
    </row>
    <row r="6" customFormat="false" ht="12.75" hidden="false" customHeight="false" outlineLevel="0" collapsed="false">
      <c r="A6" s="608" t="n">
        <f aca="false">+A5+1</f>
        <v>2</v>
      </c>
      <c r="B6" s="612" t="s">
        <v>1146</v>
      </c>
      <c r="E6" s="615" t="n">
        <f aca="false">IF(E5=Scope!$F$20,Scope!$E$20,IF(E5=Scope!$F$17,Scope!$E$17,IF(E5=Scope!$F$14,Scope!$E$14,0)))</f>
        <v>0</v>
      </c>
      <c r="F6" s="615" t="n">
        <f aca="false">IF(F5=Scope!$F$20,Scope!$E$20,IF(F5=Scope!$F$17,Scope!$E$17,IF(F5=Scope!$F$14,Scope!$E$14,0)))</f>
        <v>0</v>
      </c>
      <c r="G6" s="615" t="n">
        <f aca="false">IF(G5=Scope!$F$20,Scope!$E$20,IF(G5=Scope!$F$17,Scope!$E$17,IF(G5=Scope!$F$14,Scope!$E$14,0)))</f>
        <v>2</v>
      </c>
      <c r="H6" s="615" t="n">
        <f aca="false">IF(H5=Scope!$F$20,Scope!$E$20,IF(H5=Scope!$F$17,Scope!$E$17,IF(H5=Scope!$F$14,Scope!$E$14,0)))</f>
        <v>0</v>
      </c>
      <c r="I6" s="615" t="n">
        <f aca="false">IF(I5=Scope!$F$20,Scope!$E$20,IF(I5=Scope!$F$17,Scope!$E$17,IF(I5=Scope!$F$14,Scope!$E$14,0)))</f>
        <v>0</v>
      </c>
      <c r="J6" s="616"/>
      <c r="K6" s="615" t="n">
        <f aca="false">IF(K5=Scope!$F$20,Scope!$E$20,IF(K5=Scope!$F$17,Scope!$E$17,IF(K5=Scope!$F$14,Scope!$E$14,0)))</f>
        <v>0</v>
      </c>
      <c r="L6" s="615" t="n">
        <f aca="false">IF(L5=Scope!F28,Scope!E28,0)</f>
        <v>0</v>
      </c>
    </row>
    <row r="7" customFormat="false" ht="12.75" hidden="false" customHeight="false" outlineLevel="0" collapsed="false">
      <c r="A7" s="608" t="n">
        <f aca="false">+A6+1</f>
        <v>3</v>
      </c>
      <c r="B7" s="612" t="s">
        <v>1147</v>
      </c>
      <c r="E7" s="617" t="n">
        <f aca="false">IF(E5=Scope!$F$20,Scope!$F$21*Scope!$E$20,IF(E5=Scope!$F$17,Scope!$F$18*Scope!$E$17,IF(E5=Scope!$F$14,Scope!$F$15*Scope!$E$14,0)))</f>
        <v>0</v>
      </c>
      <c r="F7" s="617" t="n">
        <f aca="false">IF(F5=Scope!$F$20,Scope!$F$21*Scope!$E$20,IF(F5=Scope!$F$17,Scope!$F$18*Scope!$E$17,IF(F5=Scope!$F$14,Scope!$F$15*Scope!$E$14,0)))</f>
        <v>0</v>
      </c>
      <c r="G7" s="617" t="n">
        <f aca="false">IF(G5=Scope!$F$20,Scope!$F$21*Scope!$E$20,IF(G5=Scope!$F$17,Scope!$F$18*Scope!$E$17,IF(G5=Scope!$F$14,Scope!$F$15*Scope!$E$14,0)))</f>
        <v>340</v>
      </c>
      <c r="H7" s="617" t="n">
        <f aca="false">IF(H5=Scope!$F$20,Scope!$F$21*Scope!$E$20,IF(H5=Scope!$F$17,Scope!$F$18*Scope!$E$17,IF(H5=Scope!$F$14,Scope!$F$15*Scope!$E$14,0)))</f>
        <v>0</v>
      </c>
      <c r="I7" s="617" t="n">
        <f aca="false">IF(I5=Scope!$F$20,Scope!$F$21*Scope!$E$20,IF(I5=Scope!$F$17,Scope!$F$18*Scope!$E$17,IF(I5=Scope!$F$14,Scope!$F$15*Scope!$E$14,0)))</f>
        <v>0</v>
      </c>
      <c r="J7" s="618"/>
      <c r="K7" s="617" t="n">
        <f aca="false">IF(K5=Scope!$F$20,Scope!$F$21*Scope!$E$20,IF(K5=Scope!$F$17,Scope!$F$18*Scope!$E$17,IF(K5=Scope!$F$14,Scope!$F$15*Scope!$E$14,0)))</f>
        <v>0</v>
      </c>
      <c r="L7" s="619" t="n">
        <f aca="false">IF(L5=Scope!F28,Scope!F29*Scope!E28,0)</f>
        <v>0</v>
      </c>
    </row>
    <row r="8" customFormat="false" ht="13.5" hidden="false" customHeight="false" outlineLevel="0" collapsed="false">
      <c r="A8" s="608" t="n">
        <f aca="false">+A7+1</f>
        <v>4</v>
      </c>
      <c r="B8" s="609" t="s">
        <v>1148</v>
      </c>
      <c r="E8" s="620" t="n">
        <f aca="false">IF(OR(E5=Scope!$F$20,E5=Scope!$F$17,E5=Scope!$F$14),Scope!$F$39*8760,0)</f>
        <v>0</v>
      </c>
      <c r="F8" s="620" t="n">
        <f aca="false">IF(OR(F5=Scope!$F$20,F5=Scope!$F$17,F5=Scope!$F$14),Scope!$F$39*8760,0)</f>
        <v>0</v>
      </c>
      <c r="G8" s="620" t="n">
        <f aca="false">IF(OR(G5=Scope!$F$20,G5=Scope!$F$17,G5=Scope!$F$14),Scope!$F$39*8760,0)</f>
        <v>8322</v>
      </c>
      <c r="H8" s="620" t="n">
        <f aca="false">IF(OR(H5=Scope!$F$20,H5=Scope!$F$17,H5=Scope!$F$14),Scope!$F$39*8760,0)</f>
        <v>0</v>
      </c>
      <c r="I8" s="620" t="n">
        <f aca="false">IF(OR(I5=Scope!$F$20,I5=Scope!$F$17,I5=Scope!$F$14),Scope!$F$39*8760,0)</f>
        <v>0</v>
      </c>
      <c r="J8" s="621"/>
      <c r="K8" s="620" t="n">
        <f aca="false">IF(OR(K5=Scope!$F$20,K5=Scope!$F$17,K5=Scope!$F$14),Scope!$F$39*8760,0)</f>
        <v>0</v>
      </c>
      <c r="L8" s="620" t="n">
        <f aca="false">IF(L5=Scope!F28,Scope!F41,0)</f>
        <v>0</v>
      </c>
    </row>
    <row r="9" customFormat="false" ht="13.5" hidden="false" customHeight="false" outlineLevel="0" collapsed="false">
      <c r="A9" s="608" t="n">
        <f aca="false">+A8+1</f>
        <v>5</v>
      </c>
      <c r="E9" s="561"/>
      <c r="F9" s="561"/>
      <c r="G9" s="561"/>
      <c r="H9" s="561"/>
      <c r="I9" s="561"/>
      <c r="J9" s="561"/>
      <c r="K9" s="561"/>
      <c r="L9" s="561"/>
    </row>
    <row r="10" customFormat="false" ht="12.75" hidden="false" customHeight="false" outlineLevel="0" collapsed="false">
      <c r="A10" s="608" t="n">
        <f aca="false">+A9+1</f>
        <v>6</v>
      </c>
      <c r="B10" s="612" t="s">
        <v>1149</v>
      </c>
      <c r="E10" s="622" t="n">
        <f aca="false">SUM(E13:E49)</f>
        <v>0</v>
      </c>
      <c r="F10" s="622" t="n">
        <f aca="false">SUM(F13:F49)</f>
        <v>0</v>
      </c>
      <c r="G10" s="622" t="n">
        <f aca="false">SUM(G13:G49)</f>
        <v>15</v>
      </c>
      <c r="H10" s="622" t="n">
        <f aca="false">SUM(H13:H49)</f>
        <v>0</v>
      </c>
      <c r="I10" s="622" t="n">
        <f aca="false">SUM(I13:I49)</f>
        <v>0</v>
      </c>
      <c r="J10" s="623"/>
      <c r="K10" s="622" t="n">
        <f aca="false">SUM(K13:K49)</f>
        <v>0</v>
      </c>
      <c r="L10" s="622" t="n">
        <f aca="false">SUM(L13:L49)</f>
        <v>0</v>
      </c>
    </row>
    <row r="11" customFormat="false" ht="12.75" hidden="false" customHeight="false" outlineLevel="0" collapsed="false">
      <c r="A11" s="608" t="n">
        <f aca="false">+A10+1</f>
        <v>7</v>
      </c>
      <c r="B11" s="624"/>
      <c r="E11" s="625"/>
      <c r="F11" s="625"/>
      <c r="G11" s="625"/>
      <c r="H11" s="625"/>
      <c r="I11" s="625"/>
      <c r="J11" s="625"/>
      <c r="K11" s="625"/>
      <c r="L11" s="625"/>
    </row>
    <row r="12" customFormat="false" ht="12.75" hidden="false" customHeight="false" outlineLevel="0" collapsed="false">
      <c r="A12" s="608" t="n">
        <f aca="false">+A11+1</f>
        <v>8</v>
      </c>
      <c r="B12" s="626" t="s">
        <v>235</v>
      </c>
      <c r="C12" s="624"/>
      <c r="E12" s="625"/>
      <c r="F12" s="625"/>
      <c r="G12" s="625"/>
      <c r="H12" s="625"/>
      <c r="I12" s="625"/>
      <c r="J12" s="625"/>
      <c r="K12" s="625"/>
      <c r="L12" s="625"/>
    </row>
    <row r="13" customFormat="false" ht="12.75" hidden="false" customHeight="false" outlineLevel="0" collapsed="false">
      <c r="A13" s="608" t="n">
        <f aca="false">+A12+1</f>
        <v>9</v>
      </c>
      <c r="B13" s="624"/>
      <c r="C13" s="627" t="s">
        <v>929</v>
      </c>
      <c r="E13" s="628"/>
      <c r="F13" s="628"/>
      <c r="G13" s="628" t="n">
        <v>1</v>
      </c>
      <c r="H13" s="628"/>
      <c r="I13" s="628"/>
      <c r="J13" s="629"/>
      <c r="K13" s="628"/>
      <c r="L13" s="628"/>
    </row>
    <row r="14" customFormat="false" ht="12.75" hidden="false" customHeight="false" outlineLevel="0" collapsed="false">
      <c r="A14" s="608" t="n">
        <f aca="false">+A13+1</f>
        <v>10</v>
      </c>
      <c r="B14" s="624"/>
      <c r="C14" s="627" t="s">
        <v>1150</v>
      </c>
      <c r="E14" s="628"/>
      <c r="F14" s="628"/>
      <c r="G14" s="628"/>
      <c r="H14" s="628"/>
      <c r="I14" s="628"/>
      <c r="J14" s="629"/>
      <c r="K14" s="628"/>
      <c r="L14" s="628"/>
    </row>
    <row r="15" customFormat="false" ht="12.75" hidden="false" customHeight="false" outlineLevel="0" collapsed="false">
      <c r="A15" s="608" t="n">
        <f aca="false">+A14+1</f>
        <v>11</v>
      </c>
      <c r="B15" s="624"/>
      <c r="C15" s="627" t="s">
        <v>1151</v>
      </c>
      <c r="E15" s="628"/>
      <c r="F15" s="628"/>
      <c r="G15" s="628"/>
      <c r="H15" s="628"/>
      <c r="I15" s="628"/>
      <c r="J15" s="629"/>
      <c r="K15" s="628"/>
      <c r="L15" s="628"/>
    </row>
    <row r="16" customFormat="false" ht="12.75" hidden="false" customHeight="false" outlineLevel="0" collapsed="false">
      <c r="A16" s="608" t="n">
        <f aca="false">+A15+1</f>
        <v>12</v>
      </c>
      <c r="B16" s="624"/>
      <c r="C16" s="627" t="s">
        <v>1152</v>
      </c>
      <c r="E16" s="628"/>
      <c r="F16" s="628"/>
      <c r="G16" s="628"/>
      <c r="H16" s="628"/>
      <c r="I16" s="628"/>
      <c r="J16" s="629"/>
      <c r="K16" s="628"/>
      <c r="L16" s="628"/>
    </row>
    <row r="17" customFormat="false" ht="12.75" hidden="false" customHeight="false" outlineLevel="0" collapsed="false">
      <c r="A17" s="608" t="n">
        <f aca="false">+A16+1</f>
        <v>13</v>
      </c>
      <c r="B17" s="624"/>
      <c r="C17" s="627" t="s">
        <v>210</v>
      </c>
      <c r="E17" s="628"/>
      <c r="F17" s="628"/>
      <c r="G17" s="628"/>
      <c r="H17" s="628"/>
      <c r="I17" s="628"/>
      <c r="J17" s="629"/>
      <c r="K17" s="628"/>
      <c r="L17" s="628"/>
    </row>
    <row r="18" customFormat="false" ht="12.75" hidden="false" customHeight="false" outlineLevel="0" collapsed="false">
      <c r="A18" s="608" t="n">
        <f aca="false">+A17+1</f>
        <v>14</v>
      </c>
      <c r="B18" s="624"/>
      <c r="C18" s="627" t="s">
        <v>1153</v>
      </c>
      <c r="E18" s="628"/>
      <c r="F18" s="628"/>
      <c r="G18" s="628"/>
      <c r="H18" s="628"/>
      <c r="I18" s="628"/>
      <c r="J18" s="629"/>
      <c r="K18" s="628"/>
      <c r="L18" s="628"/>
    </row>
    <row r="19" customFormat="false" ht="12.75" hidden="false" customHeight="false" outlineLevel="0" collapsed="false">
      <c r="A19" s="608" t="n">
        <f aca="false">+A18+1</f>
        <v>15</v>
      </c>
      <c r="B19" s="624"/>
      <c r="C19" s="627" t="s">
        <v>1154</v>
      </c>
      <c r="E19" s="628"/>
      <c r="F19" s="628"/>
      <c r="G19" s="628" t="n">
        <v>1</v>
      </c>
      <c r="H19" s="628"/>
      <c r="I19" s="628"/>
      <c r="J19" s="629"/>
      <c r="K19" s="628"/>
      <c r="L19" s="628"/>
    </row>
    <row r="20" customFormat="false" ht="12.75" hidden="false" customHeight="false" outlineLevel="0" collapsed="false">
      <c r="A20" s="608" t="n">
        <f aca="false">+A19+1</f>
        <v>16</v>
      </c>
      <c r="B20" s="624"/>
      <c r="C20" s="627" t="s">
        <v>1155</v>
      </c>
      <c r="E20" s="628"/>
      <c r="F20" s="628"/>
      <c r="G20" s="628"/>
      <c r="H20" s="628"/>
      <c r="I20" s="628"/>
      <c r="J20" s="629"/>
      <c r="K20" s="628"/>
      <c r="L20" s="628"/>
    </row>
    <row r="21" customFormat="false" ht="12.75" hidden="false" customHeight="false" outlineLevel="0" collapsed="false">
      <c r="A21" s="608" t="n">
        <f aca="false">+A20+1</f>
        <v>17</v>
      </c>
      <c r="B21" s="624"/>
      <c r="C21" s="627" t="s">
        <v>1156</v>
      </c>
      <c r="E21" s="628"/>
      <c r="F21" s="628"/>
      <c r="G21" s="628"/>
      <c r="H21" s="628"/>
      <c r="I21" s="628"/>
      <c r="J21" s="629"/>
      <c r="K21" s="628"/>
      <c r="L21" s="628"/>
    </row>
    <row r="22" customFormat="false" ht="12.75" hidden="false" customHeight="false" outlineLevel="0" collapsed="false">
      <c r="A22" s="608" t="n">
        <f aca="false">+A21+1</f>
        <v>18</v>
      </c>
      <c r="B22" s="624"/>
      <c r="C22" s="627" t="s">
        <v>1156</v>
      </c>
      <c r="E22" s="628"/>
      <c r="F22" s="628"/>
      <c r="G22" s="628"/>
      <c r="H22" s="628"/>
      <c r="I22" s="628"/>
      <c r="J22" s="629"/>
      <c r="K22" s="628"/>
      <c r="L22" s="628"/>
    </row>
    <row r="23" customFormat="false" ht="12.75" hidden="false" customHeight="false" outlineLevel="0" collapsed="false">
      <c r="A23" s="608" t="n">
        <f aca="false">+A22+1</f>
        <v>19</v>
      </c>
      <c r="B23" s="624"/>
      <c r="C23" s="627" t="s">
        <v>1156</v>
      </c>
      <c r="E23" s="628"/>
      <c r="F23" s="628"/>
      <c r="G23" s="628"/>
      <c r="H23" s="628"/>
      <c r="I23" s="628"/>
      <c r="J23" s="629"/>
      <c r="K23" s="628"/>
      <c r="L23" s="628"/>
    </row>
    <row r="24" customFormat="false" ht="12.75" hidden="false" customHeight="false" outlineLevel="0" collapsed="false">
      <c r="A24" s="608" t="n">
        <f aca="false">+A23+1</f>
        <v>20</v>
      </c>
      <c r="B24" s="624"/>
      <c r="C24" s="624"/>
      <c r="E24" s="630"/>
      <c r="F24" s="630"/>
      <c r="G24" s="630"/>
      <c r="H24" s="630"/>
      <c r="I24" s="630"/>
      <c r="J24" s="631"/>
      <c r="K24" s="630"/>
      <c r="L24" s="630"/>
    </row>
    <row r="25" customFormat="false" ht="12.75" hidden="false" customHeight="false" outlineLevel="0" collapsed="false">
      <c r="A25" s="608" t="n">
        <f aca="false">+A24+1</f>
        <v>21</v>
      </c>
      <c r="B25" s="626" t="s">
        <v>211</v>
      </c>
      <c r="C25" s="624"/>
      <c r="E25" s="630"/>
      <c r="F25" s="630"/>
      <c r="G25" s="630"/>
      <c r="H25" s="630"/>
      <c r="I25" s="630"/>
      <c r="J25" s="631"/>
      <c r="K25" s="630"/>
      <c r="L25" s="630"/>
    </row>
    <row r="26" customFormat="false" ht="12.75" hidden="false" customHeight="false" outlineLevel="0" collapsed="false">
      <c r="A26" s="608" t="n">
        <f aca="false">+A25+1</f>
        <v>22</v>
      </c>
      <c r="B26" s="624"/>
      <c r="C26" s="627" t="s">
        <v>928</v>
      </c>
      <c r="E26" s="628"/>
      <c r="F26" s="628"/>
      <c r="G26" s="628" t="n">
        <v>1</v>
      </c>
      <c r="H26" s="628"/>
      <c r="I26" s="628"/>
      <c r="J26" s="629"/>
      <c r="K26" s="628"/>
      <c r="L26" s="628"/>
    </row>
    <row r="27" customFormat="false" ht="12.75" hidden="false" customHeight="false" outlineLevel="0" collapsed="false">
      <c r="A27" s="608" t="n">
        <f aca="false">+A26+1</f>
        <v>23</v>
      </c>
      <c r="B27" s="624"/>
      <c r="C27" s="627" t="s">
        <v>1157</v>
      </c>
      <c r="E27" s="628"/>
      <c r="F27" s="628"/>
      <c r="G27" s="628"/>
      <c r="H27" s="628"/>
      <c r="I27" s="628"/>
      <c r="J27" s="629"/>
      <c r="K27" s="628"/>
      <c r="L27" s="628"/>
    </row>
    <row r="28" customFormat="false" ht="12.75" hidden="false" customHeight="false" outlineLevel="0" collapsed="false">
      <c r="A28" s="608" t="n">
        <f aca="false">+A27+1</f>
        <v>24</v>
      </c>
      <c r="B28" s="624"/>
      <c r="C28" s="627" t="s">
        <v>1158</v>
      </c>
      <c r="E28" s="628"/>
      <c r="F28" s="628"/>
      <c r="G28" s="628"/>
      <c r="H28" s="628"/>
      <c r="I28" s="628"/>
      <c r="J28" s="629"/>
      <c r="K28" s="628"/>
      <c r="L28" s="628"/>
    </row>
    <row r="29" customFormat="false" ht="12.75" hidden="false" customHeight="false" outlineLevel="0" collapsed="false">
      <c r="A29" s="608" t="n">
        <f aca="false">+A28+1</f>
        <v>25</v>
      </c>
      <c r="B29" s="624"/>
      <c r="C29" s="627" t="s">
        <v>1159</v>
      </c>
      <c r="E29" s="628"/>
      <c r="F29" s="628"/>
      <c r="G29" s="628"/>
      <c r="H29" s="628"/>
      <c r="I29" s="628"/>
      <c r="J29" s="629"/>
      <c r="K29" s="628"/>
      <c r="L29" s="628"/>
    </row>
    <row r="30" customFormat="false" ht="12.75" hidden="false" customHeight="false" outlineLevel="0" collapsed="false">
      <c r="A30" s="608" t="n">
        <f aca="false">+A29+1</f>
        <v>26</v>
      </c>
      <c r="B30" s="624"/>
      <c r="C30" s="627" t="s">
        <v>1160</v>
      </c>
      <c r="E30" s="628"/>
      <c r="F30" s="628"/>
      <c r="G30" s="628"/>
      <c r="H30" s="628"/>
      <c r="I30" s="628"/>
      <c r="J30" s="629"/>
      <c r="K30" s="628"/>
      <c r="L30" s="628"/>
    </row>
    <row r="31" customFormat="false" ht="12.75" hidden="false" customHeight="false" outlineLevel="0" collapsed="false">
      <c r="A31" s="608" t="n">
        <f aca="false">+A30+1</f>
        <v>27</v>
      </c>
      <c r="B31" s="624"/>
      <c r="C31" s="627" t="s">
        <v>1161</v>
      </c>
      <c r="E31" s="628"/>
      <c r="F31" s="628"/>
      <c r="G31" s="628"/>
      <c r="H31" s="628"/>
      <c r="I31" s="628"/>
      <c r="J31" s="629"/>
      <c r="K31" s="628"/>
      <c r="L31" s="628"/>
    </row>
    <row r="32" customFormat="false" ht="12.75" hidden="false" customHeight="false" outlineLevel="0" collapsed="false">
      <c r="A32" s="608" t="n">
        <f aca="false">+A31+1</f>
        <v>28</v>
      </c>
      <c r="B32" s="624"/>
      <c r="C32" s="627" t="s">
        <v>1162</v>
      </c>
      <c r="E32" s="628"/>
      <c r="F32" s="628"/>
      <c r="G32" s="628"/>
      <c r="H32" s="628"/>
      <c r="I32" s="628"/>
      <c r="J32" s="629"/>
      <c r="K32" s="628"/>
      <c r="L32" s="628"/>
    </row>
    <row r="33" customFormat="false" ht="12.75" hidden="false" customHeight="false" outlineLevel="0" collapsed="false">
      <c r="A33" s="608" t="n">
        <f aca="false">+A32+1</f>
        <v>29</v>
      </c>
      <c r="B33" s="624"/>
      <c r="C33" s="627" t="s">
        <v>1163</v>
      </c>
      <c r="E33" s="628"/>
      <c r="F33" s="628"/>
      <c r="G33" s="628"/>
      <c r="H33" s="628"/>
      <c r="I33" s="628"/>
      <c r="J33" s="629"/>
      <c r="K33" s="628"/>
      <c r="L33" s="628"/>
    </row>
    <row r="34" customFormat="false" ht="12.75" hidden="false" customHeight="false" outlineLevel="0" collapsed="false">
      <c r="A34" s="608" t="n">
        <f aca="false">+A33+1</f>
        <v>30</v>
      </c>
      <c r="B34" s="624"/>
      <c r="C34" s="627" t="s">
        <v>1164</v>
      </c>
      <c r="E34" s="628"/>
      <c r="F34" s="628"/>
      <c r="G34" s="628" t="n">
        <v>4</v>
      </c>
      <c r="H34" s="628"/>
      <c r="I34" s="628"/>
      <c r="J34" s="629"/>
      <c r="K34" s="628"/>
      <c r="L34" s="628"/>
    </row>
    <row r="35" customFormat="false" ht="12.75" hidden="false" customHeight="false" outlineLevel="0" collapsed="false">
      <c r="A35" s="608" t="n">
        <f aca="false">+A34+1</f>
        <v>31</v>
      </c>
      <c r="B35" s="624"/>
      <c r="C35" s="627" t="s">
        <v>1165</v>
      </c>
      <c r="E35" s="628"/>
      <c r="F35" s="628"/>
      <c r="G35" s="628" t="n">
        <v>4</v>
      </c>
      <c r="H35" s="628"/>
      <c r="I35" s="628"/>
      <c r="J35" s="629"/>
      <c r="K35" s="628"/>
      <c r="L35" s="628"/>
    </row>
    <row r="36" customFormat="false" ht="12.75" hidden="false" customHeight="false" outlineLevel="0" collapsed="false">
      <c r="A36" s="608" t="n">
        <f aca="false">+A35+1</f>
        <v>32</v>
      </c>
      <c r="B36" s="624"/>
      <c r="C36" s="627" t="s">
        <v>1156</v>
      </c>
      <c r="E36" s="628"/>
      <c r="F36" s="628"/>
      <c r="G36" s="628"/>
      <c r="H36" s="628"/>
      <c r="I36" s="628"/>
      <c r="J36" s="629"/>
      <c r="K36" s="628"/>
      <c r="L36" s="628"/>
    </row>
    <row r="37" customFormat="false" ht="12.75" hidden="false" customHeight="false" outlineLevel="0" collapsed="false">
      <c r="A37" s="608" t="n">
        <f aca="false">+A36+1</f>
        <v>33</v>
      </c>
      <c r="B37" s="624"/>
      <c r="C37" s="624"/>
      <c r="E37" s="630"/>
      <c r="F37" s="630"/>
      <c r="G37" s="630"/>
      <c r="H37" s="630"/>
      <c r="I37" s="630"/>
      <c r="J37" s="631"/>
      <c r="K37" s="630"/>
      <c r="L37" s="630"/>
    </row>
    <row r="38" customFormat="false" ht="12.75" hidden="false" customHeight="false" outlineLevel="0" collapsed="false">
      <c r="A38" s="608" t="n">
        <f aca="false">+A37+1</f>
        <v>34</v>
      </c>
      <c r="B38" s="626" t="s">
        <v>212</v>
      </c>
      <c r="C38" s="624"/>
      <c r="E38" s="630"/>
      <c r="F38" s="630"/>
      <c r="G38" s="630"/>
      <c r="H38" s="630"/>
      <c r="I38" s="630"/>
      <c r="J38" s="631"/>
      <c r="K38" s="630"/>
      <c r="L38" s="630"/>
    </row>
    <row r="39" customFormat="false" ht="12.75" hidden="false" customHeight="false" outlineLevel="0" collapsed="false">
      <c r="A39" s="608" t="n">
        <f aca="false">+A38+1</f>
        <v>35</v>
      </c>
      <c r="B39" s="624"/>
      <c r="C39" s="627" t="s">
        <v>1166</v>
      </c>
      <c r="E39" s="628"/>
      <c r="F39" s="628"/>
      <c r="G39" s="628" t="n">
        <v>1</v>
      </c>
      <c r="H39" s="628"/>
      <c r="I39" s="628"/>
      <c r="J39" s="629"/>
      <c r="K39" s="628"/>
      <c r="L39" s="628"/>
    </row>
    <row r="40" customFormat="false" ht="12.75" hidden="false" customHeight="false" outlineLevel="0" collapsed="false">
      <c r="A40" s="608" t="n">
        <f aca="false">+A39+1</f>
        <v>36</v>
      </c>
      <c r="B40" s="624"/>
      <c r="C40" s="627" t="s">
        <v>1167</v>
      </c>
      <c r="E40" s="628"/>
      <c r="F40" s="628"/>
      <c r="G40" s="628"/>
      <c r="H40" s="628"/>
      <c r="I40" s="628"/>
      <c r="J40" s="629"/>
      <c r="K40" s="628"/>
      <c r="L40" s="628"/>
    </row>
    <row r="41" customFormat="false" ht="12.75" hidden="false" customHeight="false" outlineLevel="0" collapsed="false">
      <c r="A41" s="608" t="n">
        <f aca="false">+A40+1</f>
        <v>37</v>
      </c>
      <c r="B41" s="624"/>
      <c r="C41" s="627" t="s">
        <v>1168</v>
      </c>
      <c r="E41" s="628"/>
      <c r="F41" s="628"/>
      <c r="G41" s="628"/>
      <c r="H41" s="628"/>
      <c r="I41" s="628"/>
      <c r="J41" s="629"/>
      <c r="K41" s="628"/>
      <c r="L41" s="628"/>
    </row>
    <row r="42" customFormat="false" ht="12.75" hidden="false" customHeight="false" outlineLevel="0" collapsed="false">
      <c r="A42" s="608" t="n">
        <f aca="false">+A41+1</f>
        <v>38</v>
      </c>
      <c r="B42" s="624"/>
      <c r="C42" s="627" t="s">
        <v>1169</v>
      </c>
      <c r="E42" s="628"/>
      <c r="F42" s="628"/>
      <c r="G42" s="628" t="n">
        <v>1</v>
      </c>
      <c r="H42" s="628"/>
      <c r="I42" s="628"/>
      <c r="J42" s="629"/>
      <c r="K42" s="628"/>
      <c r="L42" s="628"/>
    </row>
    <row r="43" customFormat="false" ht="12.75" hidden="false" customHeight="false" outlineLevel="0" collapsed="false">
      <c r="A43" s="608" t="n">
        <f aca="false">+A42+1</f>
        <v>39</v>
      </c>
      <c r="B43" s="624"/>
      <c r="C43" s="627" t="s">
        <v>1170</v>
      </c>
      <c r="E43" s="628"/>
      <c r="F43" s="628"/>
      <c r="G43" s="628"/>
      <c r="H43" s="628"/>
      <c r="I43" s="628"/>
      <c r="J43" s="629"/>
      <c r="K43" s="628"/>
      <c r="L43" s="628"/>
    </row>
    <row r="44" customFormat="false" ht="12.75" hidden="false" customHeight="false" outlineLevel="0" collapsed="false">
      <c r="A44" s="608" t="n">
        <f aca="false">+A43+1</f>
        <v>40</v>
      </c>
      <c r="B44" s="624"/>
      <c r="C44" s="627" t="s">
        <v>1171</v>
      </c>
      <c r="E44" s="628"/>
      <c r="F44" s="628"/>
      <c r="G44" s="628" t="n">
        <v>1</v>
      </c>
      <c r="H44" s="628"/>
      <c r="I44" s="628"/>
      <c r="J44" s="629"/>
      <c r="K44" s="628"/>
      <c r="L44" s="628"/>
    </row>
    <row r="45" customFormat="false" ht="12.75" hidden="false" customHeight="false" outlineLevel="0" collapsed="false">
      <c r="A45" s="608" t="n">
        <f aca="false">+A44+1</f>
        <v>41</v>
      </c>
      <c r="B45" s="624"/>
      <c r="C45" s="627" t="s">
        <v>1172</v>
      </c>
      <c r="E45" s="628"/>
      <c r="F45" s="628"/>
      <c r="G45" s="628" t="n">
        <v>1</v>
      </c>
      <c r="H45" s="628"/>
      <c r="I45" s="628"/>
      <c r="J45" s="629"/>
      <c r="K45" s="628"/>
      <c r="L45" s="628"/>
    </row>
    <row r="46" customFormat="false" ht="12.75" hidden="false" customHeight="false" outlineLevel="0" collapsed="false">
      <c r="A46" s="608" t="n">
        <f aca="false">+A45+1</f>
        <v>42</v>
      </c>
      <c r="B46" s="624"/>
      <c r="C46" s="627" t="s">
        <v>1156</v>
      </c>
      <c r="E46" s="628"/>
      <c r="F46" s="628"/>
      <c r="G46" s="628"/>
      <c r="H46" s="628"/>
      <c r="I46" s="628"/>
      <c r="J46" s="629"/>
      <c r="K46" s="628"/>
      <c r="L46" s="628"/>
    </row>
    <row r="47" customFormat="false" ht="12.75" hidden="false" customHeight="false" outlineLevel="0" collapsed="false">
      <c r="A47" s="608" t="n">
        <f aca="false">+A46+1</f>
        <v>43</v>
      </c>
      <c r="B47" s="624"/>
      <c r="C47" s="627" t="s">
        <v>1156</v>
      </c>
      <c r="E47" s="628"/>
      <c r="F47" s="628"/>
      <c r="G47" s="628"/>
      <c r="H47" s="628"/>
      <c r="I47" s="628"/>
      <c r="J47" s="629"/>
      <c r="K47" s="628"/>
      <c r="L47" s="628"/>
    </row>
    <row r="48" customFormat="false" ht="12.75" hidden="false" customHeight="false" outlineLevel="0" collapsed="false">
      <c r="A48" s="608" t="n">
        <f aca="false">+A47+1</f>
        <v>44</v>
      </c>
      <c r="B48" s="624"/>
      <c r="C48" s="627" t="s">
        <v>1156</v>
      </c>
      <c r="E48" s="628"/>
      <c r="F48" s="628"/>
      <c r="G48" s="628"/>
      <c r="H48" s="628"/>
      <c r="I48" s="628"/>
      <c r="J48" s="629"/>
      <c r="K48" s="628"/>
      <c r="L48" s="628"/>
    </row>
    <row r="49" customFormat="false" ht="13.5" hidden="false" customHeight="false" outlineLevel="0" collapsed="false">
      <c r="A49" s="608" t="n">
        <f aca="false">+A48+1</f>
        <v>45</v>
      </c>
      <c r="B49" s="624"/>
      <c r="C49" s="627" t="s">
        <v>1156</v>
      </c>
      <c r="E49" s="632"/>
      <c r="F49" s="632"/>
      <c r="G49" s="632"/>
      <c r="H49" s="632"/>
      <c r="I49" s="632"/>
      <c r="J49" s="633"/>
      <c r="K49" s="632"/>
      <c r="L49" s="632"/>
    </row>
    <row r="50" customFormat="false" ht="12.75" hidden="false" customHeight="false" outlineLevel="0" collapsed="false">
      <c r="A50" s="608" t="n">
        <f aca="false">+A49+1</f>
        <v>46</v>
      </c>
      <c r="E50" s="23"/>
      <c r="F50" s="23"/>
      <c r="G50" s="23"/>
      <c r="H50" s="23"/>
      <c r="I50" s="23"/>
      <c r="J50" s="23"/>
      <c r="K50" s="23"/>
      <c r="L50" s="23"/>
    </row>
    <row r="51" customFormat="false" ht="18" hidden="false" customHeight="false" outlineLevel="0" collapsed="false">
      <c r="A51" s="608" t="n">
        <f aca="false">+A50+1</f>
        <v>47</v>
      </c>
      <c r="B51" s="634" t="s">
        <v>1173</v>
      </c>
      <c r="C51" s="626"/>
      <c r="D51" s="626"/>
      <c r="E51" s="17"/>
      <c r="F51" s="17"/>
      <c r="G51" s="17"/>
      <c r="H51" s="17"/>
      <c r="I51" s="17"/>
      <c r="J51" s="17"/>
      <c r="K51" s="17"/>
      <c r="L51" s="17"/>
    </row>
    <row r="52" customFormat="false" ht="12.75" hidden="false" customHeight="false" outlineLevel="0" collapsed="false">
      <c r="A52" s="608" t="n">
        <f aca="false">+A51+1</f>
        <v>48</v>
      </c>
      <c r="B52" s="635" t="s">
        <v>179</v>
      </c>
      <c r="C52" s="537"/>
      <c r="D52" s="624"/>
      <c r="E52" s="23"/>
      <c r="F52" s="23"/>
      <c r="G52" s="23"/>
      <c r="H52" s="23"/>
      <c r="I52" s="23"/>
      <c r="J52" s="23"/>
      <c r="K52" s="23"/>
      <c r="L52" s="23"/>
    </row>
    <row r="53" customFormat="false" ht="12.75" hidden="false" customHeight="false" outlineLevel="0" collapsed="false">
      <c r="A53" s="608" t="n">
        <f aca="false">+A52+1</f>
        <v>49</v>
      </c>
      <c r="C53" s="636" t="s">
        <v>1174</v>
      </c>
      <c r="D53" s="624"/>
      <c r="E53" s="637" t="n">
        <f aca="false">33000*E10/110</f>
        <v>0</v>
      </c>
      <c r="F53" s="637" t="n">
        <f aca="false">33000*F10/110</f>
        <v>0</v>
      </c>
      <c r="G53" s="637" t="n">
        <f aca="false">33000*G10/110</f>
        <v>4500</v>
      </c>
      <c r="H53" s="637" t="n">
        <f aca="false">33000*H10/110</f>
        <v>0</v>
      </c>
      <c r="I53" s="637" t="n">
        <f aca="false">33000*I10/110</f>
        <v>0</v>
      </c>
      <c r="J53" s="638"/>
      <c r="K53" s="637" t="n">
        <f aca="false">33000*K10/110</f>
        <v>0</v>
      </c>
      <c r="L53" s="637" t="n">
        <f aca="false">33000*L10/110</f>
        <v>0</v>
      </c>
    </row>
    <row r="54" customFormat="false" ht="12.75" hidden="false" customHeight="false" outlineLevel="0" collapsed="false">
      <c r="A54" s="608" t="n">
        <f aca="false">+A53+1</f>
        <v>50</v>
      </c>
      <c r="C54" s="636" t="s">
        <v>1175</v>
      </c>
      <c r="D54" s="624"/>
      <c r="E54" s="637" t="n">
        <f aca="false">42000*E10/110</f>
        <v>0</v>
      </c>
      <c r="F54" s="637" t="n">
        <f aca="false">42000*F10/110</f>
        <v>0</v>
      </c>
      <c r="G54" s="637" t="n">
        <f aca="false">42000*G10/110</f>
        <v>5727.27272727273</v>
      </c>
      <c r="H54" s="637" t="n">
        <f aca="false">42000*H10/110</f>
        <v>0</v>
      </c>
      <c r="I54" s="637" t="n">
        <f aca="false">42000*I10/110</f>
        <v>0</v>
      </c>
      <c r="J54" s="638"/>
      <c r="K54" s="637" t="n">
        <f aca="false">42000*K10/110</f>
        <v>0</v>
      </c>
      <c r="L54" s="637" t="n">
        <f aca="false">42000*L10/110</f>
        <v>0</v>
      </c>
    </row>
    <row r="55" customFormat="false" ht="12.75" hidden="false" customHeight="false" outlineLevel="0" collapsed="false">
      <c r="A55" s="608" t="n">
        <f aca="false">+A54+1</f>
        <v>51</v>
      </c>
      <c r="C55" s="636" t="s">
        <v>1176</v>
      </c>
      <c r="D55" s="624"/>
      <c r="E55" s="637" t="n">
        <f aca="false">25000*E10/110</f>
        <v>0</v>
      </c>
      <c r="F55" s="637" t="n">
        <f aca="false">25000*F10/110</f>
        <v>0</v>
      </c>
      <c r="G55" s="637" t="n">
        <f aca="false">25000*G10/110</f>
        <v>3409.09090909091</v>
      </c>
      <c r="H55" s="637" t="n">
        <f aca="false">25000*H10/110</f>
        <v>0</v>
      </c>
      <c r="I55" s="637" t="n">
        <f aca="false">25000*I10/110</f>
        <v>0</v>
      </c>
      <c r="J55" s="638"/>
      <c r="K55" s="637" t="n">
        <f aca="false">25000*K10/110</f>
        <v>0</v>
      </c>
      <c r="L55" s="637" t="n">
        <f aca="false">25000*L10/110</f>
        <v>0</v>
      </c>
    </row>
    <row r="56" customFormat="false" ht="12.75" hidden="false" customHeight="false" outlineLevel="0" collapsed="false">
      <c r="A56" s="608" t="n">
        <f aca="false">+A55+1</f>
        <v>52</v>
      </c>
      <c r="C56" s="636" t="s">
        <v>1177</v>
      </c>
      <c r="D56" s="624"/>
      <c r="E56" s="637" t="n">
        <f aca="false">1000*E10/4</f>
        <v>0</v>
      </c>
      <c r="F56" s="637" t="n">
        <f aca="false">1000*F10/4</f>
        <v>0</v>
      </c>
      <c r="G56" s="637" t="n">
        <f aca="false">1000*G10/4</f>
        <v>3750</v>
      </c>
      <c r="H56" s="637" t="n">
        <f aca="false">1000*H10/4</f>
        <v>0</v>
      </c>
      <c r="I56" s="637" t="n">
        <f aca="false">1000*I10/4</f>
        <v>0</v>
      </c>
      <c r="J56" s="638"/>
      <c r="K56" s="637" t="n">
        <f aca="false">1000*K10/4</f>
        <v>0</v>
      </c>
      <c r="L56" s="637" t="n">
        <f aca="false">1000*L10/4</f>
        <v>0</v>
      </c>
    </row>
    <row r="57" customFormat="false" ht="12.75" hidden="false" customHeight="false" outlineLevel="0" collapsed="false">
      <c r="A57" s="608" t="n">
        <f aca="false">+A56+1</f>
        <v>53</v>
      </c>
      <c r="C57" s="636" t="s">
        <v>1178</v>
      </c>
      <c r="D57" s="624"/>
      <c r="E57" s="637" t="n">
        <f aca="false">12*25*E10</f>
        <v>0</v>
      </c>
      <c r="F57" s="637" t="n">
        <f aca="false">12*25*F10</f>
        <v>0</v>
      </c>
      <c r="G57" s="637" t="n">
        <f aca="false">12*25*G10</f>
        <v>4500</v>
      </c>
      <c r="H57" s="637" t="n">
        <f aca="false">12*25*H10</f>
        <v>0</v>
      </c>
      <c r="I57" s="637" t="n">
        <f aca="false">12*25*I10</f>
        <v>0</v>
      </c>
      <c r="J57" s="638"/>
      <c r="K57" s="637" t="n">
        <f aca="false">12*25*K10</f>
        <v>0</v>
      </c>
      <c r="L57" s="637" t="n">
        <f aca="false">12*25*L10</f>
        <v>0</v>
      </c>
    </row>
    <row r="58" customFormat="false" ht="12.75" hidden="false" customHeight="false" outlineLevel="0" collapsed="false">
      <c r="A58" s="608" t="n">
        <f aca="false">+A57+1</f>
        <v>54</v>
      </c>
      <c r="C58" s="636" t="s">
        <v>1179</v>
      </c>
      <c r="D58" s="624"/>
      <c r="E58" s="637" t="n">
        <f aca="false">5600*E10/110</f>
        <v>0</v>
      </c>
      <c r="F58" s="637" t="n">
        <f aca="false">5600*F10/110</f>
        <v>0</v>
      </c>
      <c r="G58" s="637" t="n">
        <f aca="false">5600*G10/110</f>
        <v>763.636363636364</v>
      </c>
      <c r="H58" s="637" t="n">
        <f aca="false">5600*H10/110</f>
        <v>0</v>
      </c>
      <c r="I58" s="637" t="n">
        <f aca="false">5600*I10/110</f>
        <v>0</v>
      </c>
      <c r="J58" s="638"/>
      <c r="K58" s="637" t="n">
        <f aca="false">5600*K10/110</f>
        <v>0</v>
      </c>
      <c r="L58" s="637" t="n">
        <f aca="false">5600*L10/110</f>
        <v>0</v>
      </c>
    </row>
    <row r="59" customFormat="false" ht="12.75" hidden="false" customHeight="false" outlineLevel="0" collapsed="false">
      <c r="A59" s="608" t="n">
        <f aca="false">+A58+1</f>
        <v>55</v>
      </c>
      <c r="C59" s="636" t="s">
        <v>1180</v>
      </c>
      <c r="D59" s="624"/>
      <c r="E59" s="637" t="n">
        <v>0</v>
      </c>
      <c r="F59" s="637" t="n">
        <v>0</v>
      </c>
      <c r="G59" s="637" t="n">
        <v>0</v>
      </c>
      <c r="H59" s="637" t="n">
        <v>0</v>
      </c>
      <c r="I59" s="637" t="n">
        <v>0</v>
      </c>
      <c r="J59" s="638"/>
      <c r="K59" s="637" t="n">
        <v>0</v>
      </c>
      <c r="L59" s="637" t="n">
        <v>0</v>
      </c>
    </row>
    <row r="60" customFormat="false" ht="12.75" hidden="false" customHeight="false" outlineLevel="0" collapsed="false">
      <c r="A60" s="608" t="n">
        <f aca="false">+A59+1</f>
        <v>56</v>
      </c>
      <c r="C60" s="636" t="s">
        <v>1156</v>
      </c>
      <c r="D60" s="624"/>
      <c r="E60" s="637" t="n">
        <v>0</v>
      </c>
      <c r="F60" s="637" t="n">
        <v>0</v>
      </c>
      <c r="G60" s="637" t="n">
        <v>0</v>
      </c>
      <c r="H60" s="637" t="n">
        <v>0</v>
      </c>
      <c r="I60" s="637" t="n">
        <v>0</v>
      </c>
      <c r="J60" s="638"/>
      <c r="K60" s="637" t="n">
        <v>0</v>
      </c>
      <c r="L60" s="637" t="n">
        <v>0</v>
      </c>
    </row>
    <row r="61" customFormat="false" ht="12.75" hidden="false" customHeight="false" outlineLevel="0" collapsed="false">
      <c r="A61" s="608" t="n">
        <f aca="false">+A60+1</f>
        <v>57</v>
      </c>
      <c r="B61" s="561"/>
      <c r="C61" s="639" t="s">
        <v>431</v>
      </c>
      <c r="D61" s="624"/>
      <c r="E61" s="640" t="n">
        <f aca="false">SUBTOTAL(9,E53:E60)</f>
        <v>0</v>
      </c>
      <c r="F61" s="640" t="n">
        <f aca="false">SUBTOTAL(9,F53:F60)</f>
        <v>0</v>
      </c>
      <c r="G61" s="640" t="n">
        <f aca="false">SUBTOTAL(9,G53:G60)</f>
        <v>22650</v>
      </c>
      <c r="H61" s="640" t="n">
        <f aca="false">SUBTOTAL(9,H53:H60)</f>
        <v>0</v>
      </c>
      <c r="I61" s="640" t="n">
        <f aca="false">SUBTOTAL(9,I53:I60)</f>
        <v>0</v>
      </c>
      <c r="J61" s="641"/>
      <c r="K61" s="640" t="n">
        <f aca="false">SUBTOTAL(9,K53:K60)</f>
        <v>0</v>
      </c>
      <c r="L61" s="640" t="n">
        <f aca="false">SUBTOTAL(9,L53:L60)</f>
        <v>0</v>
      </c>
    </row>
    <row r="62" customFormat="false" ht="12.75" hidden="false" customHeight="false" outlineLevel="0" collapsed="false">
      <c r="A62" s="608" t="n">
        <f aca="false">+A61+1</f>
        <v>58</v>
      </c>
      <c r="B62" s="635" t="s">
        <v>981</v>
      </c>
      <c r="C62" s="642"/>
      <c r="D62" s="624"/>
      <c r="E62" s="449"/>
      <c r="F62" s="449"/>
      <c r="G62" s="449"/>
      <c r="H62" s="449"/>
      <c r="I62" s="449"/>
      <c r="J62" s="643"/>
      <c r="K62" s="449"/>
      <c r="L62" s="449"/>
    </row>
    <row r="63" customFormat="false" ht="12.75" hidden="false" customHeight="false" outlineLevel="0" collapsed="false">
      <c r="A63" s="608" t="n">
        <f aca="false">+A62+1</f>
        <v>59</v>
      </c>
      <c r="C63" s="636" t="s">
        <v>1181</v>
      </c>
      <c r="D63" s="624"/>
      <c r="E63" s="644"/>
      <c r="F63" s="644"/>
      <c r="G63" s="644"/>
      <c r="H63" s="644"/>
      <c r="I63" s="644"/>
      <c r="J63" s="645"/>
      <c r="K63" s="644" t="n">
        <v>0</v>
      </c>
      <c r="L63" s="644" t="n">
        <v>0</v>
      </c>
    </row>
    <row r="64" customFormat="false" ht="12.75" hidden="false" customHeight="false" outlineLevel="0" collapsed="false">
      <c r="A64" s="608" t="n">
        <f aca="false">+A63+1</f>
        <v>60</v>
      </c>
      <c r="B64" s="538"/>
      <c r="C64" s="636" t="s">
        <v>1156</v>
      </c>
      <c r="D64" s="624"/>
      <c r="E64" s="646" t="n">
        <v>0</v>
      </c>
      <c r="F64" s="646" t="n">
        <v>0</v>
      </c>
      <c r="G64" s="646" t="n">
        <v>0</v>
      </c>
      <c r="H64" s="646" t="n">
        <v>0</v>
      </c>
      <c r="I64" s="646" t="n">
        <v>0</v>
      </c>
      <c r="J64" s="647"/>
      <c r="K64" s="646" t="n">
        <v>0</v>
      </c>
      <c r="L64" s="646" t="n">
        <v>0</v>
      </c>
    </row>
    <row r="65" customFormat="false" ht="12.75" hidden="false" customHeight="false" outlineLevel="0" collapsed="false">
      <c r="A65" s="608" t="n">
        <f aca="false">+A64+1</f>
        <v>61</v>
      </c>
      <c r="B65" s="561"/>
      <c r="C65" s="639" t="s">
        <v>431</v>
      </c>
      <c r="D65" s="624"/>
      <c r="E65" s="640" t="n">
        <f aca="false">SUBTOTAL(9,E63:E64)</f>
        <v>0</v>
      </c>
      <c r="F65" s="640" t="n">
        <f aca="false">SUBTOTAL(9,F63:F64)</f>
        <v>0</v>
      </c>
      <c r="G65" s="640" t="n">
        <f aca="false">SUBTOTAL(9,G63:G64)</f>
        <v>0</v>
      </c>
      <c r="H65" s="640" t="n">
        <f aca="false">SUBTOTAL(9,H63:H64)</f>
        <v>0</v>
      </c>
      <c r="I65" s="640" t="n">
        <f aca="false">SUBTOTAL(9,I63:I64)</f>
        <v>0</v>
      </c>
      <c r="J65" s="641"/>
      <c r="K65" s="640" t="n">
        <f aca="false">SUBTOTAL(9,K63:K64)</f>
        <v>0</v>
      </c>
      <c r="L65" s="640" t="n">
        <f aca="false">SUBTOTAL(9,L63:L64)</f>
        <v>0</v>
      </c>
    </row>
    <row r="66" customFormat="false" ht="12.75" hidden="false" customHeight="false" outlineLevel="0" collapsed="false">
      <c r="A66" s="608" t="n">
        <f aca="false">+A65+1</f>
        <v>62</v>
      </c>
      <c r="B66" s="635" t="s">
        <v>1182</v>
      </c>
      <c r="C66" s="642"/>
      <c r="D66" s="624"/>
      <c r="E66" s="449"/>
      <c r="F66" s="449"/>
      <c r="G66" s="449"/>
      <c r="H66" s="449"/>
      <c r="I66" s="449"/>
      <c r="J66" s="643"/>
      <c r="K66" s="449"/>
      <c r="L66" s="449"/>
    </row>
    <row r="67" customFormat="false" ht="12.75" hidden="false" customHeight="false" outlineLevel="0" collapsed="false">
      <c r="A67" s="608" t="n">
        <f aca="false">+A66+1</f>
        <v>63</v>
      </c>
      <c r="C67" s="636" t="s">
        <v>1183</v>
      </c>
      <c r="D67" s="624"/>
      <c r="E67" s="468" t="n">
        <f aca="false">E7/1200*11700</f>
        <v>0</v>
      </c>
      <c r="F67" s="468" t="n">
        <f aca="false">F7/1200*11700</f>
        <v>0</v>
      </c>
      <c r="G67" s="468" t="n">
        <f aca="false">G7/1200*11700</f>
        <v>3315</v>
      </c>
      <c r="H67" s="468" t="n">
        <f aca="false">H7/1200*11700</f>
        <v>0</v>
      </c>
      <c r="I67" s="468" t="n">
        <f aca="false">I7/1200*11700</f>
        <v>0</v>
      </c>
      <c r="J67" s="648"/>
      <c r="K67" s="468" t="n">
        <f aca="false">K7/1200*11700</f>
        <v>0</v>
      </c>
      <c r="L67" s="468" t="n">
        <f aca="false">L7/7/1200*11700</f>
        <v>0</v>
      </c>
    </row>
    <row r="68" customFormat="false" ht="12.75" hidden="false" customHeight="false" outlineLevel="0" collapsed="false">
      <c r="A68" s="608" t="n">
        <f aca="false">+A67+1</f>
        <v>64</v>
      </c>
      <c r="C68" s="636" t="s">
        <v>188</v>
      </c>
      <c r="D68" s="624"/>
      <c r="E68" s="468" t="n">
        <f aca="false">E7/1200*38500</f>
        <v>0</v>
      </c>
      <c r="F68" s="468" t="n">
        <f aca="false">F7/1200*38500</f>
        <v>0</v>
      </c>
      <c r="G68" s="468" t="n">
        <f aca="false">G7/1200*38500</f>
        <v>10908.3333333333</v>
      </c>
      <c r="H68" s="468" t="n">
        <f aca="false">H7/1200*38500</f>
        <v>0</v>
      </c>
      <c r="I68" s="468" t="n">
        <f aca="false">I7/1200*38500</f>
        <v>0</v>
      </c>
      <c r="J68" s="648"/>
      <c r="K68" s="468" t="n">
        <f aca="false">K7/1200*38500</f>
        <v>0</v>
      </c>
      <c r="L68" s="468" t="n">
        <f aca="false">L7/7/1200*38500</f>
        <v>0</v>
      </c>
    </row>
    <row r="69" customFormat="false" ht="12.75" hidden="false" customHeight="false" outlineLevel="0" collapsed="false">
      <c r="A69" s="608" t="n">
        <f aca="false">+A68+1</f>
        <v>65</v>
      </c>
      <c r="C69" s="636" t="s">
        <v>1184</v>
      </c>
      <c r="D69" s="624"/>
      <c r="E69" s="468" t="n">
        <f aca="false">E7/1200*13650</f>
        <v>0</v>
      </c>
      <c r="F69" s="468" t="n">
        <f aca="false">F7/1200*13650</f>
        <v>0</v>
      </c>
      <c r="G69" s="468" t="n">
        <f aca="false">G7/1200*13650</f>
        <v>3867.5</v>
      </c>
      <c r="H69" s="468" t="n">
        <f aca="false">H7/1200*13650</f>
        <v>0</v>
      </c>
      <c r="I69" s="468" t="n">
        <f aca="false">I7/1200*13650</f>
        <v>0</v>
      </c>
      <c r="J69" s="648"/>
      <c r="K69" s="468" t="n">
        <f aca="false">K7/1200*13650</f>
        <v>0</v>
      </c>
      <c r="L69" s="468" t="n">
        <f aca="false">L7/7/1200*13650</f>
        <v>0</v>
      </c>
    </row>
    <row r="70" customFormat="false" ht="12.75" hidden="false" customHeight="false" outlineLevel="0" collapsed="false">
      <c r="A70" s="608" t="n">
        <f aca="false">+A69+1</f>
        <v>66</v>
      </c>
      <c r="C70" s="636" t="s">
        <v>1185</v>
      </c>
      <c r="D70" s="624"/>
      <c r="E70" s="468" t="n">
        <v>0</v>
      </c>
      <c r="F70" s="468" t="n">
        <v>0</v>
      </c>
      <c r="G70" s="468" t="n">
        <v>0</v>
      </c>
      <c r="H70" s="468" t="n">
        <v>1</v>
      </c>
      <c r="I70" s="468" t="n">
        <v>1</v>
      </c>
      <c r="J70" s="648"/>
      <c r="K70" s="468" t="n">
        <f aca="false">J70</f>
        <v>0</v>
      </c>
      <c r="L70" s="468" t="n">
        <v>0</v>
      </c>
    </row>
    <row r="71" customFormat="false" ht="12.75" hidden="false" customHeight="false" outlineLevel="0" collapsed="false">
      <c r="A71" s="608" t="n">
        <f aca="false">+A70+1</f>
        <v>67</v>
      </c>
      <c r="C71" s="636" t="s">
        <v>1186</v>
      </c>
      <c r="D71" s="624"/>
      <c r="E71" s="468" t="n">
        <f aca="false">10000*E6</f>
        <v>0</v>
      </c>
      <c r="F71" s="468" t="n">
        <f aca="false">10000*F6</f>
        <v>0</v>
      </c>
      <c r="G71" s="468" t="n">
        <f aca="false">10000*G6</f>
        <v>20000</v>
      </c>
      <c r="H71" s="468" t="n">
        <f aca="false">10000*H6</f>
        <v>0</v>
      </c>
      <c r="I71" s="468" t="n">
        <f aca="false">10000*I6</f>
        <v>0</v>
      </c>
      <c r="J71" s="648"/>
      <c r="K71" s="468" t="n">
        <f aca="false">10000*K6</f>
        <v>0</v>
      </c>
      <c r="L71" s="468" t="n">
        <f aca="false">10000*L6</f>
        <v>0</v>
      </c>
    </row>
    <row r="72" customFormat="false" ht="12.75" hidden="false" customHeight="false" outlineLevel="0" collapsed="false">
      <c r="A72" s="608" t="n">
        <f aca="false">+A71+1</f>
        <v>68</v>
      </c>
      <c r="C72" s="636" t="s">
        <v>1187</v>
      </c>
      <c r="D72" s="624"/>
      <c r="E72" s="468" t="n">
        <v>0</v>
      </c>
      <c r="F72" s="468" t="n">
        <v>0</v>
      </c>
      <c r="G72" s="468" t="n">
        <v>0</v>
      </c>
      <c r="H72" s="468" t="n">
        <v>0</v>
      </c>
      <c r="I72" s="468" t="n">
        <v>0</v>
      </c>
      <c r="J72" s="648"/>
      <c r="K72" s="637" t="n">
        <f aca="false">J72</f>
        <v>0</v>
      </c>
      <c r="L72" s="637" t="n">
        <f aca="false">K72</f>
        <v>0</v>
      </c>
    </row>
    <row r="73" customFormat="false" ht="12.75" hidden="false" customHeight="false" outlineLevel="0" collapsed="false">
      <c r="A73" s="608" t="n">
        <f aca="false">+A72+1</f>
        <v>69</v>
      </c>
      <c r="C73" s="636" t="s">
        <v>1156</v>
      </c>
      <c r="D73" s="624"/>
      <c r="E73" s="468" t="n">
        <v>0</v>
      </c>
      <c r="F73" s="468" t="n">
        <v>0</v>
      </c>
      <c r="G73" s="468" t="n">
        <v>0</v>
      </c>
      <c r="H73" s="468" t="n">
        <v>0</v>
      </c>
      <c r="I73" s="468" t="n">
        <v>0</v>
      </c>
      <c r="J73" s="648"/>
      <c r="K73" s="468" t="n">
        <f aca="false">J73</f>
        <v>0</v>
      </c>
      <c r="L73" s="468" t="n">
        <f aca="false">K73</f>
        <v>0</v>
      </c>
    </row>
    <row r="74" customFormat="false" ht="12.75" hidden="false" customHeight="false" outlineLevel="0" collapsed="false">
      <c r="A74" s="608" t="n">
        <f aca="false">+A73+1</f>
        <v>70</v>
      </c>
      <c r="B74" s="538"/>
      <c r="C74" s="636" t="s">
        <v>1156</v>
      </c>
      <c r="D74" s="624"/>
      <c r="E74" s="468" t="n">
        <v>0</v>
      </c>
      <c r="F74" s="468" t="n">
        <v>0</v>
      </c>
      <c r="G74" s="468" t="n">
        <v>0</v>
      </c>
      <c r="H74" s="468" t="n">
        <v>0</v>
      </c>
      <c r="I74" s="468" t="n">
        <v>0</v>
      </c>
      <c r="J74" s="648"/>
      <c r="K74" s="468" t="n">
        <f aca="false">J74</f>
        <v>0</v>
      </c>
      <c r="L74" s="468" t="n">
        <f aca="false">K74</f>
        <v>0</v>
      </c>
    </row>
    <row r="75" customFormat="false" ht="12.75" hidden="false" customHeight="false" outlineLevel="0" collapsed="false">
      <c r="A75" s="608" t="n">
        <f aca="false">+A74+1</f>
        <v>71</v>
      </c>
      <c r="B75" s="561"/>
      <c r="C75" s="639" t="s">
        <v>431</v>
      </c>
      <c r="D75" s="624"/>
      <c r="E75" s="649" t="n">
        <f aca="false">SUBTOTAL(9,E67:E74)</f>
        <v>0</v>
      </c>
      <c r="F75" s="649" t="n">
        <f aca="false">SUBTOTAL(9,F67:F74)</f>
        <v>0</v>
      </c>
      <c r="G75" s="649" t="n">
        <f aca="false">SUBTOTAL(9,G67:G74)</f>
        <v>38090.8333333333</v>
      </c>
      <c r="H75" s="649" t="n">
        <f aca="false">SUBTOTAL(9,H67:H74)</f>
        <v>1</v>
      </c>
      <c r="I75" s="649" t="n">
        <f aca="false">SUBTOTAL(9,I67:I74)</f>
        <v>1</v>
      </c>
      <c r="J75" s="650"/>
      <c r="K75" s="649" t="n">
        <f aca="false">SUBTOTAL(9,K67:K74)</f>
        <v>0</v>
      </c>
      <c r="L75" s="649" t="n">
        <f aca="false">SUBTOTAL(9,L67:L74)</f>
        <v>0</v>
      </c>
    </row>
    <row r="76" customFormat="false" ht="12.75" hidden="false" customHeight="false" outlineLevel="0" collapsed="false">
      <c r="A76" s="608" t="n">
        <f aca="false">+A75+1</f>
        <v>72</v>
      </c>
      <c r="B76" s="635" t="s">
        <v>995</v>
      </c>
      <c r="C76" s="642"/>
      <c r="D76" s="624"/>
      <c r="E76" s="449"/>
      <c r="F76" s="449"/>
      <c r="G76" s="449"/>
      <c r="H76" s="449"/>
      <c r="I76" s="449"/>
      <c r="J76" s="643"/>
      <c r="K76" s="449"/>
      <c r="L76" s="449"/>
    </row>
    <row r="77" customFormat="false" ht="12.75" hidden="false" customHeight="false" outlineLevel="0" collapsed="false">
      <c r="A77" s="608" t="n">
        <f aca="false">+A76+1</f>
        <v>73</v>
      </c>
      <c r="C77" s="636" t="s">
        <v>1183</v>
      </c>
      <c r="D77" s="624"/>
      <c r="E77" s="637" t="n">
        <f aca="false">17520*E10/62</f>
        <v>0</v>
      </c>
      <c r="F77" s="637" t="n">
        <f aca="false">17520*F10/62</f>
        <v>0</v>
      </c>
      <c r="G77" s="637" t="n">
        <f aca="false">17520*G10/62</f>
        <v>4238.70967741936</v>
      </c>
      <c r="H77" s="637" t="n">
        <f aca="false">17520*H10/62</f>
        <v>0</v>
      </c>
      <c r="I77" s="637" t="n">
        <f aca="false">17520*I10/62</f>
        <v>0</v>
      </c>
      <c r="J77" s="638"/>
      <c r="K77" s="637" t="n">
        <f aca="false">17520*K10/62</f>
        <v>0</v>
      </c>
      <c r="L77" s="637" t="n">
        <f aca="false">17520*L10/62</f>
        <v>0</v>
      </c>
    </row>
    <row r="78" customFormat="false" ht="12.75" hidden="false" customHeight="false" outlineLevel="0" collapsed="false">
      <c r="A78" s="608" t="n">
        <f aca="false">+A77+1</f>
        <v>74</v>
      </c>
      <c r="C78" s="636" t="s">
        <v>188</v>
      </c>
      <c r="D78" s="624"/>
      <c r="E78" s="468" t="n">
        <f aca="false">38500*E7/1200</f>
        <v>0</v>
      </c>
      <c r="F78" s="468" t="n">
        <f aca="false">38500*((Scope!$F$24*Scope!$E$23)+F7)/1200</f>
        <v>9625</v>
      </c>
      <c r="G78" s="468" t="n">
        <f aca="false">38500*G7/1200</f>
        <v>10908.3333333333</v>
      </c>
      <c r="H78" s="468" t="n">
        <f aca="false">38500*H7/1200</f>
        <v>0</v>
      </c>
      <c r="I78" s="468" t="n">
        <f aca="false">38500*I7/1200</f>
        <v>0</v>
      </c>
      <c r="J78" s="648"/>
      <c r="K78" s="468" t="n">
        <f aca="false">38500*K7/1200</f>
        <v>0</v>
      </c>
      <c r="L78" s="468" t="n">
        <v>0</v>
      </c>
    </row>
    <row r="79" customFormat="false" ht="12.75" hidden="false" customHeight="false" outlineLevel="0" collapsed="false">
      <c r="A79" s="608" t="n">
        <f aca="false">+A78+1</f>
        <v>75</v>
      </c>
      <c r="C79" s="636" t="s">
        <v>1188</v>
      </c>
      <c r="D79" s="624"/>
      <c r="E79" s="468"/>
      <c r="F79" s="468"/>
      <c r="G79" s="468"/>
      <c r="H79" s="468"/>
      <c r="I79" s="468"/>
      <c r="J79" s="648"/>
      <c r="K79" s="468"/>
      <c r="L79" s="468"/>
    </row>
    <row r="80" customFormat="false" ht="12.75" hidden="false" customHeight="false" outlineLevel="0" collapsed="false">
      <c r="A80" s="608" t="n">
        <f aca="false">+A79+1</f>
        <v>76</v>
      </c>
      <c r="C80" s="636" t="s">
        <v>1189</v>
      </c>
      <c r="D80" s="624"/>
      <c r="E80" s="637" t="n">
        <f aca="false">E10/62*27985</f>
        <v>0</v>
      </c>
      <c r="F80" s="637" t="n">
        <f aca="false">F10/62*27985</f>
        <v>0</v>
      </c>
      <c r="G80" s="637" t="n">
        <f aca="false">G10/62*27985</f>
        <v>6770.56451612903</v>
      </c>
      <c r="H80" s="637" t="n">
        <f aca="false">H10/62*27985</f>
        <v>0</v>
      </c>
      <c r="I80" s="637" t="n">
        <f aca="false">I10/62*27985</f>
        <v>0</v>
      </c>
      <c r="J80" s="638"/>
      <c r="K80" s="637" t="n">
        <f aca="false">K10/62*27985</f>
        <v>0</v>
      </c>
      <c r="L80" s="637" t="n">
        <f aca="false">L10/62*27985</f>
        <v>0</v>
      </c>
    </row>
    <row r="81" customFormat="false" ht="12.75" hidden="false" customHeight="false" outlineLevel="0" collapsed="false">
      <c r="A81" s="608" t="n">
        <f aca="false">+A80+1</f>
        <v>77</v>
      </c>
      <c r="C81" s="636" t="s">
        <v>1185</v>
      </c>
      <c r="D81" s="624"/>
      <c r="E81" s="637" t="n">
        <f aca="false">80*75</f>
        <v>6000</v>
      </c>
      <c r="F81" s="637" t="n">
        <v>0</v>
      </c>
      <c r="G81" s="637" t="n">
        <v>0</v>
      </c>
      <c r="H81" s="637" t="n">
        <v>0</v>
      </c>
      <c r="I81" s="637" t="n">
        <v>0</v>
      </c>
      <c r="J81" s="638"/>
      <c r="K81" s="637" t="n">
        <f aca="false">80*75</f>
        <v>6000</v>
      </c>
      <c r="L81" s="637" t="n">
        <v>0</v>
      </c>
    </row>
    <row r="82" customFormat="false" ht="12.75" hidden="false" customHeight="false" outlineLevel="0" collapsed="false">
      <c r="A82" s="608" t="n">
        <f aca="false">+A81+1</f>
        <v>78</v>
      </c>
      <c r="C82" s="636" t="s">
        <v>1190</v>
      </c>
      <c r="D82" s="624"/>
      <c r="E82" s="637"/>
      <c r="F82" s="637"/>
      <c r="G82" s="637"/>
      <c r="H82" s="637"/>
      <c r="I82" s="637"/>
      <c r="J82" s="638"/>
      <c r="K82" s="637"/>
      <c r="L82" s="637"/>
    </row>
    <row r="83" customFormat="false" ht="12.75" hidden="false" customHeight="false" outlineLevel="0" collapsed="false">
      <c r="A83" s="608" t="n">
        <f aca="false">+A82+1</f>
        <v>79</v>
      </c>
      <c r="B83" s="561"/>
      <c r="C83" s="639" t="s">
        <v>431</v>
      </c>
      <c r="D83" s="624"/>
      <c r="E83" s="649" t="n">
        <f aca="false">SUBTOTAL(9,E77:E82)</f>
        <v>6000</v>
      </c>
      <c r="F83" s="649" t="n">
        <f aca="false">SUBTOTAL(9,F77:F82)</f>
        <v>9625</v>
      </c>
      <c r="G83" s="649" t="n">
        <f aca="false">SUBTOTAL(9,G77:G82)</f>
        <v>21917.6075268817</v>
      </c>
      <c r="H83" s="649" t="n">
        <f aca="false">SUBTOTAL(9,H77:H82)</f>
        <v>0</v>
      </c>
      <c r="I83" s="649" t="n">
        <f aca="false">SUBTOTAL(9,I77:I82)</f>
        <v>0</v>
      </c>
      <c r="J83" s="650"/>
      <c r="K83" s="649" t="n">
        <f aca="false">SUBTOTAL(9,K77:K82)</f>
        <v>6000</v>
      </c>
      <c r="L83" s="649" t="n">
        <f aca="false">SUBTOTAL(9,L77:L82)</f>
        <v>0</v>
      </c>
    </row>
    <row r="84" customFormat="false" ht="12.75" hidden="false" customHeight="false" outlineLevel="0" collapsed="false">
      <c r="A84" s="608" t="n">
        <f aca="false">+A83+1</f>
        <v>80</v>
      </c>
      <c r="B84" s="635" t="s">
        <v>999</v>
      </c>
      <c r="C84" s="642"/>
      <c r="D84" s="624"/>
      <c r="E84" s="449"/>
      <c r="F84" s="449"/>
      <c r="G84" s="449"/>
      <c r="H84" s="449"/>
      <c r="I84" s="449"/>
      <c r="J84" s="643"/>
      <c r="K84" s="449"/>
      <c r="L84" s="449"/>
    </row>
    <row r="85" customFormat="false" ht="12.75" hidden="false" customHeight="false" outlineLevel="0" collapsed="false">
      <c r="A85" s="608" t="n">
        <f aca="false">+A84+1</f>
        <v>81</v>
      </c>
      <c r="C85" s="636" t="s">
        <v>1191</v>
      </c>
      <c r="D85" s="624"/>
      <c r="E85" s="637" t="n">
        <f aca="false">80*100</f>
        <v>8000</v>
      </c>
      <c r="F85" s="637" t="n">
        <v>0</v>
      </c>
      <c r="G85" s="637" t="n">
        <v>0</v>
      </c>
      <c r="H85" s="637" t="n">
        <v>0</v>
      </c>
      <c r="I85" s="637" t="n">
        <v>0</v>
      </c>
      <c r="J85" s="638"/>
      <c r="K85" s="637" t="n">
        <v>0</v>
      </c>
      <c r="L85" s="637" t="n">
        <v>0</v>
      </c>
    </row>
    <row r="86" customFormat="false" ht="12.75" hidden="false" customHeight="false" outlineLevel="0" collapsed="false">
      <c r="A86" s="608" t="n">
        <f aca="false">+A85+1</f>
        <v>82</v>
      </c>
      <c r="C86" s="636" t="s">
        <v>1192</v>
      </c>
      <c r="D86" s="624"/>
      <c r="E86" s="637" t="n">
        <f aca="false">3000*E6</f>
        <v>0</v>
      </c>
      <c r="F86" s="637" t="n">
        <f aca="false">3000*F6</f>
        <v>0</v>
      </c>
      <c r="G86" s="637" t="n">
        <f aca="false">3000*G6</f>
        <v>6000</v>
      </c>
      <c r="H86" s="637" t="n">
        <f aca="false">3000*H6</f>
        <v>0</v>
      </c>
      <c r="I86" s="637" t="n">
        <f aca="false">3000*I6</f>
        <v>0</v>
      </c>
      <c r="J86" s="638"/>
      <c r="K86" s="637" t="n">
        <f aca="false">3000*K6</f>
        <v>0</v>
      </c>
      <c r="L86" s="637" t="n">
        <v>0</v>
      </c>
    </row>
    <row r="87" customFormat="false" ht="12.75" hidden="false" customHeight="false" outlineLevel="0" collapsed="false">
      <c r="A87" s="608" t="n">
        <f aca="false">+A86+1</f>
        <v>83</v>
      </c>
      <c r="C87" s="636" t="s">
        <v>1193</v>
      </c>
      <c r="D87" s="624"/>
      <c r="E87" s="637"/>
      <c r="F87" s="637"/>
      <c r="G87" s="637"/>
      <c r="H87" s="637"/>
      <c r="I87" s="637"/>
      <c r="J87" s="638"/>
      <c r="K87" s="637"/>
      <c r="L87" s="637"/>
    </row>
    <row r="88" customFormat="false" ht="12.75" hidden="false" customHeight="false" outlineLevel="0" collapsed="false">
      <c r="A88" s="608" t="n">
        <f aca="false">+A87+1</f>
        <v>84</v>
      </c>
      <c r="C88" s="636" t="s">
        <v>1185</v>
      </c>
      <c r="D88" s="624"/>
      <c r="E88" s="468" t="n">
        <v>0</v>
      </c>
      <c r="F88" s="468" t="n">
        <f aca="false">E88</f>
        <v>0</v>
      </c>
      <c r="G88" s="468" t="n">
        <v>0</v>
      </c>
      <c r="H88" s="468" t="n">
        <v>0</v>
      </c>
      <c r="I88" s="468" t="n">
        <v>0</v>
      </c>
      <c r="J88" s="648"/>
      <c r="K88" s="468" t="n">
        <f aca="false">J88</f>
        <v>0</v>
      </c>
      <c r="L88" s="468" t="n">
        <f aca="false">K88</f>
        <v>0</v>
      </c>
    </row>
    <row r="89" customFormat="false" ht="12.75" hidden="false" customHeight="false" outlineLevel="0" collapsed="false">
      <c r="A89" s="608" t="n">
        <f aca="false">+A88+1</f>
        <v>85</v>
      </c>
      <c r="C89" s="636" t="s">
        <v>1194</v>
      </c>
      <c r="D89" s="624"/>
      <c r="E89" s="637" t="n">
        <v>0</v>
      </c>
      <c r="F89" s="637" t="n">
        <f aca="false">E89</f>
        <v>0</v>
      </c>
      <c r="G89" s="637" t="n">
        <v>0</v>
      </c>
      <c r="H89" s="637" t="n">
        <v>0</v>
      </c>
      <c r="I89" s="637" t="n">
        <v>0</v>
      </c>
      <c r="J89" s="638"/>
      <c r="K89" s="637" t="n">
        <f aca="false">J89</f>
        <v>0</v>
      </c>
      <c r="L89" s="637" t="n">
        <f aca="false">K89</f>
        <v>0</v>
      </c>
    </row>
    <row r="90" customFormat="false" ht="12.75" hidden="false" customHeight="false" outlineLevel="0" collapsed="false">
      <c r="A90" s="608" t="n">
        <f aca="false">+A89+1</f>
        <v>86</v>
      </c>
      <c r="C90" s="636" t="s">
        <v>1195</v>
      </c>
      <c r="D90" s="624"/>
      <c r="E90" s="637" t="n">
        <f aca="false">1000*E6</f>
        <v>0</v>
      </c>
      <c r="F90" s="637" t="n">
        <f aca="false">1000*F6</f>
        <v>0</v>
      </c>
      <c r="G90" s="637" t="n">
        <f aca="false">1000*G6</f>
        <v>2000</v>
      </c>
      <c r="H90" s="637" t="n">
        <f aca="false">1000*H6</f>
        <v>0</v>
      </c>
      <c r="I90" s="637" t="n">
        <f aca="false">1000*I6</f>
        <v>0</v>
      </c>
      <c r="J90" s="638"/>
      <c r="K90" s="637" t="n">
        <f aca="false">1000*K6</f>
        <v>0</v>
      </c>
      <c r="L90" s="637" t="n">
        <v>0</v>
      </c>
    </row>
    <row r="91" customFormat="false" ht="12.75" hidden="false" customHeight="false" outlineLevel="0" collapsed="false">
      <c r="A91" s="608" t="n">
        <f aca="false">+A90+1</f>
        <v>87</v>
      </c>
      <c r="C91" s="636" t="s">
        <v>1196</v>
      </c>
      <c r="D91" s="624"/>
      <c r="E91" s="468" t="n">
        <v>0</v>
      </c>
      <c r="F91" s="468" t="n">
        <f aca="false">E91</f>
        <v>0</v>
      </c>
      <c r="G91" s="468" t="n">
        <v>0</v>
      </c>
      <c r="H91" s="468" t="n">
        <v>0</v>
      </c>
      <c r="I91" s="468" t="n">
        <v>0</v>
      </c>
      <c r="J91" s="648"/>
      <c r="K91" s="468" t="n">
        <f aca="false">J91</f>
        <v>0</v>
      </c>
      <c r="L91" s="468" t="n">
        <f aca="false">K91</f>
        <v>0</v>
      </c>
    </row>
    <row r="92" customFormat="false" ht="12.75" hidden="false" customHeight="false" outlineLevel="0" collapsed="false">
      <c r="A92" s="608" t="n">
        <f aca="false">+A91+1</f>
        <v>88</v>
      </c>
      <c r="C92" s="636" t="s">
        <v>1197</v>
      </c>
      <c r="D92" s="624"/>
      <c r="E92" s="468" t="n">
        <v>0</v>
      </c>
      <c r="F92" s="468" t="n">
        <f aca="false">E92</f>
        <v>0</v>
      </c>
      <c r="G92" s="468" t="n">
        <v>0</v>
      </c>
      <c r="H92" s="468" t="n">
        <v>0</v>
      </c>
      <c r="I92" s="468" t="n">
        <v>0</v>
      </c>
      <c r="J92" s="648"/>
      <c r="K92" s="468" t="n">
        <f aca="false">J92</f>
        <v>0</v>
      </c>
      <c r="L92" s="468" t="n">
        <f aca="false">K92</f>
        <v>0</v>
      </c>
    </row>
    <row r="93" customFormat="false" ht="12.75" hidden="false" customHeight="false" outlineLevel="0" collapsed="false">
      <c r="A93" s="608" t="n">
        <f aca="false">+A92+1</f>
        <v>89</v>
      </c>
      <c r="B93" s="538"/>
      <c r="C93" s="636" t="s">
        <v>1156</v>
      </c>
      <c r="D93" s="624"/>
      <c r="E93" s="637" t="n">
        <v>0</v>
      </c>
      <c r="F93" s="637" t="n">
        <v>0</v>
      </c>
      <c r="G93" s="637" t="n">
        <v>0</v>
      </c>
      <c r="H93" s="637" t="n">
        <v>0</v>
      </c>
      <c r="I93" s="637" t="n">
        <v>0</v>
      </c>
      <c r="J93" s="638"/>
      <c r="K93" s="637" t="n">
        <v>0</v>
      </c>
      <c r="L93" s="637" t="n">
        <v>0</v>
      </c>
    </row>
    <row r="94" customFormat="false" ht="12.75" hidden="false" customHeight="false" outlineLevel="0" collapsed="false">
      <c r="A94" s="608" t="n">
        <f aca="false">+A93+1</f>
        <v>90</v>
      </c>
      <c r="B94" s="561"/>
      <c r="C94" s="639" t="s">
        <v>431</v>
      </c>
      <c r="D94" s="624"/>
      <c r="E94" s="649" t="n">
        <f aca="false">SUBTOTAL(9,E85:E93)</f>
        <v>8000</v>
      </c>
      <c r="F94" s="649" t="n">
        <f aca="false">SUBTOTAL(9,F85:F93)</f>
        <v>0</v>
      </c>
      <c r="G94" s="649" t="n">
        <f aca="false">SUBTOTAL(9,G85:G93)</f>
        <v>8000</v>
      </c>
      <c r="H94" s="649" t="n">
        <f aca="false">SUBTOTAL(9,H85:H93)</f>
        <v>0</v>
      </c>
      <c r="I94" s="649" t="n">
        <f aca="false">SUBTOTAL(9,I85:I93)</f>
        <v>0</v>
      </c>
      <c r="J94" s="650"/>
      <c r="K94" s="649" t="n">
        <f aca="false">SUBTOTAL(9,K85:K93)</f>
        <v>0</v>
      </c>
      <c r="L94" s="649" t="n">
        <f aca="false">SUBTOTAL(9,L85:L93)</f>
        <v>0</v>
      </c>
    </row>
    <row r="95" customFormat="false" ht="12.75" hidden="false" customHeight="false" outlineLevel="0" collapsed="false">
      <c r="A95" s="608" t="n">
        <f aca="false">+A94+1</f>
        <v>91</v>
      </c>
      <c r="B95" s="635" t="s">
        <v>183</v>
      </c>
      <c r="C95" s="642"/>
      <c r="D95" s="624"/>
      <c r="E95" s="449"/>
      <c r="F95" s="449"/>
      <c r="G95" s="449"/>
      <c r="H95" s="449"/>
      <c r="I95" s="449"/>
      <c r="J95" s="643"/>
      <c r="K95" s="449"/>
      <c r="L95" s="449"/>
    </row>
    <row r="96" customFormat="false" ht="12.75" hidden="false" customHeight="false" outlineLevel="0" collapsed="false">
      <c r="A96" s="608" t="n">
        <f aca="false">+A95+1</f>
        <v>92</v>
      </c>
      <c r="C96" s="636" t="s">
        <v>1198</v>
      </c>
      <c r="D96" s="624"/>
      <c r="E96" s="637" t="n">
        <f aca="false">E10/110*30000</f>
        <v>0</v>
      </c>
      <c r="F96" s="637" t="n">
        <f aca="false">F10/110*30000</f>
        <v>0</v>
      </c>
      <c r="G96" s="637" t="n">
        <f aca="false">G10/110*30000</f>
        <v>4090.90909090909</v>
      </c>
      <c r="H96" s="637" t="n">
        <f aca="false">H10/110*30000</f>
        <v>0</v>
      </c>
      <c r="I96" s="637" t="n">
        <f aca="false">I10/110*30000</f>
        <v>0</v>
      </c>
      <c r="J96" s="638"/>
      <c r="K96" s="637" t="n">
        <f aca="false">K10/110*30000</f>
        <v>0</v>
      </c>
      <c r="L96" s="637" t="n">
        <f aca="false">L10/110*30000</f>
        <v>0</v>
      </c>
    </row>
    <row r="97" customFormat="false" ht="12.75" hidden="false" customHeight="false" outlineLevel="0" collapsed="false">
      <c r="A97" s="608" t="n">
        <f aca="false">+A96+1</f>
        <v>93</v>
      </c>
      <c r="C97" s="636" t="s">
        <v>1184</v>
      </c>
      <c r="D97" s="624"/>
      <c r="E97" s="637" t="n">
        <f aca="false">E10/110*15000</f>
        <v>0</v>
      </c>
      <c r="F97" s="637" t="n">
        <f aca="false">F10/110*15000</f>
        <v>0</v>
      </c>
      <c r="G97" s="637" t="n">
        <f aca="false">G10/110*15000</f>
        <v>2045.45454545455</v>
      </c>
      <c r="H97" s="637" t="n">
        <f aca="false">H10/110*15000</f>
        <v>0</v>
      </c>
      <c r="I97" s="637" t="n">
        <f aca="false">I10/110*15000</f>
        <v>0</v>
      </c>
      <c r="J97" s="638"/>
      <c r="K97" s="637" t="n">
        <f aca="false">K10/110*15000</f>
        <v>0</v>
      </c>
      <c r="L97" s="637" t="n">
        <f aca="false">L10/110*15000</f>
        <v>0</v>
      </c>
    </row>
    <row r="98" customFormat="false" ht="12.75" hidden="false" customHeight="false" outlineLevel="0" collapsed="false">
      <c r="A98" s="608" t="n">
        <f aca="false">+A97+1</f>
        <v>94</v>
      </c>
      <c r="C98" s="636" t="s">
        <v>1199</v>
      </c>
      <c r="D98" s="624"/>
      <c r="E98" s="468" t="n">
        <f aca="false">E10/110*6000</f>
        <v>0</v>
      </c>
      <c r="F98" s="468" t="n">
        <f aca="false">F10/110*6000</f>
        <v>0</v>
      </c>
      <c r="G98" s="468" t="n">
        <f aca="false">G10/110*6000</f>
        <v>818.181818181818</v>
      </c>
      <c r="H98" s="468" t="n">
        <f aca="false">H10/110*6000</f>
        <v>0</v>
      </c>
      <c r="I98" s="468" t="n">
        <f aca="false">I10/110*6000</f>
        <v>0</v>
      </c>
      <c r="J98" s="648"/>
      <c r="K98" s="468" t="n">
        <f aca="false">K10/110*6000</f>
        <v>0</v>
      </c>
      <c r="L98" s="468" t="n">
        <f aca="false">L10/110*6000</f>
        <v>0</v>
      </c>
    </row>
    <row r="99" customFormat="false" ht="12.75" hidden="false" customHeight="false" outlineLevel="0" collapsed="false">
      <c r="A99" s="608" t="n">
        <f aca="false">+A98+1</f>
        <v>95</v>
      </c>
      <c r="C99" s="636" t="s">
        <v>1185</v>
      </c>
      <c r="D99" s="624"/>
      <c r="E99" s="468" t="n">
        <v>0</v>
      </c>
      <c r="F99" s="468" t="n">
        <v>0</v>
      </c>
      <c r="G99" s="468" t="n">
        <v>0</v>
      </c>
      <c r="H99" s="468" t="n">
        <v>0</v>
      </c>
      <c r="I99" s="468" t="n">
        <v>0</v>
      </c>
      <c r="J99" s="648"/>
      <c r="K99" s="468" t="n">
        <v>0</v>
      </c>
      <c r="L99" s="468" t="n">
        <v>0</v>
      </c>
    </row>
    <row r="100" customFormat="false" ht="12.75" hidden="false" customHeight="false" outlineLevel="0" collapsed="false">
      <c r="A100" s="608" t="n">
        <f aca="false">+A99+1</f>
        <v>96</v>
      </c>
      <c r="C100" s="636" t="s">
        <v>473</v>
      </c>
      <c r="D100" s="624"/>
      <c r="E100" s="468" t="n">
        <v>10000</v>
      </c>
      <c r="F100" s="468" t="n">
        <v>10000</v>
      </c>
      <c r="G100" s="468" t="n">
        <v>10000</v>
      </c>
      <c r="H100" s="468" t="n">
        <v>10000</v>
      </c>
      <c r="I100" s="468" t="n">
        <v>10000</v>
      </c>
      <c r="J100" s="648"/>
      <c r="K100" s="468" t="n">
        <v>10000</v>
      </c>
      <c r="L100" s="468" t="n">
        <v>10000</v>
      </c>
    </row>
    <row r="101" customFormat="false" ht="12.75" hidden="false" customHeight="false" outlineLevel="0" collapsed="false">
      <c r="A101" s="608" t="n">
        <f aca="false">+A100+1</f>
        <v>97</v>
      </c>
      <c r="C101" s="636" t="s">
        <v>476</v>
      </c>
      <c r="D101" s="624"/>
      <c r="E101" s="468" t="n">
        <v>2400</v>
      </c>
      <c r="F101" s="468" t="n">
        <v>2400</v>
      </c>
      <c r="G101" s="468" t="n">
        <v>2400</v>
      </c>
      <c r="H101" s="468" t="n">
        <v>2400</v>
      </c>
      <c r="I101" s="468" t="n">
        <v>2400</v>
      </c>
      <c r="J101" s="648"/>
      <c r="K101" s="468" t="n">
        <v>2400</v>
      </c>
      <c r="L101" s="468" t="n">
        <v>2400</v>
      </c>
    </row>
    <row r="102" customFormat="false" ht="12.75" hidden="false" customHeight="false" outlineLevel="0" collapsed="false">
      <c r="A102" s="608" t="n">
        <f aca="false">+A101+1</f>
        <v>98</v>
      </c>
      <c r="C102" s="636" t="s">
        <v>1200</v>
      </c>
      <c r="D102" s="624"/>
      <c r="E102" s="468" t="n">
        <v>2000</v>
      </c>
      <c r="F102" s="468" t="n">
        <v>2000</v>
      </c>
      <c r="G102" s="468" t="n">
        <v>2000</v>
      </c>
      <c r="H102" s="468" t="n">
        <v>2000</v>
      </c>
      <c r="I102" s="468" t="n">
        <v>2000</v>
      </c>
      <c r="J102" s="648"/>
      <c r="K102" s="468" t="n">
        <v>2000</v>
      </c>
      <c r="L102" s="468" t="n">
        <v>2000</v>
      </c>
    </row>
    <row r="103" customFormat="false" ht="12.75" hidden="false" customHeight="false" outlineLevel="0" collapsed="false">
      <c r="A103" s="608" t="n">
        <f aca="false">+A102+1</f>
        <v>99</v>
      </c>
      <c r="C103" s="636" t="s">
        <v>475</v>
      </c>
      <c r="D103" s="624"/>
      <c r="E103" s="468" t="n">
        <v>6000</v>
      </c>
      <c r="F103" s="468" t="n">
        <v>6000</v>
      </c>
      <c r="G103" s="468" t="n">
        <v>6000</v>
      </c>
      <c r="H103" s="468" t="n">
        <v>6000</v>
      </c>
      <c r="I103" s="468" t="n">
        <v>6000</v>
      </c>
      <c r="J103" s="648"/>
      <c r="K103" s="468" t="n">
        <v>6000</v>
      </c>
      <c r="L103" s="468" t="n">
        <v>6000</v>
      </c>
    </row>
    <row r="104" customFormat="false" ht="12.75" hidden="false" customHeight="false" outlineLevel="0" collapsed="false">
      <c r="A104" s="608" t="n">
        <f aca="false">+A103+1</f>
        <v>100</v>
      </c>
      <c r="C104" s="636" t="s">
        <v>1201</v>
      </c>
      <c r="D104" s="624"/>
      <c r="E104" s="468" t="n">
        <v>12000</v>
      </c>
      <c r="F104" s="468" t="n">
        <v>12000</v>
      </c>
      <c r="G104" s="468" t="n">
        <v>12000</v>
      </c>
      <c r="H104" s="468" t="n">
        <v>12000</v>
      </c>
      <c r="I104" s="468" t="n">
        <v>12000</v>
      </c>
      <c r="J104" s="648"/>
      <c r="K104" s="468" t="n">
        <v>12000</v>
      </c>
      <c r="L104" s="468" t="n">
        <v>12000</v>
      </c>
    </row>
    <row r="105" customFormat="false" ht="12.75" hidden="false" customHeight="false" outlineLevel="0" collapsed="false">
      <c r="A105" s="608" t="n">
        <f aca="false">+A104+1</f>
        <v>101</v>
      </c>
      <c r="C105" s="636" t="s">
        <v>1202</v>
      </c>
      <c r="D105" s="624"/>
      <c r="E105" s="468" t="n">
        <v>0</v>
      </c>
      <c r="F105" s="468" t="n">
        <v>0</v>
      </c>
      <c r="G105" s="468" t="n">
        <v>0</v>
      </c>
      <c r="H105" s="468" t="n">
        <v>0</v>
      </c>
      <c r="I105" s="468" t="n">
        <v>0</v>
      </c>
      <c r="J105" s="648"/>
      <c r="K105" s="468" t="n">
        <v>0</v>
      </c>
      <c r="L105" s="468" t="n">
        <v>0</v>
      </c>
    </row>
    <row r="106" customFormat="false" ht="12.75" hidden="false" customHeight="false" outlineLevel="0" collapsed="false">
      <c r="A106" s="608" t="n">
        <f aca="false">+A105+1</f>
        <v>102</v>
      </c>
      <c r="C106" s="636" t="s">
        <v>1203</v>
      </c>
      <c r="D106" s="624"/>
      <c r="E106" s="468" t="n">
        <v>0</v>
      </c>
      <c r="F106" s="468" t="n">
        <v>0</v>
      </c>
      <c r="G106" s="468" t="n">
        <v>0</v>
      </c>
      <c r="H106" s="468" t="n">
        <v>0</v>
      </c>
      <c r="I106" s="468" t="n">
        <v>0</v>
      </c>
      <c r="J106" s="648"/>
      <c r="K106" s="468" t="n">
        <v>0</v>
      </c>
      <c r="L106" s="468" t="n">
        <v>0</v>
      </c>
    </row>
    <row r="107" customFormat="false" ht="12.75" hidden="false" customHeight="false" outlineLevel="0" collapsed="false">
      <c r="A107" s="608" t="n">
        <f aca="false">+A106+1</f>
        <v>103</v>
      </c>
      <c r="C107" s="636" t="s">
        <v>1204</v>
      </c>
      <c r="D107" s="624"/>
      <c r="E107" s="468" t="n">
        <v>2000</v>
      </c>
      <c r="F107" s="468" t="n">
        <v>2000</v>
      </c>
      <c r="G107" s="468" t="n">
        <v>2000</v>
      </c>
      <c r="H107" s="468" t="n">
        <v>2000</v>
      </c>
      <c r="I107" s="468" t="n">
        <v>2000</v>
      </c>
      <c r="J107" s="648"/>
      <c r="K107" s="468" t="n">
        <v>2000</v>
      </c>
      <c r="L107" s="468" t="n">
        <v>2000</v>
      </c>
    </row>
    <row r="108" customFormat="false" ht="12.75" hidden="false" customHeight="false" outlineLevel="0" collapsed="false">
      <c r="A108" s="608" t="n">
        <f aca="false">+A107+1</f>
        <v>104</v>
      </c>
      <c r="C108" s="636" t="s">
        <v>1205</v>
      </c>
      <c r="D108" s="624"/>
      <c r="E108" s="468" t="n">
        <v>2400</v>
      </c>
      <c r="F108" s="468" t="n">
        <v>2400</v>
      </c>
      <c r="G108" s="468" t="n">
        <v>2400</v>
      </c>
      <c r="H108" s="468" t="n">
        <v>2400</v>
      </c>
      <c r="I108" s="468" t="n">
        <v>2400</v>
      </c>
      <c r="J108" s="648"/>
      <c r="K108" s="468" t="n">
        <v>2400</v>
      </c>
      <c r="L108" s="468" t="n">
        <v>2400</v>
      </c>
    </row>
    <row r="109" customFormat="false" ht="12.75" hidden="false" customHeight="false" outlineLevel="0" collapsed="false">
      <c r="A109" s="608" t="n">
        <f aca="false">+A108+1</f>
        <v>105</v>
      </c>
      <c r="C109" s="636" t="s">
        <v>1196</v>
      </c>
      <c r="D109" s="624"/>
      <c r="E109" s="468" t="n">
        <v>0</v>
      </c>
      <c r="F109" s="468" t="n">
        <v>0</v>
      </c>
      <c r="G109" s="468" t="n">
        <v>0</v>
      </c>
      <c r="H109" s="468" t="n">
        <v>0</v>
      </c>
      <c r="I109" s="468" t="n">
        <v>0</v>
      </c>
      <c r="J109" s="648"/>
      <c r="K109" s="468" t="n">
        <v>0</v>
      </c>
      <c r="L109" s="468" t="n">
        <v>0</v>
      </c>
    </row>
    <row r="110" customFormat="false" ht="12.75" hidden="false" customHeight="false" outlineLevel="0" collapsed="false">
      <c r="A110" s="608" t="n">
        <f aca="false">+A109+1</f>
        <v>106</v>
      </c>
      <c r="C110" s="636" t="s">
        <v>1206</v>
      </c>
      <c r="D110" s="624"/>
      <c r="E110" s="468" t="n">
        <v>1000</v>
      </c>
      <c r="F110" s="468" t="n">
        <v>1000</v>
      </c>
      <c r="G110" s="468" t="n">
        <v>1000</v>
      </c>
      <c r="H110" s="468" t="n">
        <v>1000</v>
      </c>
      <c r="I110" s="468" t="n">
        <v>1000</v>
      </c>
      <c r="J110" s="648"/>
      <c r="K110" s="468" t="n">
        <v>1000</v>
      </c>
      <c r="L110" s="468" t="n">
        <v>1000</v>
      </c>
    </row>
    <row r="111" customFormat="false" ht="12.75" hidden="false" customHeight="false" outlineLevel="0" collapsed="false">
      <c r="A111" s="608" t="n">
        <f aca="false">+A110+1</f>
        <v>107</v>
      </c>
      <c r="C111" s="636" t="s">
        <v>1207</v>
      </c>
      <c r="D111" s="624"/>
      <c r="E111" s="468" t="n">
        <v>3000</v>
      </c>
      <c r="F111" s="468" t="n">
        <v>3000</v>
      </c>
      <c r="G111" s="468" t="n">
        <v>3000</v>
      </c>
      <c r="H111" s="468" t="n">
        <v>3000</v>
      </c>
      <c r="I111" s="468" t="n">
        <v>3000</v>
      </c>
      <c r="J111" s="648"/>
      <c r="K111" s="468" t="n">
        <v>3000</v>
      </c>
      <c r="L111" s="468" t="n">
        <v>3000</v>
      </c>
    </row>
    <row r="112" customFormat="false" ht="12.75" hidden="false" customHeight="false" outlineLevel="0" collapsed="false">
      <c r="A112" s="608" t="n">
        <f aca="false">+A111+1</f>
        <v>108</v>
      </c>
      <c r="C112" s="636" t="s">
        <v>1208</v>
      </c>
      <c r="D112" s="624"/>
      <c r="E112" s="468" t="n">
        <v>2000</v>
      </c>
      <c r="F112" s="468" t="n">
        <v>2000</v>
      </c>
      <c r="G112" s="468" t="n">
        <v>2000</v>
      </c>
      <c r="H112" s="468" t="n">
        <v>2000</v>
      </c>
      <c r="I112" s="468" t="n">
        <v>2000</v>
      </c>
      <c r="J112" s="648"/>
      <c r="K112" s="468" t="n">
        <v>2000</v>
      </c>
      <c r="L112" s="468" t="n">
        <v>2000</v>
      </c>
    </row>
    <row r="113" customFormat="false" ht="12.75" hidden="false" customHeight="false" outlineLevel="0" collapsed="false">
      <c r="A113" s="608" t="n">
        <f aca="false">+A112+1</f>
        <v>109</v>
      </c>
      <c r="C113" s="636" t="s">
        <v>1209</v>
      </c>
      <c r="D113" s="624"/>
      <c r="E113" s="468" t="n">
        <v>0</v>
      </c>
      <c r="F113" s="468" t="n">
        <v>0</v>
      </c>
      <c r="G113" s="468" t="n">
        <v>0</v>
      </c>
      <c r="H113" s="468" t="n">
        <v>0</v>
      </c>
      <c r="I113" s="468" t="n">
        <v>0</v>
      </c>
      <c r="J113" s="648"/>
      <c r="K113" s="468" t="n">
        <v>0</v>
      </c>
      <c r="L113" s="468" t="n">
        <v>0</v>
      </c>
    </row>
    <row r="114" customFormat="false" ht="12.75" hidden="false" customHeight="false" outlineLevel="0" collapsed="false">
      <c r="A114" s="608" t="n">
        <f aca="false">+A113+1</f>
        <v>110</v>
      </c>
      <c r="C114" s="636" t="s">
        <v>1210</v>
      </c>
      <c r="D114" s="624"/>
      <c r="E114" s="468" t="n">
        <v>1000</v>
      </c>
      <c r="F114" s="468" t="n">
        <v>1000</v>
      </c>
      <c r="G114" s="468" t="n">
        <v>1000</v>
      </c>
      <c r="H114" s="468" t="n">
        <v>1000</v>
      </c>
      <c r="I114" s="468" t="n">
        <v>1000</v>
      </c>
      <c r="J114" s="648"/>
      <c r="K114" s="468" t="n">
        <v>1000</v>
      </c>
      <c r="L114" s="468" t="n">
        <v>1000</v>
      </c>
    </row>
    <row r="115" customFormat="false" ht="12.75" hidden="false" customHeight="false" outlineLevel="0" collapsed="false">
      <c r="A115" s="608" t="n">
        <f aca="false">+A114+1</f>
        <v>111</v>
      </c>
      <c r="C115" s="636" t="s">
        <v>1211</v>
      </c>
      <c r="D115" s="624"/>
      <c r="E115" s="468" t="n">
        <v>3600</v>
      </c>
      <c r="F115" s="468" t="n">
        <v>3600</v>
      </c>
      <c r="G115" s="468" t="n">
        <v>3600</v>
      </c>
      <c r="H115" s="468" t="n">
        <v>3600</v>
      </c>
      <c r="I115" s="468" t="n">
        <v>3600</v>
      </c>
      <c r="J115" s="648"/>
      <c r="K115" s="468" t="n">
        <v>3600</v>
      </c>
      <c r="L115" s="468" t="n">
        <v>3600</v>
      </c>
    </row>
    <row r="116" customFormat="false" ht="12.75" hidden="false" customHeight="false" outlineLevel="0" collapsed="false">
      <c r="A116" s="608" t="n">
        <f aca="false">+A115+1</f>
        <v>112</v>
      </c>
      <c r="C116" s="636" t="s">
        <v>1212</v>
      </c>
      <c r="D116" s="624"/>
      <c r="E116" s="468" t="n">
        <v>12000</v>
      </c>
      <c r="F116" s="468" t="n">
        <v>12000</v>
      </c>
      <c r="G116" s="468" t="n">
        <v>12000</v>
      </c>
      <c r="H116" s="468" t="n">
        <v>12000</v>
      </c>
      <c r="I116" s="468" t="n">
        <v>12000</v>
      </c>
      <c r="J116" s="648"/>
      <c r="K116" s="468" t="n">
        <v>12000</v>
      </c>
      <c r="L116" s="468" t="n">
        <v>12000</v>
      </c>
    </row>
    <row r="117" customFormat="false" ht="12.75" hidden="false" customHeight="false" outlineLevel="0" collapsed="false">
      <c r="A117" s="608" t="n">
        <f aca="false">+A116+1</f>
        <v>113</v>
      </c>
      <c r="C117" s="636" t="s">
        <v>1213</v>
      </c>
      <c r="D117" s="624"/>
      <c r="E117" s="468" t="n">
        <v>1000</v>
      </c>
      <c r="F117" s="468" t="n">
        <v>1000</v>
      </c>
      <c r="G117" s="468" t="n">
        <v>1000</v>
      </c>
      <c r="H117" s="468" t="n">
        <v>1000</v>
      </c>
      <c r="I117" s="468" t="n">
        <v>1000</v>
      </c>
      <c r="J117" s="648"/>
      <c r="K117" s="468" t="n">
        <v>1000</v>
      </c>
      <c r="L117" s="468" t="n">
        <v>1000</v>
      </c>
    </row>
    <row r="118" customFormat="false" ht="12.75" hidden="false" customHeight="false" outlineLevel="0" collapsed="false">
      <c r="A118" s="608" t="n">
        <f aca="false">+A117+1</f>
        <v>114</v>
      </c>
      <c r="C118" s="636" t="s">
        <v>1214</v>
      </c>
      <c r="D118" s="624"/>
      <c r="E118" s="468" t="n">
        <v>0</v>
      </c>
      <c r="F118" s="468" t="n">
        <v>0</v>
      </c>
      <c r="G118" s="468" t="n">
        <v>0</v>
      </c>
      <c r="H118" s="468" t="n">
        <v>0</v>
      </c>
      <c r="I118" s="468" t="n">
        <v>0</v>
      </c>
      <c r="J118" s="648"/>
      <c r="K118" s="468" t="n">
        <v>0</v>
      </c>
      <c r="L118" s="468" t="n">
        <v>0</v>
      </c>
    </row>
    <row r="119" customFormat="false" ht="12.75" hidden="false" customHeight="false" outlineLevel="0" collapsed="false">
      <c r="A119" s="608" t="n">
        <f aca="false">+A118+1</f>
        <v>115</v>
      </c>
      <c r="C119" s="636" t="s">
        <v>1215</v>
      </c>
      <c r="D119" s="624"/>
      <c r="E119" s="468" t="n">
        <v>2000</v>
      </c>
      <c r="F119" s="468" t="n">
        <v>2000</v>
      </c>
      <c r="G119" s="468" t="n">
        <v>2000</v>
      </c>
      <c r="H119" s="468" t="n">
        <v>2000</v>
      </c>
      <c r="I119" s="468" t="n">
        <v>2000</v>
      </c>
      <c r="J119" s="648"/>
      <c r="K119" s="468" t="n">
        <v>2000</v>
      </c>
      <c r="L119" s="468" t="n">
        <v>2000</v>
      </c>
    </row>
    <row r="120" customFormat="false" ht="12.75" hidden="false" customHeight="false" outlineLevel="0" collapsed="false">
      <c r="A120" s="608" t="n">
        <f aca="false">+A119+1</f>
        <v>116</v>
      </c>
      <c r="C120" s="636" t="s">
        <v>1216</v>
      </c>
      <c r="D120" s="624"/>
      <c r="E120" s="474" t="n">
        <v>14970</v>
      </c>
      <c r="F120" s="474" t="n">
        <v>14970</v>
      </c>
      <c r="G120" s="474" t="n">
        <v>14970</v>
      </c>
      <c r="H120" s="474" t="n">
        <v>14970</v>
      </c>
      <c r="I120" s="474" t="n">
        <v>14970</v>
      </c>
      <c r="J120" s="648"/>
      <c r="K120" s="474" t="n">
        <v>14970</v>
      </c>
      <c r="L120" s="474" t="n">
        <v>14970</v>
      </c>
    </row>
    <row r="121" customFormat="false" ht="12.75" hidden="false" customHeight="false" outlineLevel="0" collapsed="false">
      <c r="A121" s="608" t="n">
        <f aca="false">+A120+1</f>
        <v>117</v>
      </c>
      <c r="C121" s="636" t="s">
        <v>1217</v>
      </c>
      <c r="D121" s="624"/>
      <c r="E121" s="468" t="n">
        <v>0</v>
      </c>
      <c r="F121" s="468" t="n">
        <v>0</v>
      </c>
      <c r="G121" s="468" t="n">
        <v>0</v>
      </c>
      <c r="H121" s="468" t="n">
        <v>0</v>
      </c>
      <c r="I121" s="468" t="n">
        <v>0</v>
      </c>
      <c r="J121" s="648"/>
      <c r="K121" s="468" t="n">
        <v>0</v>
      </c>
      <c r="L121" s="468" t="n">
        <v>0</v>
      </c>
    </row>
    <row r="122" customFormat="false" ht="12.75" hidden="false" customHeight="false" outlineLevel="0" collapsed="false">
      <c r="A122" s="608" t="n">
        <f aca="false">+A121+1</f>
        <v>118</v>
      </c>
      <c r="B122" s="538"/>
      <c r="C122" s="636" t="s">
        <v>1156</v>
      </c>
      <c r="D122" s="624"/>
      <c r="E122" s="468" t="n">
        <v>0</v>
      </c>
      <c r="F122" s="468" t="n">
        <v>0</v>
      </c>
      <c r="G122" s="468" t="n">
        <v>0</v>
      </c>
      <c r="H122" s="468" t="n">
        <v>0</v>
      </c>
      <c r="I122" s="468" t="n">
        <v>0</v>
      </c>
      <c r="J122" s="648"/>
      <c r="K122" s="468" t="n">
        <v>0</v>
      </c>
      <c r="L122" s="468" t="n">
        <v>0</v>
      </c>
    </row>
    <row r="123" customFormat="false" ht="12.75" hidden="false" customHeight="false" outlineLevel="0" collapsed="false">
      <c r="A123" s="608" t="n">
        <f aca="false">+A122+1</f>
        <v>119</v>
      </c>
      <c r="B123" s="561"/>
      <c r="C123" s="639" t="s">
        <v>431</v>
      </c>
      <c r="D123" s="624"/>
      <c r="E123" s="649" t="n">
        <f aca="false">SUBTOTAL(9,E96:E122)</f>
        <v>77370</v>
      </c>
      <c r="F123" s="649" t="n">
        <f aca="false">SUBTOTAL(9,F96:F122)</f>
        <v>77370</v>
      </c>
      <c r="G123" s="649" t="n">
        <f aca="false">SUBTOTAL(9,G96:G122)</f>
        <v>84324.5454545455</v>
      </c>
      <c r="H123" s="649" t="n">
        <f aca="false">SUBTOTAL(9,H96:H122)</f>
        <v>77370</v>
      </c>
      <c r="I123" s="649" t="n">
        <f aca="false">SUBTOTAL(9,I96:I122)</f>
        <v>77370</v>
      </c>
      <c r="J123" s="650"/>
      <c r="K123" s="649" t="n">
        <f aca="false">SUBTOTAL(9,K96:K122)</f>
        <v>77370</v>
      </c>
      <c r="L123" s="649" t="n">
        <f aca="false">SUBTOTAL(9,L96:L122)</f>
        <v>77370</v>
      </c>
    </row>
    <row r="124" customFormat="false" ht="12.75" hidden="false" customHeight="false" outlineLevel="0" collapsed="false">
      <c r="A124" s="608" t="n">
        <f aca="false">+A123+1</f>
        <v>120</v>
      </c>
      <c r="B124" s="635" t="s">
        <v>184</v>
      </c>
      <c r="C124" s="642"/>
      <c r="D124" s="624"/>
      <c r="E124" s="449"/>
      <c r="F124" s="449"/>
      <c r="G124" s="449"/>
      <c r="H124" s="449"/>
      <c r="I124" s="449"/>
      <c r="J124" s="643"/>
      <c r="K124" s="449"/>
      <c r="L124" s="449"/>
    </row>
    <row r="125" customFormat="false" ht="12.75" hidden="false" customHeight="false" outlineLevel="0" collapsed="false">
      <c r="A125" s="608" t="n">
        <f aca="false">+A124+1</f>
        <v>121</v>
      </c>
      <c r="C125" s="636" t="s">
        <v>1218</v>
      </c>
      <c r="D125" s="624"/>
      <c r="E125" s="468" t="n">
        <v>12000</v>
      </c>
      <c r="F125" s="468" t="n">
        <v>0</v>
      </c>
      <c r="G125" s="468" t="n">
        <v>12000</v>
      </c>
      <c r="H125" s="468" t="n">
        <v>12000</v>
      </c>
      <c r="I125" s="468" t="n">
        <v>12000</v>
      </c>
      <c r="J125" s="648"/>
      <c r="K125" s="468" t="n">
        <v>12000</v>
      </c>
      <c r="L125" s="468" t="n">
        <f aca="false">K125</f>
        <v>12000</v>
      </c>
    </row>
    <row r="126" customFormat="false" ht="12.75" hidden="false" customHeight="false" outlineLevel="0" collapsed="false">
      <c r="A126" s="608" t="n">
        <f aca="false">+A125+1</f>
        <v>122</v>
      </c>
      <c r="C126" s="636" t="s">
        <v>1219</v>
      </c>
      <c r="D126" s="624"/>
      <c r="E126" s="468" t="n">
        <v>3600</v>
      </c>
      <c r="F126" s="468" t="n">
        <v>0</v>
      </c>
      <c r="G126" s="468" t="n">
        <v>3600</v>
      </c>
      <c r="H126" s="468" t="n">
        <v>3600</v>
      </c>
      <c r="I126" s="468" t="n">
        <v>3600</v>
      </c>
      <c r="J126" s="648"/>
      <c r="K126" s="468" t="n">
        <v>3600</v>
      </c>
      <c r="L126" s="468" t="n">
        <f aca="false">K126</f>
        <v>3600</v>
      </c>
    </row>
    <row r="127" customFormat="false" ht="12.75" hidden="false" customHeight="false" outlineLevel="0" collapsed="false">
      <c r="A127" s="608" t="n">
        <f aca="false">+A126+1</f>
        <v>123</v>
      </c>
      <c r="C127" s="636" t="s">
        <v>1220</v>
      </c>
      <c r="D127" s="624"/>
      <c r="E127" s="468" t="n">
        <v>0</v>
      </c>
      <c r="F127" s="468" t="n">
        <v>0</v>
      </c>
      <c r="G127" s="468" t="n">
        <v>0</v>
      </c>
      <c r="H127" s="468" t="n">
        <v>0</v>
      </c>
      <c r="I127" s="468" t="n">
        <v>0</v>
      </c>
      <c r="J127" s="648"/>
      <c r="K127" s="468" t="n">
        <v>0</v>
      </c>
      <c r="L127" s="468" t="n">
        <f aca="false">K127</f>
        <v>0</v>
      </c>
    </row>
    <row r="128" customFormat="false" ht="12.75" hidden="false" customHeight="false" outlineLevel="0" collapsed="false">
      <c r="A128" s="608" t="n">
        <f aca="false">+A127+1</f>
        <v>124</v>
      </c>
      <c r="B128" s="561"/>
      <c r="C128" s="639" t="s">
        <v>431</v>
      </c>
      <c r="D128" s="624"/>
      <c r="E128" s="649" t="n">
        <f aca="false">SUBTOTAL(9,E125:E127)</f>
        <v>15600</v>
      </c>
      <c r="F128" s="649" t="n">
        <f aca="false">SUBTOTAL(9,F125:F127)</f>
        <v>0</v>
      </c>
      <c r="G128" s="649" t="n">
        <f aca="false">SUBTOTAL(9,G125:G127)</f>
        <v>15600</v>
      </c>
      <c r="H128" s="649" t="n">
        <f aca="false">SUBTOTAL(9,H125:H127)</f>
        <v>15600</v>
      </c>
      <c r="I128" s="649" t="n">
        <f aca="false">SUBTOTAL(9,I125:I127)</f>
        <v>15600</v>
      </c>
      <c r="J128" s="650"/>
      <c r="K128" s="649" t="n">
        <f aca="false">SUBTOTAL(9,K125:K127)</f>
        <v>15600</v>
      </c>
      <c r="L128" s="649" t="n">
        <f aca="false">SUBTOTAL(9,L125:L127)</f>
        <v>15600</v>
      </c>
    </row>
    <row r="129" customFormat="false" ht="12.75" hidden="false" customHeight="false" outlineLevel="0" collapsed="false">
      <c r="A129" s="608" t="n">
        <f aca="false">+A128+1</f>
        <v>125</v>
      </c>
      <c r="B129" s="635" t="s">
        <v>1033</v>
      </c>
      <c r="C129" s="642"/>
      <c r="D129" s="624"/>
      <c r="E129" s="449"/>
      <c r="F129" s="449"/>
      <c r="G129" s="449"/>
      <c r="H129" s="449"/>
      <c r="I129" s="449"/>
      <c r="J129" s="643"/>
      <c r="K129" s="449"/>
      <c r="L129" s="449"/>
    </row>
    <row r="130" customFormat="false" ht="12.75" hidden="false" customHeight="false" outlineLevel="0" collapsed="false">
      <c r="A130" s="608" t="n">
        <f aca="false">+A129+1</f>
        <v>126</v>
      </c>
      <c r="C130" s="651" t="s">
        <v>1033</v>
      </c>
      <c r="D130" s="624"/>
      <c r="E130" s="637" t="n">
        <v>0</v>
      </c>
      <c r="F130" s="637" t="n">
        <v>0</v>
      </c>
      <c r="G130" s="637" t="n">
        <v>0</v>
      </c>
      <c r="H130" s="637" t="n">
        <v>0</v>
      </c>
      <c r="I130" s="637" t="n">
        <v>0</v>
      </c>
      <c r="J130" s="638"/>
      <c r="K130" s="637" t="n">
        <v>0</v>
      </c>
      <c r="L130" s="637" t="n">
        <v>0</v>
      </c>
    </row>
    <row r="131" customFormat="false" ht="12.75" hidden="false" customHeight="false" outlineLevel="0" collapsed="false">
      <c r="A131" s="608" t="n">
        <f aca="false">+A130+1</f>
        <v>127</v>
      </c>
      <c r="B131" s="538"/>
      <c r="C131" s="636" t="s">
        <v>1156</v>
      </c>
      <c r="D131" s="624"/>
      <c r="E131" s="637" t="n">
        <v>0</v>
      </c>
      <c r="F131" s="637" t="n">
        <v>0</v>
      </c>
      <c r="G131" s="637" t="n">
        <v>0</v>
      </c>
      <c r="H131" s="637" t="n">
        <v>0</v>
      </c>
      <c r="I131" s="637" t="n">
        <v>0</v>
      </c>
      <c r="J131" s="638"/>
      <c r="K131" s="637" t="n">
        <v>0</v>
      </c>
      <c r="L131" s="637" t="n">
        <v>0</v>
      </c>
    </row>
    <row r="132" customFormat="false" ht="12.75" hidden="false" customHeight="false" outlineLevel="0" collapsed="false">
      <c r="A132" s="608" t="n">
        <f aca="false">+A131+1</f>
        <v>128</v>
      </c>
      <c r="B132" s="561"/>
      <c r="C132" s="639" t="s">
        <v>431</v>
      </c>
      <c r="D132" s="624"/>
      <c r="E132" s="649" t="n">
        <f aca="false">SUBTOTAL(9,E130:E131)</f>
        <v>0</v>
      </c>
      <c r="F132" s="649" t="n">
        <f aca="false">SUBTOTAL(9,F130:F131)</f>
        <v>0</v>
      </c>
      <c r="G132" s="649" t="n">
        <f aca="false">SUBTOTAL(9,G130:G131)</f>
        <v>0</v>
      </c>
      <c r="H132" s="649" t="n">
        <f aca="false">SUBTOTAL(9,H130:H131)</f>
        <v>0</v>
      </c>
      <c r="I132" s="649" t="n">
        <f aca="false">SUBTOTAL(9,I130:I131)</f>
        <v>0</v>
      </c>
      <c r="J132" s="650"/>
      <c r="K132" s="649" t="n">
        <f aca="false">SUBTOTAL(9,K130:K131)</f>
        <v>0</v>
      </c>
      <c r="L132" s="649" t="n">
        <f aca="false">SUBTOTAL(9,L130:L131)</f>
        <v>0</v>
      </c>
    </row>
    <row r="133" customFormat="false" ht="12.75" hidden="false" customHeight="false" outlineLevel="0" collapsed="false">
      <c r="A133" s="608" t="n">
        <f aca="false">+A132+1</f>
        <v>129</v>
      </c>
      <c r="B133" s="635" t="s">
        <v>1036</v>
      </c>
      <c r="C133" s="642"/>
      <c r="D133" s="624"/>
      <c r="E133" s="449"/>
      <c r="F133" s="449"/>
      <c r="G133" s="449"/>
      <c r="H133" s="449"/>
      <c r="I133" s="449"/>
      <c r="J133" s="643"/>
      <c r="K133" s="449"/>
      <c r="L133" s="449"/>
    </row>
    <row r="134" customFormat="false" ht="12.75" hidden="false" customHeight="false" outlineLevel="0" collapsed="false">
      <c r="A134" s="608" t="n">
        <f aca="false">+A133+1</f>
        <v>130</v>
      </c>
      <c r="C134" s="636" t="s">
        <v>1185</v>
      </c>
      <c r="D134" s="624"/>
      <c r="E134" s="468" t="n">
        <f aca="false">8500*(E7/43)^0.6*(E8/2000)</f>
        <v>0</v>
      </c>
      <c r="F134" s="468" t="n">
        <f aca="false">8500*(F7/43)^0.6*(F8/2000)</f>
        <v>0</v>
      </c>
      <c r="G134" s="468" t="n">
        <f aca="false">8500*(G7/43)^0.6*(G8/2000)</f>
        <v>122299.003498026</v>
      </c>
      <c r="H134" s="468" t="n">
        <f aca="false">8500*(H7/43)^0.6*(H8/2000)</f>
        <v>0</v>
      </c>
      <c r="I134" s="468" t="n">
        <f aca="false">8500*(I7/43)^0.6*(I8/2000)</f>
        <v>0</v>
      </c>
      <c r="J134" s="648"/>
      <c r="K134" s="468" t="n">
        <f aca="false">8500*(K7/43)^0.6*(K8/2000)</f>
        <v>0</v>
      </c>
      <c r="L134" s="468" t="n">
        <f aca="false">3500*($L$7/265)^0.6*0.4</f>
        <v>0</v>
      </c>
    </row>
    <row r="135" customFormat="false" ht="12.75" hidden="false" customHeight="false" outlineLevel="0" collapsed="false">
      <c r="A135" s="608" t="n">
        <f aca="false">+A134+1</f>
        <v>131</v>
      </c>
      <c r="C135" s="636" t="s">
        <v>1221</v>
      </c>
      <c r="D135" s="624"/>
      <c r="E135" s="468" t="n">
        <f aca="false">2500*(E7/43)^0.6*(E8/2000)</f>
        <v>0</v>
      </c>
      <c r="F135" s="468" t="n">
        <f aca="false">2500*(F7/43)^0.6*(F8/2000)</f>
        <v>0</v>
      </c>
      <c r="G135" s="468" t="n">
        <f aca="false">2500*(G7/43)^0.6*(G8/2000)</f>
        <v>35970.2951464782</v>
      </c>
      <c r="H135" s="468" t="n">
        <f aca="false">2500*(H7/43)^0.6*(H8/2000)</f>
        <v>0</v>
      </c>
      <c r="I135" s="468" t="n">
        <f aca="false">2500*(I7/43)^0.6*(I8/2000)</f>
        <v>0</v>
      </c>
      <c r="J135" s="648"/>
      <c r="K135" s="468" t="n">
        <f aca="false">2500*(K7/43)^0.6*(K8/2000)</f>
        <v>0</v>
      </c>
      <c r="L135" s="468" t="n">
        <f aca="false">3500*($L$7/265)^0.6*0.6</f>
        <v>0</v>
      </c>
    </row>
    <row r="136" customFormat="false" ht="12.75" hidden="false" customHeight="false" outlineLevel="0" collapsed="false">
      <c r="A136" s="608" t="n">
        <f aca="false">+A135+1</f>
        <v>132</v>
      </c>
      <c r="C136" s="636" t="s">
        <v>1222</v>
      </c>
      <c r="D136" s="624"/>
      <c r="E136" s="468" t="n">
        <v>0</v>
      </c>
      <c r="F136" s="468" t="n">
        <v>0</v>
      </c>
      <c r="G136" s="468" t="n">
        <v>0</v>
      </c>
      <c r="H136" s="468" t="n">
        <v>0</v>
      </c>
      <c r="I136" s="468" t="n">
        <v>0</v>
      </c>
      <c r="J136" s="648"/>
      <c r="K136" s="468" t="n">
        <v>0</v>
      </c>
      <c r="L136" s="468" t="n">
        <f aca="false">K136</f>
        <v>0</v>
      </c>
    </row>
    <row r="137" customFormat="false" ht="12.75" hidden="false" customHeight="false" outlineLevel="0" collapsed="false">
      <c r="A137" s="608" t="n">
        <f aca="false">+A136+1</f>
        <v>133</v>
      </c>
      <c r="C137" s="636" t="s">
        <v>1223</v>
      </c>
      <c r="D137" s="624"/>
      <c r="E137" s="468" t="n">
        <v>0</v>
      </c>
      <c r="F137" s="468" t="n">
        <v>0</v>
      </c>
      <c r="G137" s="468" t="n">
        <v>0</v>
      </c>
      <c r="H137" s="468" t="n">
        <v>0</v>
      </c>
      <c r="I137" s="468" t="n">
        <v>0</v>
      </c>
      <c r="J137" s="648"/>
      <c r="K137" s="468" t="n">
        <v>0</v>
      </c>
      <c r="L137" s="468" t="n">
        <v>500</v>
      </c>
    </row>
    <row r="138" customFormat="false" ht="12.75" hidden="false" customHeight="false" outlineLevel="0" collapsed="false">
      <c r="A138" s="608" t="n">
        <f aca="false">+A137+1</f>
        <v>134</v>
      </c>
      <c r="C138" s="636" t="s">
        <v>1224</v>
      </c>
      <c r="D138" s="624"/>
      <c r="E138" s="468" t="n">
        <v>0</v>
      </c>
      <c r="F138" s="468" t="n">
        <v>0</v>
      </c>
      <c r="G138" s="468" t="n">
        <v>0</v>
      </c>
      <c r="H138" s="468" t="n">
        <v>0</v>
      </c>
      <c r="I138" s="468" t="n">
        <v>0</v>
      </c>
      <c r="J138" s="648"/>
      <c r="K138" s="468" t="n">
        <v>0</v>
      </c>
      <c r="L138" s="468" t="n">
        <f aca="false">K138</f>
        <v>0</v>
      </c>
    </row>
    <row r="139" customFormat="false" ht="12.75" hidden="false" customHeight="false" outlineLevel="0" collapsed="false">
      <c r="A139" s="608" t="n">
        <f aca="false">+A138+1</f>
        <v>135</v>
      </c>
      <c r="C139" s="636" t="s">
        <v>1204</v>
      </c>
      <c r="D139" s="624"/>
      <c r="E139" s="468" t="n">
        <v>0</v>
      </c>
      <c r="F139" s="468" t="n">
        <v>0</v>
      </c>
      <c r="G139" s="468" t="n">
        <v>0</v>
      </c>
      <c r="H139" s="468" t="n">
        <v>0</v>
      </c>
      <c r="I139" s="468" t="n">
        <v>0</v>
      </c>
      <c r="J139" s="648"/>
      <c r="K139" s="468" t="n">
        <v>0</v>
      </c>
      <c r="L139" s="468" t="n">
        <f aca="false">K139</f>
        <v>0</v>
      </c>
    </row>
    <row r="140" customFormat="false" ht="12.75" hidden="false" customHeight="false" outlineLevel="0" collapsed="false">
      <c r="A140" s="608" t="n">
        <f aca="false">+A139+1</f>
        <v>136</v>
      </c>
      <c r="C140" s="636" t="s">
        <v>559</v>
      </c>
      <c r="D140" s="624"/>
      <c r="E140" s="468" t="n">
        <v>0</v>
      </c>
      <c r="F140" s="468" t="n">
        <v>0</v>
      </c>
      <c r="G140" s="468" t="n">
        <v>0</v>
      </c>
      <c r="H140" s="468" t="n">
        <v>0</v>
      </c>
      <c r="I140" s="468" t="n">
        <v>0</v>
      </c>
      <c r="J140" s="648"/>
      <c r="K140" s="468" t="n">
        <v>0</v>
      </c>
      <c r="L140" s="468" t="n">
        <f aca="false">K140</f>
        <v>0</v>
      </c>
    </row>
    <row r="141" customFormat="false" ht="12.75" hidden="false" customHeight="false" outlineLevel="0" collapsed="false">
      <c r="A141" s="608" t="n">
        <f aca="false">+A140+1</f>
        <v>137</v>
      </c>
      <c r="B141" s="538"/>
      <c r="C141" s="636" t="s">
        <v>1156</v>
      </c>
      <c r="D141" s="624"/>
      <c r="E141" s="468" t="n">
        <v>0</v>
      </c>
      <c r="F141" s="468" t="n">
        <v>0</v>
      </c>
      <c r="G141" s="468" t="n">
        <v>0</v>
      </c>
      <c r="H141" s="468" t="n">
        <v>0</v>
      </c>
      <c r="I141" s="468" t="n">
        <v>0</v>
      </c>
      <c r="J141" s="648"/>
      <c r="K141" s="468" t="n">
        <v>0</v>
      </c>
      <c r="L141" s="468" t="n">
        <f aca="false">K141</f>
        <v>0</v>
      </c>
    </row>
    <row r="142" customFormat="false" ht="12.75" hidden="false" customHeight="false" outlineLevel="0" collapsed="false">
      <c r="A142" s="608" t="n">
        <f aca="false">+A141+1</f>
        <v>138</v>
      </c>
      <c r="B142" s="561"/>
      <c r="C142" s="639" t="s">
        <v>431</v>
      </c>
      <c r="D142" s="624"/>
      <c r="E142" s="649" t="n">
        <f aca="false">SUBTOTAL(9,E134:E141)</f>
        <v>0</v>
      </c>
      <c r="F142" s="649" t="n">
        <f aca="false">SUBTOTAL(9,F134:F141)</f>
        <v>0</v>
      </c>
      <c r="G142" s="649" t="n">
        <f aca="false">SUBTOTAL(9,G134:G141)</f>
        <v>158269.298644504</v>
      </c>
      <c r="H142" s="649" t="n">
        <f aca="false">SUBTOTAL(9,H134:H141)</f>
        <v>0</v>
      </c>
      <c r="I142" s="649" t="n">
        <f aca="false">SUBTOTAL(9,I134:I141)</f>
        <v>0</v>
      </c>
      <c r="J142" s="650"/>
      <c r="K142" s="649" t="n">
        <f aca="false">SUBTOTAL(9,K134:K141)</f>
        <v>0</v>
      </c>
      <c r="L142" s="649" t="n">
        <f aca="false">SUBTOTAL(9,L134:L141)</f>
        <v>500</v>
      </c>
    </row>
    <row r="143" customFormat="false" ht="12.75" hidden="false" customHeight="false" outlineLevel="0" collapsed="false">
      <c r="A143" s="608" t="n">
        <f aca="false">+A142+1</f>
        <v>139</v>
      </c>
      <c r="B143" s="635" t="s">
        <v>1040</v>
      </c>
      <c r="C143" s="642"/>
      <c r="D143" s="624"/>
      <c r="E143" s="449"/>
      <c r="F143" s="449"/>
      <c r="G143" s="449"/>
      <c r="H143" s="449"/>
      <c r="I143" s="449"/>
      <c r="J143" s="643"/>
      <c r="K143" s="449"/>
      <c r="L143" s="449"/>
    </row>
    <row r="144" customFormat="false" ht="12.75" hidden="false" customHeight="false" outlineLevel="0" collapsed="false">
      <c r="A144" s="608" t="n">
        <f aca="false">+A143+1</f>
        <v>140</v>
      </c>
      <c r="C144" s="636" t="s">
        <v>190</v>
      </c>
      <c r="D144" s="624"/>
      <c r="E144" s="637" t="n">
        <v>0</v>
      </c>
      <c r="F144" s="637" t="n">
        <v>0</v>
      </c>
      <c r="G144" s="637" t="n">
        <v>0</v>
      </c>
      <c r="H144" s="637" t="n">
        <v>0</v>
      </c>
      <c r="I144" s="637" t="n">
        <v>0</v>
      </c>
      <c r="J144" s="638"/>
      <c r="K144" s="637" t="n">
        <v>0</v>
      </c>
      <c r="L144" s="637" t="n">
        <v>0</v>
      </c>
    </row>
    <row r="145" customFormat="false" ht="12.75" hidden="false" customHeight="false" outlineLevel="0" collapsed="false">
      <c r="A145" s="608" t="n">
        <f aca="false">+A144+1</f>
        <v>141</v>
      </c>
      <c r="C145" s="636" t="s">
        <v>569</v>
      </c>
      <c r="D145" s="624"/>
      <c r="E145" s="637" t="n">
        <v>0</v>
      </c>
      <c r="F145" s="637" t="n">
        <v>0</v>
      </c>
      <c r="G145" s="637" t="n">
        <v>0</v>
      </c>
      <c r="H145" s="637" t="n">
        <v>0</v>
      </c>
      <c r="I145" s="637" t="n">
        <v>0</v>
      </c>
      <c r="J145" s="638"/>
      <c r="K145" s="637" t="n">
        <v>0</v>
      </c>
      <c r="L145" s="637" t="n">
        <v>0</v>
      </c>
    </row>
    <row r="146" customFormat="false" ht="12.75" hidden="false" customHeight="false" outlineLevel="0" collapsed="false">
      <c r="A146" s="608" t="n">
        <f aca="false">+A145+1</f>
        <v>142</v>
      </c>
      <c r="C146" s="636" t="s">
        <v>571</v>
      </c>
      <c r="D146" s="624"/>
      <c r="E146" s="637" t="n">
        <v>0</v>
      </c>
      <c r="F146" s="637" t="n">
        <v>0</v>
      </c>
      <c r="G146" s="637" t="n">
        <v>0</v>
      </c>
      <c r="H146" s="637" t="n">
        <v>0</v>
      </c>
      <c r="I146" s="637" t="n">
        <v>0</v>
      </c>
      <c r="J146" s="638"/>
      <c r="K146" s="637" t="n">
        <v>0</v>
      </c>
      <c r="L146" s="637" t="n">
        <v>0</v>
      </c>
    </row>
    <row r="147" customFormat="false" ht="12.75" hidden="false" customHeight="false" outlineLevel="0" collapsed="false">
      <c r="A147" s="608" t="n">
        <f aca="false">+A146+1</f>
        <v>143</v>
      </c>
      <c r="C147" s="636" t="s">
        <v>1225</v>
      </c>
      <c r="D147" s="624"/>
      <c r="E147" s="637" t="n">
        <v>0</v>
      </c>
      <c r="F147" s="637" t="n">
        <v>0</v>
      </c>
      <c r="G147" s="637" t="n">
        <v>0</v>
      </c>
      <c r="H147" s="637" t="n">
        <v>0</v>
      </c>
      <c r="I147" s="637" t="n">
        <v>0</v>
      </c>
      <c r="J147" s="638"/>
      <c r="K147" s="637" t="n">
        <v>0</v>
      </c>
      <c r="L147" s="637" t="n">
        <v>0</v>
      </c>
    </row>
    <row r="148" customFormat="false" ht="12.75" hidden="false" customHeight="false" outlineLevel="0" collapsed="false">
      <c r="A148" s="608" t="n">
        <f aca="false">+A147+1</f>
        <v>144</v>
      </c>
      <c r="B148" s="538"/>
      <c r="C148" s="636" t="s">
        <v>1156</v>
      </c>
      <c r="D148" s="624"/>
      <c r="E148" s="637" t="n">
        <v>0</v>
      </c>
      <c r="F148" s="637" t="n">
        <v>0</v>
      </c>
      <c r="G148" s="637" t="n">
        <v>0</v>
      </c>
      <c r="H148" s="637" t="n">
        <v>0</v>
      </c>
      <c r="I148" s="637" t="n">
        <v>0</v>
      </c>
      <c r="J148" s="638"/>
      <c r="K148" s="637" t="n">
        <v>0</v>
      </c>
      <c r="L148" s="637" t="n">
        <v>0</v>
      </c>
    </row>
    <row r="149" customFormat="false" ht="12.75" hidden="false" customHeight="false" outlineLevel="0" collapsed="false">
      <c r="A149" s="608" t="n">
        <f aca="false">+A148+1</f>
        <v>145</v>
      </c>
      <c r="B149" s="561"/>
      <c r="C149" s="639" t="s">
        <v>431</v>
      </c>
      <c r="D149" s="624"/>
      <c r="E149" s="649" t="n">
        <f aca="false">SUBTOTAL(9,E144:E148)</f>
        <v>0</v>
      </c>
      <c r="F149" s="649" t="n">
        <f aca="false">SUBTOTAL(9,F144:F148)</f>
        <v>0</v>
      </c>
      <c r="G149" s="649" t="n">
        <f aca="false">SUBTOTAL(9,G144:G148)</f>
        <v>0</v>
      </c>
      <c r="H149" s="649" t="n">
        <f aca="false">SUBTOTAL(9,H144:H148)</f>
        <v>0</v>
      </c>
      <c r="I149" s="649" t="n">
        <f aca="false">SUBTOTAL(9,I144:I148)</f>
        <v>0</v>
      </c>
      <c r="J149" s="650"/>
      <c r="K149" s="649" t="n">
        <f aca="false">SUBTOTAL(9,K144:K148)</f>
        <v>0</v>
      </c>
      <c r="L149" s="649" t="n">
        <f aca="false">SUBTOTAL(9,L144:L148)</f>
        <v>0</v>
      </c>
    </row>
    <row r="150" customFormat="false" ht="12.75" hidden="false" customHeight="false" outlineLevel="0" collapsed="false">
      <c r="A150" s="608" t="n">
        <f aca="false">+A149+1</f>
        <v>146</v>
      </c>
      <c r="B150" s="635" t="s">
        <v>1046</v>
      </c>
      <c r="C150" s="642"/>
      <c r="D150" s="624"/>
      <c r="E150" s="449"/>
      <c r="F150" s="449"/>
      <c r="G150" s="449"/>
      <c r="H150" s="449"/>
      <c r="I150" s="449"/>
      <c r="J150" s="643"/>
      <c r="K150" s="449"/>
      <c r="L150" s="449"/>
    </row>
    <row r="151" customFormat="false" ht="12.75" hidden="false" customHeight="false" outlineLevel="0" collapsed="false">
      <c r="A151" s="608" t="n">
        <f aca="false">+A150+1</f>
        <v>147</v>
      </c>
      <c r="C151" s="636" t="s">
        <v>1185</v>
      </c>
      <c r="D151" s="624"/>
      <c r="E151" s="468" t="n">
        <v>0</v>
      </c>
      <c r="F151" s="468" t="n">
        <v>0</v>
      </c>
      <c r="G151" s="468" t="n">
        <v>0</v>
      </c>
      <c r="H151" s="468" t="n">
        <v>0</v>
      </c>
      <c r="I151" s="468" t="n">
        <v>0</v>
      </c>
      <c r="J151" s="648"/>
      <c r="K151" s="468" t="n">
        <v>0</v>
      </c>
      <c r="L151" s="468" t="n">
        <v>0</v>
      </c>
    </row>
    <row r="152" customFormat="false" ht="12.75" hidden="false" customHeight="false" outlineLevel="0" collapsed="false">
      <c r="A152" s="608" t="n">
        <f aca="false">+A151+1</f>
        <v>148</v>
      </c>
      <c r="C152" s="636" t="s">
        <v>1226</v>
      </c>
      <c r="D152" s="624"/>
      <c r="E152" s="468" t="n">
        <v>0</v>
      </c>
      <c r="F152" s="468" t="n">
        <v>0</v>
      </c>
      <c r="G152" s="468" t="n">
        <v>0</v>
      </c>
      <c r="H152" s="468" t="n">
        <v>0</v>
      </c>
      <c r="I152" s="468" t="n">
        <v>0</v>
      </c>
      <c r="J152" s="648"/>
      <c r="K152" s="468" t="n">
        <v>0</v>
      </c>
      <c r="L152" s="468" t="n">
        <v>0</v>
      </c>
    </row>
    <row r="153" customFormat="false" ht="12.75" hidden="false" customHeight="false" outlineLevel="0" collapsed="false">
      <c r="A153" s="608" t="n">
        <f aca="false">+A152+1</f>
        <v>149</v>
      </c>
      <c r="C153" s="636" t="s">
        <v>1227</v>
      </c>
      <c r="D153" s="624"/>
      <c r="E153" s="468" t="n">
        <v>0</v>
      </c>
      <c r="F153" s="468" t="n">
        <v>0</v>
      </c>
      <c r="G153" s="468" t="n">
        <v>0</v>
      </c>
      <c r="H153" s="468" t="n">
        <v>0</v>
      </c>
      <c r="I153" s="468" t="n">
        <v>0</v>
      </c>
      <c r="J153" s="648"/>
      <c r="K153" s="468" t="n">
        <v>0</v>
      </c>
      <c r="L153" s="468" t="n">
        <v>4360.80050125899</v>
      </c>
    </row>
    <row r="154" customFormat="false" ht="12.75" hidden="false" customHeight="false" outlineLevel="0" collapsed="false">
      <c r="A154" s="608" t="n">
        <f aca="false">+A153+1</f>
        <v>150</v>
      </c>
      <c r="C154" s="636" t="s">
        <v>1228</v>
      </c>
      <c r="D154" s="624"/>
      <c r="E154" s="468" t="n">
        <v>0</v>
      </c>
      <c r="F154" s="468" t="n">
        <v>0</v>
      </c>
      <c r="G154" s="468" t="n">
        <v>0</v>
      </c>
      <c r="H154" s="468" t="n">
        <v>0</v>
      </c>
      <c r="I154" s="468" t="n">
        <v>0</v>
      </c>
      <c r="J154" s="648"/>
      <c r="K154" s="468" t="n">
        <v>0</v>
      </c>
      <c r="L154" s="468" t="n">
        <v>0</v>
      </c>
    </row>
    <row r="155" customFormat="false" ht="12.75" hidden="false" customHeight="false" outlineLevel="0" collapsed="false">
      <c r="A155" s="608" t="n">
        <f aca="false">+A154+1</f>
        <v>151</v>
      </c>
      <c r="C155" s="636" t="s">
        <v>1229</v>
      </c>
      <c r="D155" s="624"/>
      <c r="E155" s="468" t="n">
        <f aca="false">25000*(E7/43)^0.6</f>
        <v>0</v>
      </c>
      <c r="F155" s="468" t="n">
        <f aca="false">25000*(F7/43)^0.6</f>
        <v>0</v>
      </c>
      <c r="G155" s="468" t="n">
        <f aca="false">25000*(G7/43)^0.6</f>
        <v>86446.2752859367</v>
      </c>
      <c r="H155" s="468" t="n">
        <f aca="false">25000*(H7/43)^0.6</f>
        <v>0</v>
      </c>
      <c r="I155" s="468" t="n">
        <f aca="false">25000*(I7/43)^0.6</f>
        <v>0</v>
      </c>
      <c r="J155" s="648"/>
      <c r="K155" s="468" t="n">
        <f aca="false">25000*(K7/43)^0.6</f>
        <v>0</v>
      </c>
      <c r="L155" s="468" t="n">
        <v>0</v>
      </c>
    </row>
    <row r="156" customFormat="false" ht="12.75" hidden="false" customHeight="false" outlineLevel="0" collapsed="false">
      <c r="A156" s="608" t="n">
        <f aca="false">+A155+1</f>
        <v>152</v>
      </c>
      <c r="C156" s="636" t="s">
        <v>1230</v>
      </c>
      <c r="D156" s="624"/>
      <c r="E156" s="468" t="n">
        <f aca="false">28000*(E7/43)^0.6</f>
        <v>0</v>
      </c>
      <c r="F156" s="468" t="n">
        <f aca="false">28000*(F7/43)^0.6</f>
        <v>0</v>
      </c>
      <c r="G156" s="468" t="n">
        <f aca="false">28000*(G7/43)^0.6</f>
        <v>96819.8283202491</v>
      </c>
      <c r="H156" s="468" t="n">
        <f aca="false">28000*(H7/43)^0.6</f>
        <v>0</v>
      </c>
      <c r="I156" s="468" t="n">
        <f aca="false">28000*(I7/43)^0.6</f>
        <v>0</v>
      </c>
      <c r="J156" s="648"/>
      <c r="K156" s="468" t="n">
        <f aca="false">28000*(K7/43)^0.6</f>
        <v>0</v>
      </c>
      <c r="L156" s="468" t="n">
        <v>83251.098</v>
      </c>
    </row>
    <row r="157" customFormat="false" ht="12.75" hidden="false" customHeight="false" outlineLevel="0" collapsed="false">
      <c r="A157" s="608" t="n">
        <f aca="false">+A156+1</f>
        <v>153</v>
      </c>
      <c r="C157" s="636" t="s">
        <v>1231</v>
      </c>
      <c r="D157" s="624"/>
      <c r="E157" s="468" t="n">
        <f aca="false">(25*(E7/42)*E8*0.25)</f>
        <v>0</v>
      </c>
      <c r="F157" s="468" t="n">
        <f aca="false">(25*(F7/42)*F8*0.25)</f>
        <v>0</v>
      </c>
      <c r="G157" s="468" t="n">
        <f aca="false">(25*(G7/42)*G8*0.25)</f>
        <v>421053.571428571</v>
      </c>
      <c r="H157" s="468" t="n">
        <f aca="false">(25*(H7/42)*H8*0.25)</f>
        <v>0</v>
      </c>
      <c r="I157" s="468" t="n">
        <f aca="false">(25*(I7/42)*I8*0.25)</f>
        <v>0</v>
      </c>
      <c r="J157" s="648"/>
      <c r="K157" s="468" t="n">
        <f aca="false">(25*(K7/42)*K8*0.25)</f>
        <v>0</v>
      </c>
      <c r="L157" s="468" t="n">
        <f aca="false">(25*(L7/7/42)*L8*0.25)</f>
        <v>0</v>
      </c>
    </row>
    <row r="158" customFormat="false" ht="12.75" hidden="false" customHeight="false" outlineLevel="0" collapsed="false">
      <c r="A158" s="608" t="n">
        <f aca="false">+A157+1</f>
        <v>154</v>
      </c>
      <c r="C158" s="636" t="s">
        <v>1232</v>
      </c>
      <c r="D158" s="624"/>
      <c r="E158" s="468" t="n">
        <v>0</v>
      </c>
      <c r="F158" s="468" t="n">
        <v>0</v>
      </c>
      <c r="G158" s="468" t="n">
        <v>0</v>
      </c>
      <c r="H158" s="468" t="n">
        <v>0</v>
      </c>
      <c r="I158" s="468" t="n">
        <v>0</v>
      </c>
      <c r="J158" s="648"/>
      <c r="K158" s="468" t="n">
        <v>0</v>
      </c>
      <c r="L158" s="468" t="n">
        <v>0</v>
      </c>
    </row>
    <row r="159" customFormat="false" ht="12.75" hidden="false" customHeight="false" outlineLevel="0" collapsed="false">
      <c r="A159" s="608" t="n">
        <f aca="false">+A158+1</f>
        <v>155</v>
      </c>
      <c r="C159" s="636" t="s">
        <v>1233</v>
      </c>
      <c r="D159" s="624"/>
      <c r="E159" s="468" t="n">
        <v>0</v>
      </c>
      <c r="F159" s="468" t="n">
        <v>0</v>
      </c>
      <c r="G159" s="468" t="n">
        <v>0</v>
      </c>
      <c r="H159" s="468" t="n">
        <v>0</v>
      </c>
      <c r="I159" s="468" t="n">
        <v>0</v>
      </c>
      <c r="J159" s="648"/>
      <c r="K159" s="468" t="n">
        <v>0</v>
      </c>
      <c r="L159" s="468" t="n">
        <v>0</v>
      </c>
    </row>
    <row r="160" customFormat="false" ht="12.75" hidden="false" customHeight="false" outlineLevel="0" collapsed="false">
      <c r="A160" s="608" t="n">
        <f aca="false">+A159+1</f>
        <v>156</v>
      </c>
      <c r="C160" s="636" t="s">
        <v>1234</v>
      </c>
      <c r="D160" s="624"/>
      <c r="E160" s="468" t="n">
        <v>0</v>
      </c>
      <c r="F160" s="468" t="n">
        <v>0</v>
      </c>
      <c r="G160" s="468" t="n">
        <v>0</v>
      </c>
      <c r="H160" s="468" t="n">
        <v>0</v>
      </c>
      <c r="I160" s="468" t="n">
        <v>0</v>
      </c>
      <c r="J160" s="648"/>
      <c r="K160" s="468" t="n">
        <v>0</v>
      </c>
      <c r="L160" s="468" t="n">
        <v>0</v>
      </c>
    </row>
    <row r="161" customFormat="false" ht="12.75" hidden="false" customHeight="false" outlineLevel="0" collapsed="false">
      <c r="A161" s="608" t="n">
        <f aca="false">+A160+1</f>
        <v>157</v>
      </c>
      <c r="C161" s="636" t="s">
        <v>1235</v>
      </c>
      <c r="D161" s="624"/>
      <c r="E161" s="637" t="n">
        <v>0</v>
      </c>
      <c r="F161" s="637" t="n">
        <v>0</v>
      </c>
      <c r="G161" s="637" t="n">
        <v>0</v>
      </c>
      <c r="H161" s="637" t="n">
        <v>0</v>
      </c>
      <c r="I161" s="637" t="n">
        <v>0</v>
      </c>
      <c r="J161" s="648"/>
      <c r="K161" s="637" t="n">
        <v>0</v>
      </c>
      <c r="L161" s="468" t="n">
        <v>0</v>
      </c>
    </row>
    <row r="162" customFormat="false" ht="12.75" hidden="false" customHeight="false" outlineLevel="0" collapsed="false">
      <c r="A162" s="608" t="n">
        <f aca="false">+A161+1</f>
        <v>158</v>
      </c>
      <c r="C162" s="636" t="s">
        <v>1236</v>
      </c>
      <c r="D162" s="624"/>
      <c r="E162" s="637" t="n">
        <v>0</v>
      </c>
      <c r="F162" s="637" t="n">
        <v>0</v>
      </c>
      <c r="G162" s="637" t="n">
        <v>0</v>
      </c>
      <c r="H162" s="637" t="n">
        <v>0</v>
      </c>
      <c r="I162" s="637" t="n">
        <v>0</v>
      </c>
      <c r="J162" s="648"/>
      <c r="K162" s="637" t="n">
        <v>0</v>
      </c>
      <c r="L162" s="468" t="n">
        <v>0</v>
      </c>
    </row>
    <row r="163" customFormat="false" ht="12.75" hidden="false" customHeight="false" outlineLevel="0" collapsed="false">
      <c r="A163" s="608" t="n">
        <f aca="false">+A162+1</f>
        <v>159</v>
      </c>
      <c r="B163" s="538"/>
      <c r="C163" s="636" t="s">
        <v>1156</v>
      </c>
      <c r="D163" s="624"/>
      <c r="E163" s="637" t="n">
        <v>0</v>
      </c>
      <c r="F163" s="637" t="n">
        <v>0</v>
      </c>
      <c r="G163" s="637" t="n">
        <v>0</v>
      </c>
      <c r="H163" s="637" t="n">
        <v>0</v>
      </c>
      <c r="I163" s="637" t="n">
        <v>0</v>
      </c>
      <c r="J163" s="648"/>
      <c r="K163" s="637" t="n">
        <v>0</v>
      </c>
      <c r="L163" s="468" t="n">
        <v>0</v>
      </c>
    </row>
    <row r="164" customFormat="false" ht="12.75" hidden="false" customHeight="false" outlineLevel="0" collapsed="false">
      <c r="A164" s="608" t="n">
        <f aca="false">+A163+1</f>
        <v>160</v>
      </c>
      <c r="B164" s="561"/>
      <c r="C164" s="639" t="s">
        <v>431</v>
      </c>
      <c r="D164" s="624"/>
      <c r="E164" s="649" t="n">
        <f aca="false">SUBTOTAL(9,E151:E163)</f>
        <v>0</v>
      </c>
      <c r="F164" s="649" t="n">
        <f aca="false">SUBTOTAL(9,F151:F163)</f>
        <v>0</v>
      </c>
      <c r="G164" s="649" t="n">
        <f aca="false">SUBTOTAL(9,G151:G163)</f>
        <v>604319.675034757</v>
      </c>
      <c r="H164" s="649" t="n">
        <f aca="false">SUBTOTAL(9,H151:H163)</f>
        <v>0</v>
      </c>
      <c r="I164" s="649" t="n">
        <f aca="false">SUBTOTAL(9,I151:I163)</f>
        <v>0</v>
      </c>
      <c r="J164" s="650"/>
      <c r="K164" s="649" t="n">
        <f aca="false">SUBTOTAL(9,K151:K163)</f>
        <v>0</v>
      </c>
      <c r="L164" s="649" t="n">
        <f aca="false">SUBTOTAL(9,L151:L163)</f>
        <v>87611.898501259</v>
      </c>
    </row>
    <row r="165" customFormat="false" ht="12.75" hidden="false" customHeight="false" outlineLevel="0" collapsed="false">
      <c r="A165" s="608" t="n">
        <f aca="false">+A164+1</f>
        <v>161</v>
      </c>
      <c r="B165" s="635" t="s">
        <v>1054</v>
      </c>
      <c r="C165" s="642"/>
      <c r="D165" s="624"/>
      <c r="E165" s="449"/>
      <c r="F165" s="449"/>
      <c r="G165" s="449"/>
      <c r="H165" s="449"/>
      <c r="I165" s="449"/>
      <c r="J165" s="643"/>
      <c r="K165" s="449"/>
      <c r="L165" s="449"/>
    </row>
    <row r="166" customFormat="false" ht="12.75" hidden="false" customHeight="false" outlineLevel="0" collapsed="false">
      <c r="A166" s="608" t="n">
        <f aca="false">+A165+1</f>
        <v>162</v>
      </c>
      <c r="C166" s="636" t="s">
        <v>1237</v>
      </c>
      <c r="D166" s="624"/>
      <c r="E166" s="637" t="n">
        <f aca="false">70000*(E$7/414)^0.6*0.5</f>
        <v>0</v>
      </c>
      <c r="F166" s="637" t="n">
        <f aca="false">70000*(F$7/414)^0.6*0.5</f>
        <v>0</v>
      </c>
      <c r="G166" s="637" t="n">
        <f aca="false">70000*(G$7/414)^0.6*0.5</f>
        <v>31099.627690916</v>
      </c>
      <c r="H166" s="637" t="n">
        <f aca="false">70000*(H$7/414)^0.6*0.5</f>
        <v>0</v>
      </c>
      <c r="I166" s="637" t="n">
        <f aca="false">70000*(I$7/414)^0.6*0.5</f>
        <v>0</v>
      </c>
      <c r="J166" s="638"/>
      <c r="K166" s="637" t="n">
        <f aca="false">70000*($K$7/414)^0.6*0.5</f>
        <v>0</v>
      </c>
      <c r="L166" s="637" t="n">
        <f aca="false">5000*L6*0.5</f>
        <v>0</v>
      </c>
    </row>
    <row r="167" customFormat="false" ht="12.75" hidden="false" customHeight="false" outlineLevel="0" collapsed="false">
      <c r="A167" s="608" t="n">
        <f aca="false">+A166+1</f>
        <v>163</v>
      </c>
      <c r="C167" s="636" t="s">
        <v>1185</v>
      </c>
      <c r="D167" s="624"/>
      <c r="E167" s="637" t="n">
        <f aca="false">70000*(E$7/414)^0.6*0.2</f>
        <v>0</v>
      </c>
      <c r="F167" s="637" t="n">
        <f aca="false">70000*(F$7/414)^0.6*0.2</f>
        <v>0</v>
      </c>
      <c r="G167" s="637" t="n">
        <f aca="false">70000*(G$7/414)^0.6*0.2</f>
        <v>12439.8510763664</v>
      </c>
      <c r="H167" s="637" t="n">
        <f aca="false">70000*(H$7/414)^0.6*0.2</f>
        <v>0</v>
      </c>
      <c r="I167" s="637" t="n">
        <f aca="false">70000*(I$7/414)^0.6*0.2</f>
        <v>0</v>
      </c>
      <c r="J167" s="638"/>
      <c r="K167" s="637" t="n">
        <f aca="false">70000*($K$7/414)^0.6*0.2</f>
        <v>0</v>
      </c>
      <c r="L167" s="637" t="n">
        <f aca="false">5000*L6*0.2</f>
        <v>0</v>
      </c>
    </row>
    <row r="168" customFormat="false" ht="12.75" hidden="false" customHeight="false" outlineLevel="0" collapsed="false">
      <c r="A168" s="608" t="n">
        <f aca="false">+A167+1</f>
        <v>164</v>
      </c>
      <c r="C168" s="636" t="s">
        <v>1238</v>
      </c>
      <c r="D168" s="624"/>
      <c r="E168" s="637" t="n">
        <f aca="false">70000*(E$7/414)^0.6*0.2</f>
        <v>0</v>
      </c>
      <c r="F168" s="637" t="n">
        <f aca="false">70000*(F$7/414)^0.6*0.2</f>
        <v>0</v>
      </c>
      <c r="G168" s="637" t="n">
        <f aca="false">70000*(G$7/414)^0.6*0.2</f>
        <v>12439.8510763664</v>
      </c>
      <c r="H168" s="637" t="n">
        <f aca="false">70000*(H$7/414)^0.6*0.2</f>
        <v>0</v>
      </c>
      <c r="I168" s="637" t="n">
        <f aca="false">70000*(I$7/414)^0.6*0.2</f>
        <v>0</v>
      </c>
      <c r="J168" s="638"/>
      <c r="K168" s="637" t="n">
        <f aca="false">70000*($K$7/414)^0.6*0.2</f>
        <v>0</v>
      </c>
      <c r="L168" s="637" t="n">
        <f aca="false">5000*L6*0.2</f>
        <v>0</v>
      </c>
    </row>
    <row r="169" customFormat="false" ht="12.75" hidden="false" customHeight="false" outlineLevel="0" collapsed="false">
      <c r="A169" s="608" t="n">
        <f aca="false">+A168+1</f>
        <v>165</v>
      </c>
      <c r="C169" s="636" t="s">
        <v>1239</v>
      </c>
      <c r="D169" s="624"/>
      <c r="E169" s="637" t="n">
        <f aca="false">70000*(E$7/414)^0.6*0.1</f>
        <v>0</v>
      </c>
      <c r="F169" s="637" t="n">
        <f aca="false">70000*(F$7/414)^0.6*0.1</f>
        <v>0</v>
      </c>
      <c r="G169" s="637" t="n">
        <f aca="false">70000*(G$7/414)^0.6*0.1</f>
        <v>6219.92553818321</v>
      </c>
      <c r="H169" s="637" t="n">
        <f aca="false">70000*(H$7/414)^0.6*0.1</f>
        <v>0</v>
      </c>
      <c r="I169" s="637" t="n">
        <f aca="false">70000*(I$7/414)^0.6*0.1</f>
        <v>0</v>
      </c>
      <c r="J169" s="638"/>
      <c r="K169" s="637" t="n">
        <f aca="false">70000*($K$7/414)^0.6*0.1</f>
        <v>0</v>
      </c>
      <c r="L169" s="637" t="n">
        <f aca="false">5000*L6*0.1</f>
        <v>0</v>
      </c>
    </row>
    <row r="170" customFormat="false" ht="12.75" hidden="false" customHeight="false" outlineLevel="0" collapsed="false">
      <c r="A170" s="608" t="n">
        <f aca="false">+A169+1</f>
        <v>166</v>
      </c>
      <c r="C170" s="636" t="s">
        <v>534</v>
      </c>
      <c r="D170" s="624"/>
      <c r="E170" s="637" t="n">
        <v>0</v>
      </c>
      <c r="F170" s="637" t="n">
        <v>0</v>
      </c>
      <c r="G170" s="637" t="n">
        <v>0</v>
      </c>
      <c r="H170" s="637" t="n">
        <v>0</v>
      </c>
      <c r="I170" s="637" t="n">
        <v>0</v>
      </c>
      <c r="J170" s="638"/>
      <c r="K170" s="637" t="n">
        <v>0</v>
      </c>
      <c r="L170" s="637" t="n">
        <v>0</v>
      </c>
    </row>
    <row r="171" customFormat="false" ht="12.75" hidden="false" customHeight="false" outlineLevel="0" collapsed="false">
      <c r="A171" s="608" t="n">
        <f aca="false">+A170+1</f>
        <v>167</v>
      </c>
      <c r="B171" s="538"/>
      <c r="C171" s="636" t="s">
        <v>1156</v>
      </c>
      <c r="D171" s="624"/>
      <c r="E171" s="637" t="n">
        <v>0</v>
      </c>
      <c r="F171" s="637" t="n">
        <v>0</v>
      </c>
      <c r="G171" s="637" t="n">
        <v>0</v>
      </c>
      <c r="H171" s="637" t="n">
        <v>0</v>
      </c>
      <c r="I171" s="637" t="n">
        <v>0</v>
      </c>
      <c r="J171" s="638"/>
      <c r="K171" s="637" t="n">
        <v>0</v>
      </c>
      <c r="L171" s="637" t="n">
        <v>0</v>
      </c>
    </row>
    <row r="172" customFormat="false" ht="12.75" hidden="false" customHeight="false" outlineLevel="0" collapsed="false">
      <c r="A172" s="608" t="n">
        <f aca="false">+A171+1</f>
        <v>168</v>
      </c>
      <c r="B172" s="561"/>
      <c r="C172" s="639" t="s">
        <v>431</v>
      </c>
      <c r="D172" s="624"/>
      <c r="E172" s="649" t="n">
        <f aca="false">SUBTOTAL(9,E166:E171)</f>
        <v>0</v>
      </c>
      <c r="F172" s="649" t="n">
        <f aca="false">SUBTOTAL(9,F166:F171)</f>
        <v>0</v>
      </c>
      <c r="G172" s="649" t="n">
        <f aca="false">SUBTOTAL(9,G166:G171)</f>
        <v>62199.2553818321</v>
      </c>
      <c r="H172" s="649" t="n">
        <f aca="false">SUBTOTAL(9,H166:H171)</f>
        <v>0</v>
      </c>
      <c r="I172" s="649" t="n">
        <f aca="false">SUBTOTAL(9,I166:I171)</f>
        <v>0</v>
      </c>
      <c r="J172" s="650"/>
      <c r="K172" s="649" t="n">
        <f aca="false">SUBTOTAL(9,K166:K171)</f>
        <v>0</v>
      </c>
      <c r="L172" s="649" t="n">
        <f aca="false">SUBTOTAL(9,L166:L171)</f>
        <v>0</v>
      </c>
    </row>
    <row r="173" customFormat="false" ht="12.75" hidden="false" customHeight="false" outlineLevel="0" collapsed="false">
      <c r="A173" s="608" t="n">
        <f aca="false">+A172+1</f>
        <v>169</v>
      </c>
      <c r="B173" s="635" t="s">
        <v>1058</v>
      </c>
      <c r="C173" s="642"/>
      <c r="D173" s="624"/>
      <c r="E173" s="449"/>
      <c r="F173" s="449"/>
      <c r="G173" s="449"/>
      <c r="H173" s="449"/>
      <c r="I173" s="449"/>
      <c r="J173" s="643"/>
      <c r="K173" s="449"/>
      <c r="L173" s="449"/>
    </row>
    <row r="174" customFormat="false" ht="12.75" hidden="false" customHeight="false" outlineLevel="0" collapsed="false">
      <c r="A174" s="608" t="n">
        <f aca="false">+A173+1</f>
        <v>170</v>
      </c>
      <c r="C174" s="636" t="s">
        <v>1240</v>
      </c>
      <c r="D174" s="624"/>
      <c r="E174" s="468" t="n">
        <f aca="false">E6/4.5*30000*0.5</f>
        <v>0</v>
      </c>
      <c r="F174" s="468" t="n">
        <f aca="false">F6/4.5*30000*0.5</f>
        <v>0</v>
      </c>
      <c r="G174" s="468" t="n">
        <f aca="false">G6/4.5*30000*0.5</f>
        <v>6666.66666666667</v>
      </c>
      <c r="H174" s="468" t="n">
        <f aca="false">H6/4.5*30000*0.5</f>
        <v>0</v>
      </c>
      <c r="I174" s="468" t="n">
        <f aca="false">I6/4.5*30000*0.5</f>
        <v>0</v>
      </c>
      <c r="J174" s="648"/>
      <c r="K174" s="468" t="n">
        <f aca="false">K6/4.5*30000*0.5</f>
        <v>0</v>
      </c>
      <c r="L174" s="468" t="n">
        <f aca="false">L6/1*2500*0.5</f>
        <v>0</v>
      </c>
    </row>
    <row r="175" customFormat="false" ht="12.75" hidden="false" customHeight="false" outlineLevel="0" collapsed="false">
      <c r="A175" s="608" t="n">
        <f aca="false">+A174+1</f>
        <v>171</v>
      </c>
      <c r="C175" s="636" t="s">
        <v>1241</v>
      </c>
      <c r="D175" s="624"/>
      <c r="E175" s="468" t="n">
        <f aca="false">E6/4.5*30000*0.2</f>
        <v>0</v>
      </c>
      <c r="F175" s="468" t="n">
        <f aca="false">F6/4.5*30000*0.2</f>
        <v>0</v>
      </c>
      <c r="G175" s="468" t="n">
        <f aca="false">G6/4.5*30000*0.2</f>
        <v>2666.66666666667</v>
      </c>
      <c r="H175" s="468" t="n">
        <f aca="false">H6/4.5*30000*0.2</f>
        <v>0</v>
      </c>
      <c r="I175" s="468" t="n">
        <f aca="false">I6/4.5*30000*0.2</f>
        <v>0</v>
      </c>
      <c r="J175" s="648"/>
      <c r="K175" s="468" t="n">
        <f aca="false">K6/4.5*30000*0.2</f>
        <v>0</v>
      </c>
      <c r="L175" s="468" t="n">
        <f aca="false">L6/1*2500*0.2</f>
        <v>0</v>
      </c>
    </row>
    <row r="176" customFormat="false" ht="12.75" hidden="false" customHeight="false" outlineLevel="0" collapsed="false">
      <c r="A176" s="608" t="n">
        <f aca="false">+A175+1</f>
        <v>172</v>
      </c>
      <c r="C176" s="636" t="s">
        <v>1185</v>
      </c>
      <c r="D176" s="624"/>
      <c r="E176" s="468" t="n">
        <f aca="false">E6/4.5*30000*0.1</f>
        <v>0</v>
      </c>
      <c r="F176" s="468" t="n">
        <f aca="false">F6/4.5*30000*0.1</f>
        <v>0</v>
      </c>
      <c r="G176" s="468" t="n">
        <f aca="false">G6/4.5*30000*0.1</f>
        <v>1333.33333333333</v>
      </c>
      <c r="H176" s="468" t="n">
        <f aca="false">H6/4.5*30000*0.1</f>
        <v>0</v>
      </c>
      <c r="I176" s="468" t="n">
        <f aca="false">I6/4.5*30000*0.1</f>
        <v>0</v>
      </c>
      <c r="J176" s="648"/>
      <c r="K176" s="468" t="n">
        <f aca="false">K6/4.5*30000*0.1</f>
        <v>0</v>
      </c>
      <c r="L176" s="468" t="n">
        <f aca="false">L6/1*2500*0.1</f>
        <v>0</v>
      </c>
    </row>
    <row r="177" customFormat="false" ht="12.75" hidden="false" customHeight="false" outlineLevel="0" collapsed="false">
      <c r="A177" s="608" t="n">
        <f aca="false">+A176+1</f>
        <v>173</v>
      </c>
      <c r="C177" s="636" t="s">
        <v>1238</v>
      </c>
      <c r="D177" s="624"/>
      <c r="E177" s="468" t="n">
        <f aca="false">E6/4.5*30000*0.15</f>
        <v>0</v>
      </c>
      <c r="F177" s="468" t="n">
        <f aca="false">F6/4.5*30000*0.15</f>
        <v>0</v>
      </c>
      <c r="G177" s="468" t="n">
        <f aca="false">G6/4.5*30000*0.15</f>
        <v>2000</v>
      </c>
      <c r="H177" s="468" t="n">
        <f aca="false">H6/4.5*30000*0.15</f>
        <v>0</v>
      </c>
      <c r="I177" s="468" t="n">
        <f aca="false">I6/4.5*30000*0.15</f>
        <v>0</v>
      </c>
      <c r="J177" s="648"/>
      <c r="K177" s="468" t="n">
        <f aca="false">K6/4.5*30000*0.15</f>
        <v>0</v>
      </c>
      <c r="L177" s="468" t="n">
        <f aca="false">L6/1*2500*0.15</f>
        <v>0</v>
      </c>
    </row>
    <row r="178" customFormat="false" ht="12.75" hidden="false" customHeight="false" outlineLevel="0" collapsed="false">
      <c r="A178" s="608" t="n">
        <f aca="false">+A177+1</f>
        <v>174</v>
      </c>
      <c r="C178" s="636" t="s">
        <v>1239</v>
      </c>
      <c r="D178" s="624"/>
      <c r="E178" s="468" t="n">
        <f aca="false">E6/4.5*30000*0.05</f>
        <v>0</v>
      </c>
      <c r="F178" s="468" t="n">
        <f aca="false">F6/4.5*30000*0.05</f>
        <v>0</v>
      </c>
      <c r="G178" s="468" t="n">
        <f aca="false">G6/4.5*30000*0.05</f>
        <v>666.666666666667</v>
      </c>
      <c r="H178" s="468" t="n">
        <f aca="false">H6/4.5*30000*0.05</f>
        <v>0</v>
      </c>
      <c r="I178" s="468" t="n">
        <f aca="false">I6/4.5*30000*0.05</f>
        <v>0</v>
      </c>
      <c r="J178" s="648"/>
      <c r="K178" s="468" t="n">
        <f aca="false">K6/4.5*30000*0.05</f>
        <v>0</v>
      </c>
      <c r="L178" s="468" t="n">
        <f aca="false">L6/1*2500*0.05</f>
        <v>0</v>
      </c>
    </row>
    <row r="179" customFormat="false" ht="12.75" hidden="false" customHeight="false" outlineLevel="0" collapsed="false">
      <c r="A179" s="608" t="n">
        <f aca="false">+A178+1</f>
        <v>175</v>
      </c>
      <c r="C179" s="636" t="s">
        <v>559</v>
      </c>
      <c r="D179" s="624"/>
      <c r="E179" s="637" t="n">
        <v>0</v>
      </c>
      <c r="F179" s="637" t="n">
        <v>0</v>
      </c>
      <c r="G179" s="637" t="n">
        <v>0</v>
      </c>
      <c r="H179" s="637" t="n">
        <v>0</v>
      </c>
      <c r="I179" s="637" t="n">
        <v>0</v>
      </c>
      <c r="J179" s="638"/>
      <c r="K179" s="637" t="n">
        <v>0</v>
      </c>
      <c r="L179" s="637" t="n">
        <v>0</v>
      </c>
    </row>
    <row r="180" customFormat="false" ht="12.75" hidden="false" customHeight="false" outlineLevel="0" collapsed="false">
      <c r="A180" s="608" t="n">
        <f aca="false">+A179+1</f>
        <v>176</v>
      </c>
      <c r="C180" s="652" t="s">
        <v>1156</v>
      </c>
      <c r="D180" s="624"/>
      <c r="E180" s="637" t="n">
        <v>0</v>
      </c>
      <c r="F180" s="637" t="n">
        <v>0</v>
      </c>
      <c r="G180" s="637" t="n">
        <v>0</v>
      </c>
      <c r="H180" s="637" t="n">
        <v>0</v>
      </c>
      <c r="I180" s="637" t="n">
        <v>0</v>
      </c>
      <c r="J180" s="638"/>
      <c r="K180" s="637" t="n">
        <v>0</v>
      </c>
      <c r="L180" s="637" t="n">
        <v>0</v>
      </c>
    </row>
    <row r="181" customFormat="false" ht="12.75" hidden="false" customHeight="false" outlineLevel="0" collapsed="false">
      <c r="A181" s="608" t="n">
        <f aca="false">+A180+1</f>
        <v>177</v>
      </c>
      <c r="B181" s="538"/>
      <c r="C181" s="636" t="s">
        <v>1156</v>
      </c>
      <c r="D181" s="624"/>
      <c r="E181" s="637" t="n">
        <v>0</v>
      </c>
      <c r="F181" s="637" t="n">
        <v>0</v>
      </c>
      <c r="G181" s="637" t="n">
        <v>0</v>
      </c>
      <c r="H181" s="637" t="n">
        <v>0</v>
      </c>
      <c r="I181" s="637" t="n">
        <v>0</v>
      </c>
      <c r="J181" s="638"/>
      <c r="K181" s="637" t="n">
        <v>0</v>
      </c>
      <c r="L181" s="637" t="n">
        <v>0</v>
      </c>
    </row>
    <row r="182" customFormat="false" ht="12.75" hidden="false" customHeight="false" outlineLevel="0" collapsed="false">
      <c r="A182" s="608" t="n">
        <f aca="false">+A181+1</f>
        <v>178</v>
      </c>
      <c r="B182" s="561"/>
      <c r="C182" s="639" t="s">
        <v>431</v>
      </c>
      <c r="D182" s="624"/>
      <c r="E182" s="649" t="n">
        <f aca="false">SUBTOTAL(9,E174:E181)</f>
        <v>0</v>
      </c>
      <c r="F182" s="649" t="n">
        <f aca="false">SUBTOTAL(9,F174:F181)</f>
        <v>0</v>
      </c>
      <c r="G182" s="649" t="n">
        <f aca="false">SUBTOTAL(9,G174:G181)</f>
        <v>13333.3333333333</v>
      </c>
      <c r="H182" s="649" t="n">
        <f aca="false">SUBTOTAL(9,H174:H181)</f>
        <v>0</v>
      </c>
      <c r="I182" s="649" t="n">
        <f aca="false">SUBTOTAL(9,I174:I181)</f>
        <v>0</v>
      </c>
      <c r="J182" s="650"/>
      <c r="K182" s="649" t="n">
        <f aca="false">SUBTOTAL(9,K174:K181)</f>
        <v>0</v>
      </c>
      <c r="L182" s="649" t="n">
        <f aca="false">SUBTOTAL(9,L174:L181)</f>
        <v>0</v>
      </c>
    </row>
    <row r="183" customFormat="false" ht="12.75" hidden="false" customHeight="false" outlineLevel="0" collapsed="false">
      <c r="A183" s="608" t="n">
        <f aca="false">+A182+1</f>
        <v>179</v>
      </c>
      <c r="B183" s="635" t="s">
        <v>1061</v>
      </c>
      <c r="C183" s="642"/>
      <c r="D183" s="624"/>
      <c r="E183" s="449"/>
      <c r="F183" s="449"/>
      <c r="G183" s="449"/>
      <c r="H183" s="449"/>
      <c r="I183" s="449"/>
      <c r="J183" s="643"/>
      <c r="K183" s="449"/>
      <c r="L183" s="449"/>
    </row>
    <row r="184" customFormat="false" ht="12.75" hidden="false" customHeight="false" outlineLevel="0" collapsed="false">
      <c r="A184" s="608" t="n">
        <f aca="false">+A183+1</f>
        <v>180</v>
      </c>
      <c r="B184" s="653"/>
      <c r="C184" s="636" t="s">
        <v>1240</v>
      </c>
      <c r="D184" s="654"/>
      <c r="E184" s="468" t="n">
        <f aca="false">(E$7/414)^0.6*140000*0.5</f>
        <v>0</v>
      </c>
      <c r="F184" s="468" t="n">
        <f aca="false">(F$7/414)^0.6*140000*0.5</f>
        <v>0</v>
      </c>
      <c r="G184" s="468" t="n">
        <f aca="false">(G$7/414)^0.6*140000*0.5</f>
        <v>62199.2553818321</v>
      </c>
      <c r="H184" s="468" t="n">
        <f aca="false">(H$7/414)^0.6*140000*0.5</f>
        <v>0</v>
      </c>
      <c r="I184" s="468" t="n">
        <f aca="false">(I$7/414)^0.6*140000*0.5</f>
        <v>0</v>
      </c>
      <c r="J184" s="648"/>
      <c r="K184" s="468" t="n">
        <f aca="false">(K$7/414)^0.6*140000*0.5</f>
        <v>0</v>
      </c>
      <c r="L184" s="468" t="n">
        <f aca="false">(L$7/7/414)^0.6*140000*0.5</f>
        <v>0</v>
      </c>
    </row>
    <row r="185" customFormat="false" ht="12.75" hidden="false" customHeight="false" outlineLevel="0" collapsed="false">
      <c r="A185" s="608" t="n">
        <f aca="false">+A184+1</f>
        <v>181</v>
      </c>
      <c r="B185" s="653"/>
      <c r="C185" s="636" t="s">
        <v>1241</v>
      </c>
      <c r="D185" s="654"/>
      <c r="E185" s="468" t="n">
        <f aca="false">(E$7/414)^0.6*140000*0.2</f>
        <v>0</v>
      </c>
      <c r="F185" s="468" t="n">
        <f aca="false">(F$7/414)^0.6*140000*0.2</f>
        <v>0</v>
      </c>
      <c r="G185" s="468" t="n">
        <f aca="false">(G$7/414)^0.6*140000*0.2</f>
        <v>24879.7021527328</v>
      </c>
      <c r="H185" s="468" t="n">
        <f aca="false">(H$7/414)^0.6*140000*0.2</f>
        <v>0</v>
      </c>
      <c r="I185" s="468" t="n">
        <f aca="false">(I$7/414)^0.6*140000*0.2</f>
        <v>0</v>
      </c>
      <c r="J185" s="648"/>
      <c r="K185" s="468" t="n">
        <f aca="false">(K$7/414)^0.6*140000*0.2</f>
        <v>0</v>
      </c>
      <c r="L185" s="468" t="n">
        <f aca="false">(L$7/7/414)^0.6*140000*0.2</f>
        <v>0</v>
      </c>
    </row>
    <row r="186" customFormat="false" ht="12.75" hidden="false" customHeight="false" outlineLevel="0" collapsed="false">
      <c r="A186" s="608" t="n">
        <f aca="false">+A185+1</f>
        <v>182</v>
      </c>
      <c r="B186" s="653"/>
      <c r="C186" s="636" t="s">
        <v>1185</v>
      </c>
      <c r="D186" s="654"/>
      <c r="E186" s="468" t="n">
        <f aca="false">(E$7/414)^0.6*140000*0.1</f>
        <v>0</v>
      </c>
      <c r="F186" s="468" t="n">
        <f aca="false">(F$7/414)^0.6*140000*0.1</f>
        <v>0</v>
      </c>
      <c r="G186" s="468" t="n">
        <f aca="false">(G$7/414)^0.6*140000*0.1</f>
        <v>12439.8510763664</v>
      </c>
      <c r="H186" s="468" t="n">
        <f aca="false">(H$7/414)^0.6*140000*0.1</f>
        <v>0</v>
      </c>
      <c r="I186" s="468" t="n">
        <f aca="false">(I$7/414)^0.6*140000*0.1</f>
        <v>0</v>
      </c>
      <c r="J186" s="648"/>
      <c r="K186" s="468" t="n">
        <f aca="false">(K$7/414)^0.6*140000*0.1</f>
        <v>0</v>
      </c>
      <c r="L186" s="468" t="n">
        <f aca="false">(L$7/7/414)^0.6*140000*0.1</f>
        <v>0</v>
      </c>
    </row>
    <row r="187" customFormat="false" ht="12.75" hidden="false" customHeight="false" outlineLevel="0" collapsed="false">
      <c r="A187" s="608" t="n">
        <f aca="false">+A186+1</f>
        <v>183</v>
      </c>
      <c r="B187" s="653"/>
      <c r="C187" s="636" t="s">
        <v>1242</v>
      </c>
      <c r="D187" s="654"/>
      <c r="E187" s="468" t="n">
        <f aca="false">(E$7/414)^0.6*140000*0.15</f>
        <v>0</v>
      </c>
      <c r="F187" s="468" t="n">
        <f aca="false">(F$7/414)^0.6*140000*0.15</f>
        <v>0</v>
      </c>
      <c r="G187" s="468" t="n">
        <f aca="false">(G$7/414)^0.6*140000*0.15</f>
        <v>18659.7766145496</v>
      </c>
      <c r="H187" s="468" t="n">
        <f aca="false">(H$7/414)^0.6*140000*0.15</f>
        <v>0</v>
      </c>
      <c r="I187" s="468" t="n">
        <f aca="false">(I$7/414)^0.6*140000*0.15</f>
        <v>0</v>
      </c>
      <c r="J187" s="648"/>
      <c r="K187" s="468" t="n">
        <f aca="false">(K$7/414)^0.6*140000*0.15</f>
        <v>0</v>
      </c>
      <c r="L187" s="468" t="n">
        <f aca="false">(L$7/7/414)^0.6*140000*0.15</f>
        <v>0</v>
      </c>
    </row>
    <row r="188" customFormat="false" ht="12.75" hidden="false" customHeight="false" outlineLevel="0" collapsed="false">
      <c r="A188" s="608" t="n">
        <f aca="false">+A187+1</f>
        <v>184</v>
      </c>
      <c r="B188" s="653"/>
      <c r="C188" s="636" t="s">
        <v>1239</v>
      </c>
      <c r="D188" s="654"/>
      <c r="E188" s="468" t="n">
        <f aca="false">(E$7/414)^0.6*140000*0.05</f>
        <v>0</v>
      </c>
      <c r="F188" s="468" t="n">
        <f aca="false">(F$7/414)^0.6*140000*0.05</f>
        <v>0</v>
      </c>
      <c r="G188" s="468" t="n">
        <f aca="false">(G$7/414)^0.6*140000*0.05</f>
        <v>6219.92553818321</v>
      </c>
      <c r="H188" s="468" t="n">
        <f aca="false">(H$7/414)^0.6*140000*0.05</f>
        <v>0</v>
      </c>
      <c r="I188" s="468" t="n">
        <f aca="false">(I$7/414)^0.6*140000*0.05</f>
        <v>0</v>
      </c>
      <c r="J188" s="648"/>
      <c r="K188" s="468" t="n">
        <f aca="false">(K$7/414)^0.6*140000*0.05</f>
        <v>0</v>
      </c>
      <c r="L188" s="468" t="n">
        <f aca="false">(L$7/7/414)^0.6*140000*0.05</f>
        <v>0</v>
      </c>
    </row>
    <row r="189" customFormat="false" ht="12.75" hidden="false" customHeight="false" outlineLevel="0" collapsed="false">
      <c r="A189" s="608" t="n">
        <f aca="false">+A188+1</f>
        <v>185</v>
      </c>
      <c r="B189" s="653"/>
      <c r="C189" s="636" t="s">
        <v>534</v>
      </c>
      <c r="D189" s="654"/>
      <c r="E189" s="637" t="n">
        <v>0</v>
      </c>
      <c r="F189" s="637" t="n">
        <v>0</v>
      </c>
      <c r="G189" s="637" t="n">
        <v>0</v>
      </c>
      <c r="H189" s="637" t="n">
        <v>0</v>
      </c>
      <c r="I189" s="637" t="n">
        <v>0</v>
      </c>
      <c r="J189" s="638"/>
      <c r="K189" s="637" t="n">
        <v>0</v>
      </c>
      <c r="L189" s="637" t="n">
        <v>0</v>
      </c>
    </row>
    <row r="190" customFormat="false" ht="12.75" hidden="false" customHeight="false" outlineLevel="0" collapsed="false">
      <c r="A190" s="608" t="n">
        <f aca="false">+A189+1</f>
        <v>186</v>
      </c>
      <c r="B190" s="653"/>
      <c r="C190" s="636" t="s">
        <v>559</v>
      </c>
      <c r="D190" s="654"/>
      <c r="E190" s="637" t="n">
        <v>0</v>
      </c>
      <c r="F190" s="637" t="n">
        <v>0</v>
      </c>
      <c r="G190" s="637" t="n">
        <v>0</v>
      </c>
      <c r="H190" s="637" t="n">
        <v>0</v>
      </c>
      <c r="I190" s="637" t="n">
        <v>0</v>
      </c>
      <c r="J190" s="638"/>
      <c r="K190" s="637" t="n">
        <v>0</v>
      </c>
      <c r="L190" s="637" t="n">
        <v>0</v>
      </c>
    </row>
    <row r="191" customFormat="false" ht="12.75" hidden="false" customHeight="false" outlineLevel="0" collapsed="false">
      <c r="A191" s="608" t="n">
        <f aca="false">+A190+1</f>
        <v>187</v>
      </c>
      <c r="B191" s="561"/>
      <c r="C191" s="639" t="s">
        <v>431</v>
      </c>
      <c r="D191" s="624"/>
      <c r="E191" s="649" t="n">
        <f aca="false">SUBTOTAL(9,E184:E190)</f>
        <v>0</v>
      </c>
      <c r="F191" s="649" t="n">
        <f aca="false">SUBTOTAL(9,F184:F190)</f>
        <v>0</v>
      </c>
      <c r="G191" s="649" t="n">
        <f aca="false">SUBTOTAL(9,G184:G190)</f>
        <v>124398.510763664</v>
      </c>
      <c r="H191" s="649" t="n">
        <f aca="false">SUBTOTAL(9,H184:H190)</f>
        <v>0</v>
      </c>
      <c r="I191" s="649" t="n">
        <f aca="false">SUBTOTAL(9,I184:I190)</f>
        <v>0</v>
      </c>
      <c r="J191" s="650"/>
      <c r="K191" s="649" t="n">
        <f aca="false">SUBTOTAL(9,K184:K190)</f>
        <v>0</v>
      </c>
      <c r="L191" s="649" t="n">
        <f aca="false">SUBTOTAL(9,L184:L190)</f>
        <v>0</v>
      </c>
    </row>
    <row r="192" customFormat="false" ht="12.75" hidden="false" customHeight="false" outlineLevel="0" collapsed="false">
      <c r="A192" s="608" t="n">
        <f aca="false">+A191+1</f>
        <v>188</v>
      </c>
      <c r="B192" s="635" t="s">
        <v>1065</v>
      </c>
      <c r="C192" s="642"/>
      <c r="D192" s="624"/>
      <c r="E192" s="449"/>
      <c r="F192" s="449"/>
      <c r="G192" s="449"/>
      <c r="H192" s="449"/>
      <c r="I192" s="449"/>
      <c r="J192" s="643"/>
      <c r="K192" s="449"/>
      <c r="L192" s="449"/>
    </row>
    <row r="193" customFormat="false" ht="12.75" hidden="false" customHeight="false" outlineLevel="0" collapsed="false">
      <c r="A193" s="608" t="n">
        <f aca="false">+A192+1</f>
        <v>189</v>
      </c>
      <c r="C193" s="636" t="s">
        <v>1240</v>
      </c>
      <c r="D193" s="624"/>
      <c r="E193" s="637" t="n">
        <f aca="false">(E$7/414)^0.6*179000*0.5</f>
        <v>0</v>
      </c>
      <c r="F193" s="637" t="n">
        <f aca="false">(F$7/414)^0.6*179000*0.5</f>
        <v>0</v>
      </c>
      <c r="G193" s="637" t="n">
        <f aca="false">(G$7/414)^0.6*179000*0.5</f>
        <v>79526.1908096282</v>
      </c>
      <c r="H193" s="637" t="n">
        <f aca="false">(H$7/414)^0.6*179000*0.5</f>
        <v>0</v>
      </c>
      <c r="I193" s="637" t="n">
        <f aca="false">(I$7/414)^0.6*179000*0.5</f>
        <v>0</v>
      </c>
      <c r="J193" s="638"/>
      <c r="K193" s="637" t="n">
        <f aca="false">(K$7/414)^0.6*179000*0.5</f>
        <v>0</v>
      </c>
      <c r="L193" s="637" t="n">
        <f aca="false">($N$7/414)^0.6*179000*0.5</f>
        <v>0</v>
      </c>
    </row>
    <row r="194" customFormat="false" ht="12.75" hidden="false" customHeight="false" outlineLevel="0" collapsed="false">
      <c r="A194" s="608" t="n">
        <f aca="false">+A193+1</f>
        <v>190</v>
      </c>
      <c r="C194" s="636" t="s">
        <v>1241</v>
      </c>
      <c r="D194" s="624"/>
      <c r="E194" s="637" t="n">
        <f aca="false">(E$7/414)^0.6*179000*0.2</f>
        <v>0</v>
      </c>
      <c r="F194" s="637" t="n">
        <f aca="false">(F$7/414)^0.6*179000*0.2</f>
        <v>0</v>
      </c>
      <c r="G194" s="637" t="n">
        <f aca="false">(G$7/414)^0.6*179000*0.2</f>
        <v>31810.4763238513</v>
      </c>
      <c r="H194" s="637" t="n">
        <f aca="false">(H$7/414)^0.6*179000*0.2</f>
        <v>0</v>
      </c>
      <c r="I194" s="637" t="n">
        <f aca="false">(I$7/414)^0.6*179000*0.2</f>
        <v>0</v>
      </c>
      <c r="J194" s="638"/>
      <c r="K194" s="637" t="n">
        <f aca="false">(K$7/414)^0.6*179000*0.2</f>
        <v>0</v>
      </c>
      <c r="L194" s="637" t="n">
        <f aca="false">($N$7/414)^0.6*179000*0.2</f>
        <v>0</v>
      </c>
    </row>
    <row r="195" customFormat="false" ht="12.75" hidden="false" customHeight="false" outlineLevel="0" collapsed="false">
      <c r="A195" s="608" t="n">
        <f aca="false">+A194+1</f>
        <v>191</v>
      </c>
      <c r="C195" s="636" t="s">
        <v>1185</v>
      </c>
      <c r="D195" s="624"/>
      <c r="E195" s="637" t="n">
        <f aca="false">(E$7/414)^0.6*179000*0.1</f>
        <v>0</v>
      </c>
      <c r="F195" s="637" t="n">
        <f aca="false">(F$7/414)^0.6*179000*0.1</f>
        <v>0</v>
      </c>
      <c r="G195" s="637" t="n">
        <f aca="false">(G$7/414)^0.6*179000*0.1</f>
        <v>15905.2381619256</v>
      </c>
      <c r="H195" s="637" t="n">
        <f aca="false">(H$7/414)^0.6*179000*0.1</f>
        <v>0</v>
      </c>
      <c r="I195" s="637" t="n">
        <f aca="false">(I$7/414)^0.6*179000*0.1</f>
        <v>0</v>
      </c>
      <c r="J195" s="638"/>
      <c r="K195" s="637" t="n">
        <f aca="false">(K$7/414)^0.6*179000*0.1</f>
        <v>0</v>
      </c>
      <c r="L195" s="637" t="n">
        <f aca="false">($N$7/414)^0.6*179000*0.1</f>
        <v>0</v>
      </c>
    </row>
    <row r="196" customFormat="false" ht="12.75" hidden="false" customHeight="false" outlineLevel="0" collapsed="false">
      <c r="A196" s="608" t="n">
        <f aca="false">+A195+1</f>
        <v>192</v>
      </c>
      <c r="C196" s="636" t="s">
        <v>1242</v>
      </c>
      <c r="D196" s="624"/>
      <c r="E196" s="637" t="n">
        <f aca="false">(E$7/414)^0.6*179000*0.15</f>
        <v>0</v>
      </c>
      <c r="F196" s="637" t="n">
        <f aca="false">(F$7/414)^0.6*179000*0.15</f>
        <v>0</v>
      </c>
      <c r="G196" s="637" t="n">
        <f aca="false">(G$7/414)^0.6*179000*0.15</f>
        <v>23857.8572428885</v>
      </c>
      <c r="H196" s="637" t="n">
        <f aca="false">(H$7/414)^0.6*179000*0.15</f>
        <v>0</v>
      </c>
      <c r="I196" s="637" t="n">
        <f aca="false">(I$7/414)^0.6*179000*0.15</f>
        <v>0</v>
      </c>
      <c r="J196" s="638"/>
      <c r="K196" s="637" t="n">
        <f aca="false">(K$7/414)^0.6*179000*0.15</f>
        <v>0</v>
      </c>
      <c r="L196" s="637" t="n">
        <f aca="false">($N$7/414)^0.6*179000*0.15</f>
        <v>0</v>
      </c>
    </row>
    <row r="197" customFormat="false" ht="12.75" hidden="false" customHeight="false" outlineLevel="0" collapsed="false">
      <c r="A197" s="608" t="n">
        <f aca="false">+A196+1</f>
        <v>193</v>
      </c>
      <c r="C197" s="636" t="s">
        <v>1239</v>
      </c>
      <c r="D197" s="624"/>
      <c r="E197" s="637" t="n">
        <f aca="false">(E$7/414)^0.6*179000*0.05</f>
        <v>0</v>
      </c>
      <c r="F197" s="637" t="n">
        <f aca="false">(F$7/414)^0.6*179000*0.05</f>
        <v>0</v>
      </c>
      <c r="G197" s="637" t="n">
        <f aca="false">(G$7/414)^0.6*179000*0.05</f>
        <v>7952.61908096282</v>
      </c>
      <c r="H197" s="637" t="n">
        <f aca="false">(H$7/414)^0.6*179000*0.05</f>
        <v>0</v>
      </c>
      <c r="I197" s="637" t="n">
        <f aca="false">(I$7/414)^0.6*179000*0.05</f>
        <v>0</v>
      </c>
      <c r="J197" s="638"/>
      <c r="K197" s="637" t="n">
        <f aca="false">(K$7/414)^0.6*179000*0.05</f>
        <v>0</v>
      </c>
      <c r="L197" s="637" t="n">
        <f aca="false">($N$7/414)^0.6*179000*0.05</f>
        <v>0</v>
      </c>
    </row>
    <row r="198" customFormat="false" ht="12.75" hidden="false" customHeight="false" outlineLevel="0" collapsed="false">
      <c r="A198" s="608" t="n">
        <f aca="false">+A197+1</f>
        <v>194</v>
      </c>
      <c r="C198" s="636" t="s">
        <v>1243</v>
      </c>
      <c r="D198" s="624"/>
      <c r="E198" s="637" t="n">
        <f aca="false">2500*(E7/43)^0.6*(E8/2000)</f>
        <v>0</v>
      </c>
      <c r="F198" s="637" t="n">
        <v>0</v>
      </c>
      <c r="G198" s="637" t="n">
        <v>0</v>
      </c>
      <c r="H198" s="637" t="n">
        <v>0</v>
      </c>
      <c r="I198" s="637" t="n">
        <v>0</v>
      </c>
      <c r="J198" s="638"/>
      <c r="K198" s="637" t="n">
        <v>0</v>
      </c>
      <c r="L198" s="637" t="n">
        <v>0</v>
      </c>
    </row>
    <row r="199" customFormat="false" ht="12.75" hidden="false" customHeight="false" outlineLevel="0" collapsed="false">
      <c r="A199" s="608" t="n">
        <f aca="false">+A198+1</f>
        <v>195</v>
      </c>
      <c r="C199" s="636" t="s">
        <v>559</v>
      </c>
      <c r="D199" s="624"/>
      <c r="E199" s="637" t="n">
        <v>0</v>
      </c>
      <c r="F199" s="637" t="n">
        <v>0</v>
      </c>
      <c r="G199" s="637" t="n">
        <v>0</v>
      </c>
      <c r="H199" s="637" t="n">
        <v>0</v>
      </c>
      <c r="I199" s="637" t="n">
        <v>0</v>
      </c>
      <c r="J199" s="638"/>
      <c r="K199" s="637" t="n">
        <v>0</v>
      </c>
      <c r="L199" s="637" t="n">
        <v>0</v>
      </c>
    </row>
    <row r="200" customFormat="false" ht="12.75" hidden="false" customHeight="false" outlineLevel="0" collapsed="false">
      <c r="A200" s="608" t="n">
        <f aca="false">+A199+1</f>
        <v>196</v>
      </c>
      <c r="B200" s="538"/>
      <c r="C200" s="636" t="s">
        <v>1156</v>
      </c>
      <c r="D200" s="624"/>
      <c r="E200" s="637" t="n">
        <v>0</v>
      </c>
      <c r="F200" s="637" t="n">
        <v>0</v>
      </c>
      <c r="G200" s="637" t="n">
        <v>0</v>
      </c>
      <c r="H200" s="637" t="n">
        <v>0</v>
      </c>
      <c r="I200" s="637" t="n">
        <v>0</v>
      </c>
      <c r="J200" s="638"/>
      <c r="K200" s="637" t="n">
        <v>0</v>
      </c>
      <c r="L200" s="637" t="n">
        <v>0</v>
      </c>
    </row>
    <row r="201" customFormat="false" ht="12.75" hidden="false" customHeight="false" outlineLevel="0" collapsed="false">
      <c r="A201" s="608" t="n">
        <f aca="false">+A200+1</f>
        <v>197</v>
      </c>
      <c r="B201" s="561"/>
      <c r="C201" s="639" t="s">
        <v>431</v>
      </c>
      <c r="D201" s="624"/>
      <c r="E201" s="649" t="n">
        <f aca="false">SUBTOTAL(9,E193:E200)</f>
        <v>0</v>
      </c>
      <c r="F201" s="649" t="n">
        <f aca="false">SUBTOTAL(9,F193:F200)</f>
        <v>0</v>
      </c>
      <c r="G201" s="649" t="n">
        <f aca="false">SUBTOTAL(9,G193:G200)</f>
        <v>159052.381619256</v>
      </c>
      <c r="H201" s="649" t="n">
        <f aca="false">SUBTOTAL(9,H193:H200)</f>
        <v>0</v>
      </c>
      <c r="I201" s="649" t="n">
        <f aca="false">SUBTOTAL(9,I193:I200)</f>
        <v>0</v>
      </c>
      <c r="J201" s="650"/>
      <c r="K201" s="649" t="n">
        <f aca="false">SUBTOTAL(9,K193:K200)</f>
        <v>0</v>
      </c>
      <c r="L201" s="649" t="n">
        <f aca="false">SUBTOTAL(9,L193:L200)</f>
        <v>0</v>
      </c>
    </row>
    <row r="202" customFormat="false" ht="12.75" hidden="false" customHeight="false" outlineLevel="0" collapsed="false">
      <c r="A202" s="608" t="n">
        <f aca="false">+A201+1</f>
        <v>198</v>
      </c>
      <c r="B202" s="635" t="s">
        <v>1067</v>
      </c>
      <c r="C202" s="642"/>
      <c r="D202" s="624"/>
      <c r="E202" s="449"/>
      <c r="F202" s="449"/>
      <c r="G202" s="449"/>
      <c r="H202" s="449"/>
      <c r="I202" s="449"/>
      <c r="J202" s="643"/>
      <c r="K202" s="449"/>
      <c r="L202" s="449"/>
    </row>
    <row r="203" customFormat="false" ht="12.75" hidden="false" customHeight="false" outlineLevel="0" collapsed="false">
      <c r="A203" s="608" t="n">
        <f aca="false">+A202+1</f>
        <v>199</v>
      </c>
      <c r="C203" s="636" t="s">
        <v>1240</v>
      </c>
      <c r="D203" s="624"/>
      <c r="E203" s="468" t="n">
        <f aca="false">IF(E$6=0,0,E$6/4.5*(E$7/E6/104)^0.6*94000*0.5)</f>
        <v>0</v>
      </c>
      <c r="F203" s="468" t="n">
        <f aca="false">IF(F$6=0,0,F$6/4.5*(F$7/F6/104)^0.6*94000*0.5)</f>
        <v>0</v>
      </c>
      <c r="G203" s="468" t="n">
        <f aca="false">IF(G$6=0,0,G$6/4.5*(G$7/G6/104)^0.6*94000*0.5)</f>
        <v>28052.0554746914</v>
      </c>
      <c r="H203" s="468" t="n">
        <f aca="false">IF(H$6=0,0,H$6/4.5*(H$7/H6/104)^0.6*94000*0.5)</f>
        <v>0</v>
      </c>
      <c r="I203" s="468" t="n">
        <f aca="false">IF(I$6=0,0,I$6/4.5*(I$7/I6/104)^0.6*94000*0.5)</f>
        <v>0</v>
      </c>
      <c r="J203" s="648"/>
      <c r="K203" s="468" t="n">
        <f aca="false">IF(K$6=0,0,K$6/4.5*(K$7/K6/104)^0.6*94000*0.5)</f>
        <v>0</v>
      </c>
      <c r="L203" s="468" t="n">
        <f aca="false">$N$6/4.5*($N$7/104)^0.6*94000*0.5</f>
        <v>0</v>
      </c>
    </row>
    <row r="204" customFormat="false" ht="12.75" hidden="false" customHeight="false" outlineLevel="0" collapsed="false">
      <c r="A204" s="608" t="n">
        <f aca="false">+A203+1</f>
        <v>200</v>
      </c>
      <c r="C204" s="636" t="s">
        <v>1244</v>
      </c>
      <c r="D204" s="624"/>
      <c r="E204" s="468" t="n">
        <f aca="false">IF(E$6=0,0,E$6/4.5*(E$7/E6/104)^0.6*94000*0.2)</f>
        <v>0</v>
      </c>
      <c r="F204" s="468" t="n">
        <f aca="false">IF(F$6=0,0,F$6/4.5*(F$7/F6/104)^0.6*94000*0.2)</f>
        <v>0</v>
      </c>
      <c r="G204" s="468" t="n">
        <f aca="false">IF(G$6=0,0,G$6/4.5*(G$7/G6/104)^0.6*94000*0.2)</f>
        <v>11220.8221898766</v>
      </c>
      <c r="H204" s="468" t="n">
        <f aca="false">IF(H$6=0,0,H$6/4.5*(H$7/H6/104)^0.6*94000*0.2)</f>
        <v>0</v>
      </c>
      <c r="I204" s="468" t="n">
        <f aca="false">IF(I$6=0,0,I$6/4.5*(I$7/I6/104)^0.6*94000*0.2)</f>
        <v>0</v>
      </c>
      <c r="J204" s="648"/>
      <c r="K204" s="468" t="n">
        <f aca="false">IF(K$6=0,0,K$6/4.5*(K$7/K6/104)^0.6*94000*0.2)</f>
        <v>0</v>
      </c>
      <c r="L204" s="468" t="n">
        <f aca="false">$N$6/4.5*($N$7/104)^0.6*94000*0.2</f>
        <v>0</v>
      </c>
    </row>
    <row r="205" customFormat="false" ht="12.75" hidden="false" customHeight="false" outlineLevel="0" collapsed="false">
      <c r="A205" s="608" t="n">
        <f aca="false">+A204+1</f>
        <v>201</v>
      </c>
      <c r="C205" s="636" t="s">
        <v>1241</v>
      </c>
      <c r="D205" s="624"/>
      <c r="E205" s="468" t="n">
        <f aca="false">IF(E$6=0,0,E$6/4.5*(E$7/E6/104)^0.6*94000*0.1)</f>
        <v>0</v>
      </c>
      <c r="F205" s="468" t="n">
        <f aca="false">IF(F$6=0,0,F$6/4.5*(F$7/F6/104)^0.6*94000*0.1)</f>
        <v>0</v>
      </c>
      <c r="G205" s="468" t="n">
        <f aca="false">IF(G$6=0,0,G$6/4.5*(G$7/G6/104)^0.6*94000*0.1)</f>
        <v>5610.41109493828</v>
      </c>
      <c r="H205" s="468" t="n">
        <f aca="false">IF(H$6=0,0,H$6/4.5*(H$7/H6/104)^0.6*94000*0.1)</f>
        <v>0</v>
      </c>
      <c r="I205" s="468" t="n">
        <f aca="false">IF(I$6=0,0,I$6/4.5*(I$7/I6/104)^0.6*94000*0.1)</f>
        <v>0</v>
      </c>
      <c r="J205" s="648"/>
      <c r="K205" s="468" t="n">
        <f aca="false">IF(K$6=0,0,K$6/4.5*(K$7/K6/104)^0.6*94000*0.1)</f>
        <v>0</v>
      </c>
      <c r="L205" s="468" t="n">
        <f aca="false">$N$6/4.5*($N$7/104)^0.6*94000*0.1</f>
        <v>0</v>
      </c>
    </row>
    <row r="206" customFormat="false" ht="12.75" hidden="false" customHeight="false" outlineLevel="0" collapsed="false">
      <c r="A206" s="608" t="n">
        <f aca="false">+A205+1</f>
        <v>202</v>
      </c>
      <c r="C206" s="636" t="s">
        <v>1185</v>
      </c>
      <c r="D206" s="624"/>
      <c r="E206" s="468" t="n">
        <f aca="false">IF(E$6=0,0,E$6/4.5*(E$7/E6/104)^0.6*94000*0.05)</f>
        <v>0</v>
      </c>
      <c r="F206" s="468" t="n">
        <f aca="false">IF(F$6=0,0,F$6/4.5*(F$7/F6/104)^0.6*94000*0.05)</f>
        <v>0</v>
      </c>
      <c r="G206" s="468" t="n">
        <f aca="false">IF(G$6=0,0,G$6/4.5*(G$7/G6/104)^0.6*94000*0.05)</f>
        <v>2805.20554746914</v>
      </c>
      <c r="H206" s="468" t="n">
        <f aca="false">IF(H$6=0,0,H$6/4.5*(H$7/H6/104)^0.6*94000*0.05)</f>
        <v>0</v>
      </c>
      <c r="I206" s="468" t="n">
        <f aca="false">IF(I$6=0,0,I$6/4.5*(I$7/I6/104)^0.6*94000*0.05)</f>
        <v>0</v>
      </c>
      <c r="J206" s="648"/>
      <c r="K206" s="468" t="n">
        <f aca="false">IF(K$6=0,0,K$6/4.5*(K$7/K6/104)^0.6*94000*0.05)</f>
        <v>0</v>
      </c>
      <c r="L206" s="468" t="n">
        <f aca="false">$N$6/4.5*($N$7/104)^0.6*94000*0.05</f>
        <v>0</v>
      </c>
    </row>
    <row r="207" customFormat="false" ht="12.75" hidden="false" customHeight="false" outlineLevel="0" collapsed="false">
      <c r="A207" s="608" t="n">
        <f aca="false">+A206+1</f>
        <v>203</v>
      </c>
      <c r="C207" s="636" t="s">
        <v>1242</v>
      </c>
      <c r="D207" s="624"/>
      <c r="E207" s="468" t="n">
        <f aca="false">IF(E$6=0,0,E$6/4.5*(E$7/E6/104)^0.6*94000*0.1)</f>
        <v>0</v>
      </c>
      <c r="F207" s="468" t="n">
        <f aca="false">IF(F$6=0,0,F$6/4.5*(F$7/F6/104)^0.6*94000*0.1)</f>
        <v>0</v>
      </c>
      <c r="G207" s="468" t="n">
        <f aca="false">IF(G$6=0,0,G$6/4.5*(G$7/G6/104)^0.6*94000*0.1)</f>
        <v>5610.41109493828</v>
      </c>
      <c r="H207" s="468" t="n">
        <f aca="false">IF(H$6=0,0,H$6/4.5*(H$7/H6/104)^0.6*94000*0.1)</f>
        <v>0</v>
      </c>
      <c r="I207" s="468" t="n">
        <f aca="false">IF(I$6=0,0,I$6/4.5*(I$7/I6/104)^0.6*94000*0.1)</f>
        <v>0</v>
      </c>
      <c r="J207" s="648"/>
      <c r="K207" s="468" t="n">
        <f aca="false">IF(K$6=0,0,K$6/4.5*(K$7/K6/104)^0.6*94000*0.1)</f>
        <v>0</v>
      </c>
      <c r="L207" s="468" t="n">
        <f aca="false">$N$6/4.5*($N$7/104)^0.6*94000*0.1</f>
        <v>0</v>
      </c>
    </row>
    <row r="208" customFormat="false" ht="12.75" hidden="false" customHeight="false" outlineLevel="0" collapsed="false">
      <c r="A208" s="608" t="n">
        <f aca="false">+A207+1</f>
        <v>204</v>
      </c>
      <c r="C208" s="636" t="s">
        <v>1239</v>
      </c>
      <c r="D208" s="624"/>
      <c r="E208" s="468" t="n">
        <f aca="false">IF(E$6=0,0,E$6/4.5*(E$7/E6/104)^0.6*94000*0.05)</f>
        <v>0</v>
      </c>
      <c r="F208" s="468" t="n">
        <f aca="false">IF(F$6=0,0,F$6/4.5*(F$7/F6/104)^0.6*94000*0.05)</f>
        <v>0</v>
      </c>
      <c r="G208" s="468" t="n">
        <f aca="false">IF(G$6=0,0,G$6/4.5*(G$7/G6/104)^0.6*94000*0.05)</f>
        <v>2805.20554746914</v>
      </c>
      <c r="H208" s="468" t="n">
        <f aca="false">IF(H$6=0,0,H$6/4.5*(H$7/H6/104)^0.6*94000*0.05)</f>
        <v>0</v>
      </c>
      <c r="I208" s="468" t="n">
        <f aca="false">IF(I$6=0,0,I$6/4.5*(I$7/I6/104)^0.6*94000*0.05)</f>
        <v>0</v>
      </c>
      <c r="J208" s="648"/>
      <c r="K208" s="468" t="n">
        <f aca="false">IF(K$6=0,0,K$6/4.5*(K$7/K6/104)^0.6*94000*0.05)</f>
        <v>0</v>
      </c>
      <c r="L208" s="468" t="n">
        <f aca="false">$N$6/4.5*($N$7/104)^0.6*94000*0.05</f>
        <v>0</v>
      </c>
    </row>
    <row r="209" customFormat="false" ht="12.75" hidden="false" customHeight="false" outlineLevel="0" collapsed="false">
      <c r="A209" s="608" t="n">
        <f aca="false">+A208+1</f>
        <v>205</v>
      </c>
      <c r="C209" s="636" t="s">
        <v>534</v>
      </c>
      <c r="D209" s="624"/>
      <c r="E209" s="468" t="n">
        <v>0</v>
      </c>
      <c r="F209" s="468" t="n">
        <v>0</v>
      </c>
      <c r="G209" s="468" t="n">
        <v>0</v>
      </c>
      <c r="H209" s="468" t="n">
        <v>0</v>
      </c>
      <c r="I209" s="468" t="n">
        <v>0</v>
      </c>
      <c r="J209" s="648"/>
      <c r="K209" s="468" t="n">
        <v>0</v>
      </c>
      <c r="L209" s="468" t="n">
        <f aca="false">K209</f>
        <v>0</v>
      </c>
    </row>
    <row r="210" customFormat="false" ht="12.75" hidden="false" customHeight="false" outlineLevel="0" collapsed="false">
      <c r="A210" s="608" t="n">
        <f aca="false">+A209+1</f>
        <v>206</v>
      </c>
      <c r="C210" s="636" t="s">
        <v>559</v>
      </c>
      <c r="D210" s="624"/>
      <c r="E210" s="468" t="n">
        <v>0</v>
      </c>
      <c r="F210" s="468" t="n">
        <v>0</v>
      </c>
      <c r="G210" s="468" t="n">
        <v>0</v>
      </c>
      <c r="H210" s="468" t="n">
        <v>0</v>
      </c>
      <c r="I210" s="468" t="n">
        <v>0</v>
      </c>
      <c r="J210" s="648"/>
      <c r="K210" s="468" t="n">
        <v>0</v>
      </c>
      <c r="L210" s="468" t="n">
        <f aca="false">K210</f>
        <v>0</v>
      </c>
    </row>
    <row r="211" customFormat="false" ht="12.75" hidden="false" customHeight="false" outlineLevel="0" collapsed="false">
      <c r="A211" s="608" t="n">
        <f aca="false">+A210+1</f>
        <v>207</v>
      </c>
      <c r="B211" s="538"/>
      <c r="C211" s="636" t="s">
        <v>1156</v>
      </c>
      <c r="D211" s="624"/>
      <c r="E211" s="468" t="n">
        <v>0</v>
      </c>
      <c r="F211" s="468" t="n">
        <v>0</v>
      </c>
      <c r="G211" s="468" t="n">
        <v>0</v>
      </c>
      <c r="H211" s="468" t="n">
        <v>0</v>
      </c>
      <c r="I211" s="468" t="n">
        <v>0</v>
      </c>
      <c r="J211" s="648"/>
      <c r="K211" s="468" t="n">
        <v>0</v>
      </c>
      <c r="L211" s="468" t="n">
        <f aca="false">K211</f>
        <v>0</v>
      </c>
    </row>
    <row r="212" customFormat="false" ht="12.75" hidden="false" customHeight="false" outlineLevel="0" collapsed="false">
      <c r="A212" s="608" t="n">
        <f aca="false">+A211+1</f>
        <v>208</v>
      </c>
      <c r="B212" s="561"/>
      <c r="C212" s="639" t="s">
        <v>431</v>
      </c>
      <c r="D212" s="624"/>
      <c r="E212" s="649" t="n">
        <f aca="false">SUBTOTAL(9,E203:E211)</f>
        <v>0</v>
      </c>
      <c r="F212" s="649" t="n">
        <f aca="false">SUBTOTAL(9,F203:F211)</f>
        <v>0</v>
      </c>
      <c r="G212" s="649" t="n">
        <f aca="false">SUBTOTAL(9,G203:G211)</f>
        <v>56104.1109493828</v>
      </c>
      <c r="H212" s="649" t="n">
        <f aca="false">SUBTOTAL(9,H203:H211)</f>
        <v>0</v>
      </c>
      <c r="I212" s="649" t="n">
        <f aca="false">SUBTOTAL(9,I203:I211)</f>
        <v>0</v>
      </c>
      <c r="J212" s="650"/>
      <c r="K212" s="649" t="n">
        <f aca="false">SUBTOTAL(9,K203:K211)</f>
        <v>0</v>
      </c>
      <c r="L212" s="649" t="n">
        <f aca="false">SUBTOTAL(9,L203:L211)</f>
        <v>0</v>
      </c>
    </row>
    <row r="213" customFormat="false" ht="12.75" hidden="false" customHeight="false" outlineLevel="0" collapsed="false">
      <c r="A213" s="608" t="n">
        <f aca="false">+A212+1</f>
        <v>209</v>
      </c>
      <c r="B213" s="635" t="s">
        <v>1075</v>
      </c>
      <c r="C213" s="642"/>
      <c r="D213" s="624"/>
      <c r="E213" s="469"/>
      <c r="F213" s="469"/>
      <c r="G213" s="469"/>
      <c r="H213" s="469"/>
      <c r="I213" s="469"/>
      <c r="J213" s="655"/>
      <c r="K213" s="469"/>
      <c r="L213" s="469"/>
    </row>
    <row r="214" customFormat="false" ht="12.75" hidden="false" customHeight="false" outlineLevel="0" collapsed="false">
      <c r="A214" s="608" t="n">
        <f aca="false">+A213+1</f>
        <v>210</v>
      </c>
      <c r="C214" s="636" t="s">
        <v>1240</v>
      </c>
      <c r="D214" s="624"/>
      <c r="E214" s="468" t="n">
        <f aca="false">IF(E$6=0,0,E$6/3*(E$7/E6/104)^0.6*554000*0.5)</f>
        <v>0</v>
      </c>
      <c r="F214" s="468" t="n">
        <f aca="false">IF(F$6=0,0,F$6/3*(F$7/F6/104)^0.6*554000*0.5)</f>
        <v>0</v>
      </c>
      <c r="G214" s="468" t="n">
        <f aca="false">IF(G$6=0,0,G$6/3*(G$7/G6/104)^0.6*554000*0.5)</f>
        <v>247992.107441155</v>
      </c>
      <c r="H214" s="468" t="n">
        <f aca="false">IF(H$6=0,0,H$6/3*(H$7/H6/104)^0.6*554000*0.5)</f>
        <v>0</v>
      </c>
      <c r="I214" s="468" t="n">
        <f aca="false">IF(I$6=0,0,I$6/3*(I$7/I6/104)^0.6*554000*0.5)</f>
        <v>0</v>
      </c>
      <c r="J214" s="638"/>
      <c r="K214" s="468" t="n">
        <f aca="false">IF(K$6=0,0,K$6/3*(K$7/K6/104)^0.6*554000*0.5)</f>
        <v>0</v>
      </c>
      <c r="L214" s="468" t="n">
        <f aca="false">$N$6/3*($N$7/104)^0.6*554000*0.5</f>
        <v>0</v>
      </c>
    </row>
    <row r="215" customFormat="false" ht="12.75" hidden="false" customHeight="false" outlineLevel="0" collapsed="false">
      <c r="A215" s="608" t="n">
        <f aca="false">+A214+1</f>
        <v>211</v>
      </c>
      <c r="C215" s="636" t="s">
        <v>1241</v>
      </c>
      <c r="D215" s="624"/>
      <c r="E215" s="468" t="n">
        <f aca="false">IF(E$6=0,0,E$6/3*(E$7/E6/104)^0.6*554000*0.2)</f>
        <v>0</v>
      </c>
      <c r="F215" s="468" t="n">
        <f aca="false">IF(F$6=0,0,F$6/3*(F$7/F6/104)^0.6*554000*0.2)</f>
        <v>0</v>
      </c>
      <c r="G215" s="468" t="n">
        <f aca="false">IF(G$6=0,0,G$6/3*(G$7/G6/104)^0.6*554000*0.2)</f>
        <v>99196.8429764619</v>
      </c>
      <c r="H215" s="468" t="n">
        <f aca="false">IF(H$6=0,0,H$6/3*(H$7/H6/104)^0.6*554000*0.2)</f>
        <v>0</v>
      </c>
      <c r="I215" s="468" t="n">
        <f aca="false">IF(I$6=0,0,I$6/3*(I$7/I6/104)^0.6*554000*0.2)</f>
        <v>0</v>
      </c>
      <c r="J215" s="638"/>
      <c r="K215" s="468" t="n">
        <f aca="false">IF(K$6=0,0,K$6/3*(K$7/K6/104)^0.6*554000*0.2)</f>
        <v>0</v>
      </c>
      <c r="L215" s="468" t="n">
        <f aca="false">$N$6/3*($N$7/104)^0.6*554000*0.2</f>
        <v>0</v>
      </c>
    </row>
    <row r="216" customFormat="false" ht="12.75" hidden="false" customHeight="false" outlineLevel="0" collapsed="false">
      <c r="A216" s="608" t="n">
        <f aca="false">+A215+1</f>
        <v>212</v>
      </c>
      <c r="C216" s="636" t="s">
        <v>1185</v>
      </c>
      <c r="D216" s="624"/>
      <c r="E216" s="468" t="n">
        <f aca="false">IF(E$6=0,0,E$6/3*(E$7/E6/104)^0.6*554000*0.1)</f>
        <v>0</v>
      </c>
      <c r="F216" s="468" t="n">
        <f aca="false">IF(F$6=0,0,F$6/3*(F$7/F6/104)^0.6*554000*0.1)</f>
        <v>0</v>
      </c>
      <c r="G216" s="468" t="n">
        <f aca="false">IF(G$6=0,0,G$6/3*(G$7/G6/104)^0.6*554000*0.1)</f>
        <v>49598.4214882309</v>
      </c>
      <c r="H216" s="468" t="n">
        <f aca="false">IF(H$6=0,0,H$6/3*(H$7/H6/104)^0.6*554000*0.1)</f>
        <v>0</v>
      </c>
      <c r="I216" s="468" t="n">
        <f aca="false">IF(I$6=0,0,I$6/3*(I$7/I6/104)^0.6*554000*0.1)</f>
        <v>0</v>
      </c>
      <c r="J216" s="638"/>
      <c r="K216" s="468" t="n">
        <f aca="false">IF(K$6=0,0,K$6/3*(K$7/K6/104)^0.6*554000*0.1)</f>
        <v>0</v>
      </c>
      <c r="L216" s="468" t="n">
        <f aca="false">$N$6/3*($N$7/104)^0.6*554000*0.1</f>
        <v>0</v>
      </c>
    </row>
    <row r="217" customFormat="false" ht="12.75" hidden="false" customHeight="false" outlineLevel="0" collapsed="false">
      <c r="A217" s="608" t="n">
        <f aca="false">+A216+1</f>
        <v>213</v>
      </c>
      <c r="C217" s="636" t="s">
        <v>1242</v>
      </c>
      <c r="D217" s="624"/>
      <c r="E217" s="468" t="n">
        <f aca="false">IF(E$6=0,0,E$6/3*(E$7/E6/104)^0.6*554000*0.15)</f>
        <v>0</v>
      </c>
      <c r="F217" s="468" t="n">
        <f aca="false">IF(F$6=0,0,F$6/3*(F$7/F6/104)^0.6*554000*0.15)</f>
        <v>0</v>
      </c>
      <c r="G217" s="468" t="n">
        <f aca="false">IF(G$6=0,0,G$6/3*(G$7/G6/104)^0.6*554000*0.15)</f>
        <v>74397.6322323464</v>
      </c>
      <c r="H217" s="468" t="n">
        <f aca="false">IF(H$6=0,0,H$6/3*(H$7/H6/104)^0.6*554000*0.15)</f>
        <v>0</v>
      </c>
      <c r="I217" s="468" t="n">
        <f aca="false">IF(I$6=0,0,I$6/3*(I$7/I6/104)^0.6*554000*0.15)</f>
        <v>0</v>
      </c>
      <c r="J217" s="638"/>
      <c r="K217" s="468" t="n">
        <f aca="false">IF(K$6=0,0,K$6/3*(K$7/K6/104)^0.6*554000*0.15)</f>
        <v>0</v>
      </c>
      <c r="L217" s="468" t="n">
        <f aca="false">$N$6/3*($N$7/104)^0.6*554000*0.15</f>
        <v>0</v>
      </c>
    </row>
    <row r="218" customFormat="false" ht="12.75" hidden="false" customHeight="false" outlineLevel="0" collapsed="false">
      <c r="A218" s="608" t="n">
        <f aca="false">+A217+1</f>
        <v>214</v>
      </c>
      <c r="C218" s="636" t="s">
        <v>1245</v>
      </c>
      <c r="D218" s="624"/>
      <c r="E218" s="468" t="n">
        <f aca="false">IF(E$6=0,0,E$6/3*(E$7/E6/104)^0.6*554000*0.05)</f>
        <v>0</v>
      </c>
      <c r="F218" s="468" t="n">
        <f aca="false">IF(F$6=0,0,F$6/3*(F$7/F6/104)^0.6*554000*0.05)</f>
        <v>0</v>
      </c>
      <c r="G218" s="468" t="n">
        <f aca="false">IF(G$6=0,0,G$6/3*(G$7/G6/104)^0.6*554000*0.05)</f>
        <v>24799.2107441155</v>
      </c>
      <c r="H218" s="468" t="n">
        <f aca="false">IF(H$6=0,0,H$6/3*(H$7/H6/104)^0.6*554000*0.05)</f>
        <v>0</v>
      </c>
      <c r="I218" s="468" t="n">
        <f aca="false">IF(I$6=0,0,I$6/3*(I$7/I6/104)^0.6*554000*0.05)</f>
        <v>0</v>
      </c>
      <c r="J218" s="638"/>
      <c r="K218" s="468" t="n">
        <f aca="false">IF(K$6=0,0,K$6/3*(K$7/K6/104)^0.6*554000*0.05)</f>
        <v>0</v>
      </c>
      <c r="L218" s="468" t="n">
        <f aca="false">$N$6/3*($N$7/104)^0.6*554000*0.05</f>
        <v>0</v>
      </c>
    </row>
    <row r="219" customFormat="false" ht="12.75" hidden="false" customHeight="false" outlineLevel="0" collapsed="false">
      <c r="A219" s="608" t="n">
        <f aca="false">+A218+1</f>
        <v>215</v>
      </c>
      <c r="C219" s="636" t="s">
        <v>534</v>
      </c>
      <c r="D219" s="624"/>
      <c r="E219" s="637" t="n">
        <v>0</v>
      </c>
      <c r="F219" s="637" t="n">
        <v>0</v>
      </c>
      <c r="G219" s="637" t="n">
        <v>0</v>
      </c>
      <c r="H219" s="637" t="n">
        <v>0</v>
      </c>
      <c r="I219" s="637" t="n">
        <v>0</v>
      </c>
      <c r="J219" s="638"/>
      <c r="K219" s="637" t="n">
        <v>0</v>
      </c>
      <c r="L219" s="637" t="n">
        <v>0</v>
      </c>
    </row>
    <row r="220" customFormat="false" ht="12.75" hidden="false" customHeight="false" outlineLevel="0" collapsed="false">
      <c r="A220" s="608" t="n">
        <f aca="false">+A219+1</f>
        <v>216</v>
      </c>
      <c r="C220" s="636" t="s">
        <v>559</v>
      </c>
      <c r="D220" s="624"/>
      <c r="E220" s="637" t="n">
        <v>0</v>
      </c>
      <c r="F220" s="637" t="n">
        <v>0</v>
      </c>
      <c r="G220" s="637" t="n">
        <v>0</v>
      </c>
      <c r="H220" s="637" t="n">
        <v>0</v>
      </c>
      <c r="I220" s="637" t="n">
        <v>0</v>
      </c>
      <c r="J220" s="638"/>
      <c r="K220" s="637" t="n">
        <v>0</v>
      </c>
      <c r="L220" s="637" t="n">
        <v>0</v>
      </c>
    </row>
    <row r="221" customFormat="false" ht="12.75" hidden="false" customHeight="false" outlineLevel="0" collapsed="false">
      <c r="A221" s="608" t="n">
        <f aca="false">+A220+1</f>
        <v>217</v>
      </c>
      <c r="B221" s="538"/>
      <c r="C221" s="636" t="s">
        <v>1156</v>
      </c>
      <c r="D221" s="624"/>
      <c r="E221" s="637" t="n">
        <v>0</v>
      </c>
      <c r="F221" s="637" t="n">
        <v>0</v>
      </c>
      <c r="G221" s="637" t="n">
        <v>0</v>
      </c>
      <c r="H221" s="637" t="n">
        <v>0</v>
      </c>
      <c r="I221" s="637" t="n">
        <v>0</v>
      </c>
      <c r="J221" s="638"/>
      <c r="K221" s="637" t="n">
        <v>0</v>
      </c>
      <c r="L221" s="637" t="n">
        <v>0</v>
      </c>
    </row>
    <row r="222" customFormat="false" ht="12.75" hidden="false" customHeight="false" outlineLevel="0" collapsed="false">
      <c r="A222" s="608" t="n">
        <f aca="false">+A221+1</f>
        <v>218</v>
      </c>
      <c r="B222" s="561"/>
      <c r="C222" s="639" t="s">
        <v>431</v>
      </c>
      <c r="D222" s="624"/>
      <c r="E222" s="649" t="n">
        <f aca="false">SUBTOTAL(9,E214:E221)</f>
        <v>0</v>
      </c>
      <c r="F222" s="649" t="n">
        <f aca="false">SUBTOTAL(9,F214:F221)</f>
        <v>0</v>
      </c>
      <c r="G222" s="649" t="n">
        <f aca="false">SUBTOTAL(9,G214:G221)</f>
        <v>495984.214882309</v>
      </c>
      <c r="H222" s="649" t="n">
        <f aca="false">SUBTOTAL(9,H214:H221)</f>
        <v>0</v>
      </c>
      <c r="I222" s="649" t="n">
        <f aca="false">SUBTOTAL(9,I214:I221)</f>
        <v>0</v>
      </c>
      <c r="J222" s="650"/>
      <c r="K222" s="649" t="n">
        <f aca="false">SUBTOTAL(9,K214:K221)</f>
        <v>0</v>
      </c>
      <c r="L222" s="649" t="n">
        <f aca="false">SUBTOTAL(9,L214:L221)</f>
        <v>0</v>
      </c>
    </row>
    <row r="223" customFormat="false" ht="12.75" hidden="false" customHeight="false" outlineLevel="0" collapsed="false">
      <c r="A223" s="608" t="n">
        <f aca="false">+A222+1</f>
        <v>219</v>
      </c>
      <c r="B223" s="635" t="s">
        <v>1078</v>
      </c>
      <c r="C223" s="642"/>
      <c r="D223" s="624"/>
      <c r="E223" s="449"/>
      <c r="F223" s="449"/>
      <c r="G223" s="449"/>
      <c r="H223" s="449"/>
      <c r="I223" s="449"/>
      <c r="J223" s="643"/>
      <c r="K223" s="449"/>
      <c r="L223" s="449"/>
    </row>
    <row r="224" customFormat="false" ht="12.75" hidden="false" customHeight="false" outlineLevel="0" collapsed="false">
      <c r="A224" s="608" t="n">
        <f aca="false">+A223+1</f>
        <v>220</v>
      </c>
      <c r="C224" s="636" t="s">
        <v>1240</v>
      </c>
      <c r="D224" s="624"/>
      <c r="E224" s="637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Backup_Detail'!$V$25&lt;&gt;2)),E$6/3*(E$7/E6/104)^0.6*337000*0.5,0))</f>
        <v>0</v>
      </c>
      <c r="F224" s="637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Backup_Detail'!$V$25&lt;&gt;2)),F$6/3*(F$7/F6/104)^0.6*337000*0.5,0))</f>
        <v>0</v>
      </c>
      <c r="G224" s="637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Backup_Detail'!$V$25&lt;&gt;2)),G$6/3*(G$7/G6/104)^0.6*337000*0.5,0))</f>
        <v>150854.404706984</v>
      </c>
      <c r="H224" s="637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Backup_Detail'!$V$25&lt;&gt;2)),H$6/3*(H$7/H6/104)^0.6*337000*0.5,0))</f>
        <v>0</v>
      </c>
      <c r="I224" s="637" t="n">
        <f aca="false">IF(I$6=0,0,IF(OR(AND('O&amp;M Backup_Detail'!$O$7=5,'O&amp;M Backup_Detail'!$P$25&lt;&gt;2),AND('O&amp;M Backup_Detail'!$R$7=5,'O&amp;M Backup_Detail'!$S$25&lt;&gt;2),AND('O&amp;M Backup_Detail'!$U$7=5,'O&amp;M Backup_Detail'!$V$25&lt;&gt;2)),I$6/3*(I$7/I6/104)^0.6*337000*0.5,0))</f>
        <v>0</v>
      </c>
      <c r="J224" s="638"/>
      <c r="K224" s="637" t="n">
        <f aca="false">IF(K$6=0,0,IF(OR(AND('O&amp;M Backup_Detail'!$O$7=7,'O&amp;M Backup_Detail'!$P$25&lt;&gt;2),AND('O&amp;M Backup_Detail'!$R$7=7,'O&amp;M Backup_Detail'!$S$25&lt;&gt;2),AND('O&amp;M Backup_Detail'!$U$7=7,'O&amp;M Backup_Detail'!$V$25&lt;&gt;2)),K$6/3*(K$7/K6/104)^0.6*337000*0.5,0))</f>
        <v>0</v>
      </c>
      <c r="L224" s="637" t="n">
        <f aca="false">IF(L6=0,0,$L$6/3*($L$7/L6/920)^0.6*337000*0.5)</f>
        <v>0</v>
      </c>
    </row>
    <row r="225" customFormat="false" ht="12.75" hidden="false" customHeight="false" outlineLevel="0" collapsed="false">
      <c r="A225" s="608" t="n">
        <f aca="false">+A224+1</f>
        <v>221</v>
      </c>
      <c r="C225" s="636" t="s">
        <v>1241</v>
      </c>
      <c r="D225" s="624"/>
      <c r="E225" s="637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Backup_Detail'!$V$25&lt;&gt;2)),E$6/3*(E$7/E6/104)^0.6*337000*0.2,0))</f>
        <v>0</v>
      </c>
      <c r="F225" s="637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Backup_Detail'!$V$25&lt;&gt;2)),F$6/3*(F$7/F6/104)^0.6*337000*0.2,0))</f>
        <v>0</v>
      </c>
      <c r="G225" s="637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Backup_Detail'!$V$25&lt;&gt;2)),G$6/3*(G$7/G6/104)^0.6*337000*0.2,0))</f>
        <v>60341.7618827936</v>
      </c>
      <c r="H225" s="637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Backup_Detail'!$V$25&lt;&gt;2)),H$6/3*(H$7/H6/104)^0.6*337000*0.2,0))</f>
        <v>0</v>
      </c>
      <c r="I225" s="637" t="n">
        <f aca="false">IF(I$6=0,0,IF(OR(AND('O&amp;M Backup_Detail'!$O$7=5,'O&amp;M Backup_Detail'!$P$25&lt;&gt;2),AND('O&amp;M Backup_Detail'!$R$7=5,'O&amp;M Backup_Detail'!$S$25&lt;&gt;2),AND('O&amp;M Backup_Detail'!$U$7=5,'O&amp;M Backup_Detail'!$V$25&lt;&gt;2)),I$6/3*(I$7/I6/104)^0.6*337000*0.2,0))</f>
        <v>0</v>
      </c>
      <c r="J225" s="638"/>
      <c r="K225" s="637" t="n">
        <f aca="false">IF(K$6=0,0,IF(OR(AND('O&amp;M Backup_Detail'!$O$7=7,'O&amp;M Backup_Detail'!$P$25&lt;&gt;2),AND('O&amp;M Backup_Detail'!$R$7=7,'O&amp;M Backup_Detail'!$S$25&lt;&gt;2),AND('O&amp;M Backup_Detail'!$U$7=7,'O&amp;M Backup_Detail'!$V$25&lt;&gt;2)),K$6/3*(K$7/K6/104)^0.6*337000*0.2,0))</f>
        <v>0</v>
      </c>
      <c r="L225" s="637" t="n">
        <f aca="false">IF(L6=0,0,$L$6/3*($L$7/L6/920)^0.6*337000*0.2)</f>
        <v>0</v>
      </c>
    </row>
    <row r="226" customFormat="false" ht="12.75" hidden="false" customHeight="false" outlineLevel="0" collapsed="false">
      <c r="A226" s="608" t="n">
        <f aca="false">+A225+1</f>
        <v>222</v>
      </c>
      <c r="C226" s="636" t="s">
        <v>1185</v>
      </c>
      <c r="D226" s="624"/>
      <c r="E226" s="637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Backup_Detail'!$V$25&lt;&gt;2)),E$6/3*(E$7/E6/104)^0.6*337000*0.1,0))</f>
        <v>0</v>
      </c>
      <c r="F226" s="637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Backup_Detail'!$V$25&lt;&gt;2)),F$6/3*(F$7/F6/104)^0.6*337000*0.1,0))</f>
        <v>0</v>
      </c>
      <c r="G226" s="637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Backup_Detail'!$V$25&lt;&gt;2)),G$6/3*(G$7/G6/104)^0.6*337000*0.1,0))</f>
        <v>30170.8809413968</v>
      </c>
      <c r="H226" s="637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Backup_Detail'!$V$25&lt;&gt;2)),H$6/3*(H$7/H6/104)^0.6*337000*0.1,0))</f>
        <v>0</v>
      </c>
      <c r="I226" s="637" t="n">
        <f aca="false">IF(I$6=0,0,IF(OR(AND('O&amp;M Backup_Detail'!$O$7=5,'O&amp;M Backup_Detail'!$P$25&lt;&gt;2),AND('O&amp;M Backup_Detail'!$R$7=5,'O&amp;M Backup_Detail'!$S$25&lt;&gt;2),AND('O&amp;M Backup_Detail'!$U$7=5,'O&amp;M Backup_Detail'!$V$25&lt;&gt;2)),I$6/3*(I$7/I6/104)^0.6*337000*0.1,0))</f>
        <v>0</v>
      </c>
      <c r="J226" s="638"/>
      <c r="K226" s="637" t="n">
        <f aca="false">IF(K$6=0,0,IF(OR(AND('O&amp;M Backup_Detail'!$O$7=7,'O&amp;M Backup_Detail'!$P$25&lt;&gt;2),AND('O&amp;M Backup_Detail'!$R$7=7,'O&amp;M Backup_Detail'!$S$25&lt;&gt;2),AND('O&amp;M Backup_Detail'!$U$7=7,'O&amp;M Backup_Detail'!$V$25&lt;&gt;2)),K$6/3*(K$7/K6/104)^0.6*337000*0.1,0))</f>
        <v>0</v>
      </c>
      <c r="L226" s="637" t="n">
        <f aca="false">IF(L6=0,0,$L$6/3*($L$7/L6/920)^0.6*337000*0.1)</f>
        <v>0</v>
      </c>
    </row>
    <row r="227" customFormat="false" ht="12.75" hidden="false" customHeight="false" outlineLevel="0" collapsed="false">
      <c r="A227" s="608" t="n">
        <f aca="false">+A226+1</f>
        <v>223</v>
      </c>
      <c r="C227" s="636" t="s">
        <v>1242</v>
      </c>
      <c r="D227" s="624"/>
      <c r="E227" s="637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Backup_Detail'!$V$25&lt;&gt;2)),E$6/3*(E$7/E6/104)^0.6*337000*0.15,0))</f>
        <v>0</v>
      </c>
      <c r="F227" s="637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Backup_Detail'!$V$25&lt;&gt;2)),F$6/3*(F$7/F6/104)^0.6*337000*0.15,0))</f>
        <v>0</v>
      </c>
      <c r="G227" s="637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Backup_Detail'!$V$25&lt;&gt;2)),G$6/3*(G$7/G6/104)^0.6*337000*0.15,0))</f>
        <v>45256.3214120952</v>
      </c>
      <c r="H227" s="637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Backup_Detail'!$V$25&lt;&gt;2)),H$6/3*(H$7/H6/104)^0.6*337000*0.15,0))</f>
        <v>0</v>
      </c>
      <c r="I227" s="637" t="n">
        <f aca="false">IF(I$6=0,0,IF(OR(AND('O&amp;M Backup_Detail'!$O$7=5,'O&amp;M Backup_Detail'!$P$25&lt;&gt;2),AND('O&amp;M Backup_Detail'!$R$7=5,'O&amp;M Backup_Detail'!$S$25&lt;&gt;2),AND('O&amp;M Backup_Detail'!$U$7=5,'O&amp;M Backup_Detail'!$V$25&lt;&gt;2)),I$6/3*(I$7/I6/104)^0.6*337000*0.15,0))</f>
        <v>0</v>
      </c>
      <c r="J227" s="638"/>
      <c r="K227" s="637" t="n">
        <f aca="false">IF(K$6=0,0,IF(OR(AND('O&amp;M Backup_Detail'!$O$7=7,'O&amp;M Backup_Detail'!$P$25&lt;&gt;2),AND('O&amp;M Backup_Detail'!$R$7=7,'O&amp;M Backup_Detail'!$S$25&lt;&gt;2),AND('O&amp;M Backup_Detail'!$U$7=7,'O&amp;M Backup_Detail'!$V$25&lt;&gt;2)),K$6/3*(K$7/K6/104)^0.6*337000*0.15,0))</f>
        <v>0</v>
      </c>
      <c r="L227" s="637" t="n">
        <f aca="false">IF(L6=0,0,$L$6/3*($L$7/L6/920)^0.6*337000*0.15)</f>
        <v>0</v>
      </c>
    </row>
    <row r="228" customFormat="false" ht="12.75" hidden="false" customHeight="false" outlineLevel="0" collapsed="false">
      <c r="A228" s="608" t="n">
        <f aca="false">+A227+1</f>
        <v>224</v>
      </c>
      <c r="C228" s="636" t="s">
        <v>1239</v>
      </c>
      <c r="D228" s="624"/>
      <c r="E228" s="637" t="n">
        <f aca="false">IF(E$6=0,0,IF(OR(AND('O&amp;M Backup_Detail'!$O$7=1,'O&amp;M Backup_Detail'!$P$25&lt;&gt;2),AND('O&amp;M Backup_Detail'!$R$7=1,'O&amp;M Backup_Detail'!$S$25&lt;&gt;2),AND('O&amp;M Backup_Detail'!$U$7=1,'O&amp;M Backup_Detail'!$V$25&lt;&gt;2)),E$6/3*(E$7/E6/104)^0.6*337000*0.05,0))</f>
        <v>0</v>
      </c>
      <c r="F228" s="637" t="n">
        <f aca="false">IF(F$6=0,0,IF(OR(AND('O&amp;M Backup_Detail'!$O$7=2,'O&amp;M Backup_Detail'!$P$25&lt;&gt;2),AND('O&amp;M Backup_Detail'!$R$7=2,'O&amp;M Backup_Detail'!$S$25&lt;&gt;2),AND('O&amp;M Backup_Detail'!$U$7=2,'O&amp;M Backup_Detail'!$V$25&lt;&gt;2)),F$6/3*(F$7/F6/104)^0.6*337000*0.05,0))</f>
        <v>0</v>
      </c>
      <c r="G228" s="637" t="n">
        <f aca="false">IF(G$6=0,0,IF(OR(AND('O&amp;M Backup_Detail'!$O$7=3,'O&amp;M Backup_Detail'!$P$25&lt;&gt;2),AND('O&amp;M Backup_Detail'!$R$7=3,'O&amp;M Backup_Detail'!$S$25&lt;&gt;2),AND('O&amp;M Backup_Detail'!$U$7=3,'O&amp;M Backup_Detail'!$V$25&lt;&gt;2)),G$6/3*(G$7/G6/104)^0.6*337000*0.05,0))</f>
        <v>15085.4404706984</v>
      </c>
      <c r="H228" s="637" t="n">
        <f aca="false">IF(H$6=0,0,IF(OR(AND('O&amp;M Backup_Detail'!$O$7=4,'O&amp;M Backup_Detail'!$P$25&lt;&gt;2),AND('O&amp;M Backup_Detail'!$R$7=4,'O&amp;M Backup_Detail'!$S$25&lt;&gt;2),AND('O&amp;M Backup_Detail'!$U$7=4,'O&amp;M Backup_Detail'!$V$25&lt;&gt;2)),H$6/3*(H$7/H6/104)^0.6*337000*0.05,0))</f>
        <v>0</v>
      </c>
      <c r="I228" s="637" t="n">
        <f aca="false">IF(I$6=0,0,IF(OR(AND('O&amp;M Backup_Detail'!$O$7=5,'O&amp;M Backup_Detail'!$P$25&lt;&gt;2),AND('O&amp;M Backup_Detail'!$R$7=5,'O&amp;M Backup_Detail'!$S$25&lt;&gt;2),AND('O&amp;M Backup_Detail'!$U$7=5,'O&amp;M Backup_Detail'!$V$25&lt;&gt;2)),I$6/3*(I$7/I6/104)^0.6*337000*0.05,0))</f>
        <v>0</v>
      </c>
      <c r="J228" s="638"/>
      <c r="K228" s="637" t="n">
        <f aca="false">IF(K$6=0,0,IF(OR(AND('O&amp;M Backup_Detail'!$O$7=7,'O&amp;M Backup_Detail'!$P$25&lt;&gt;2),AND('O&amp;M Backup_Detail'!$R$7=7,'O&amp;M Backup_Detail'!$S$25&lt;&gt;2),AND('O&amp;M Backup_Detail'!$U$7=7,'O&amp;M Backup_Detail'!$V$25&lt;&gt;2)),K$6/3*(K$7/K6/104)^0.6*337000*0.05,0))</f>
        <v>0</v>
      </c>
      <c r="L228" s="637" t="n">
        <f aca="false">IF(L6=0,0,$L$6/3*($L$7/L6/920)^0.6*337000*0.05)</f>
        <v>0</v>
      </c>
    </row>
    <row r="229" customFormat="false" ht="12.75" hidden="false" customHeight="false" outlineLevel="0" collapsed="false">
      <c r="A229" s="608" t="n">
        <f aca="false">+A228+1</f>
        <v>225</v>
      </c>
      <c r="C229" s="636" t="s">
        <v>534</v>
      </c>
      <c r="D229" s="624"/>
      <c r="E229" s="637" t="n">
        <v>0</v>
      </c>
      <c r="F229" s="637" t="n">
        <v>0</v>
      </c>
      <c r="G229" s="637" t="n">
        <v>0</v>
      </c>
      <c r="H229" s="637" t="n">
        <v>0</v>
      </c>
      <c r="I229" s="637" t="n">
        <v>0</v>
      </c>
      <c r="J229" s="638"/>
      <c r="K229" s="637" t="n">
        <v>0</v>
      </c>
      <c r="L229" s="637" t="n">
        <v>0</v>
      </c>
    </row>
    <row r="230" customFormat="false" ht="12.75" hidden="false" customHeight="false" outlineLevel="0" collapsed="false">
      <c r="A230" s="608" t="n">
        <f aca="false">+A229+1</f>
        <v>226</v>
      </c>
      <c r="C230" s="636" t="s">
        <v>559</v>
      </c>
      <c r="D230" s="624"/>
      <c r="E230" s="637" t="n">
        <v>0</v>
      </c>
      <c r="F230" s="637" t="n">
        <v>0</v>
      </c>
      <c r="G230" s="637" t="n">
        <v>0</v>
      </c>
      <c r="H230" s="637" t="n">
        <v>0</v>
      </c>
      <c r="I230" s="637" t="n">
        <v>0</v>
      </c>
      <c r="J230" s="638"/>
      <c r="K230" s="637" t="n">
        <v>0</v>
      </c>
      <c r="L230" s="637" t="n">
        <v>0</v>
      </c>
    </row>
    <row r="231" customFormat="false" ht="12.75" hidden="false" customHeight="false" outlineLevel="0" collapsed="false">
      <c r="A231" s="608" t="n">
        <f aca="false">+A230+1</f>
        <v>227</v>
      </c>
      <c r="B231" s="538"/>
      <c r="C231" s="636" t="s">
        <v>1156</v>
      </c>
      <c r="D231" s="624"/>
      <c r="E231" s="637" t="n">
        <v>0</v>
      </c>
      <c r="F231" s="637" t="n">
        <v>0</v>
      </c>
      <c r="G231" s="637" t="n">
        <v>0</v>
      </c>
      <c r="H231" s="637" t="n">
        <v>0</v>
      </c>
      <c r="I231" s="637" t="n">
        <v>0</v>
      </c>
      <c r="J231" s="638"/>
      <c r="K231" s="637" t="n">
        <v>0</v>
      </c>
      <c r="L231" s="637" t="n">
        <v>0</v>
      </c>
    </row>
    <row r="232" customFormat="false" ht="12.75" hidden="false" customHeight="false" outlineLevel="0" collapsed="false">
      <c r="A232" s="608" t="n">
        <f aca="false">+A231+1</f>
        <v>228</v>
      </c>
      <c r="B232" s="561"/>
      <c r="C232" s="639" t="s">
        <v>431</v>
      </c>
      <c r="D232" s="624"/>
      <c r="E232" s="649" t="n">
        <f aca="false">SUBTOTAL(9,E224:E231)</f>
        <v>0</v>
      </c>
      <c r="F232" s="649" t="n">
        <f aca="false">SUBTOTAL(9,F224:F231)</f>
        <v>0</v>
      </c>
      <c r="G232" s="649" t="n">
        <f aca="false">SUBTOTAL(9,G224:G231)</f>
        <v>301708.809413968</v>
      </c>
      <c r="H232" s="649" t="n">
        <f aca="false">SUBTOTAL(9,H224:H231)</f>
        <v>0</v>
      </c>
      <c r="I232" s="649" t="n">
        <f aca="false">SUBTOTAL(9,I224:I231)</f>
        <v>0</v>
      </c>
      <c r="J232" s="650"/>
      <c r="K232" s="649" t="n">
        <f aca="false">SUBTOTAL(9,K224:K231)</f>
        <v>0</v>
      </c>
      <c r="L232" s="649" t="n">
        <f aca="false">SUBTOTAL(9,L224:L231)</f>
        <v>0</v>
      </c>
    </row>
    <row r="233" customFormat="false" ht="12.75" hidden="false" customHeight="false" outlineLevel="0" collapsed="false">
      <c r="A233" s="608" t="n">
        <f aca="false">+A232+1</f>
        <v>229</v>
      </c>
      <c r="B233" s="635" t="s">
        <v>1084</v>
      </c>
      <c r="C233" s="642"/>
      <c r="D233" s="624"/>
      <c r="E233" s="449"/>
      <c r="F233" s="449"/>
      <c r="G233" s="449"/>
      <c r="H233" s="449"/>
      <c r="I233" s="449"/>
      <c r="J233" s="643"/>
      <c r="K233" s="449"/>
      <c r="L233" s="449"/>
    </row>
    <row r="234" customFormat="false" ht="12.75" hidden="false" customHeight="false" outlineLevel="0" collapsed="false">
      <c r="A234" s="608" t="n">
        <f aca="false">+A233+1</f>
        <v>230</v>
      </c>
      <c r="C234" s="636" t="s">
        <v>1246</v>
      </c>
      <c r="D234" s="624"/>
      <c r="E234" s="468" t="n">
        <f aca="false">IF(OR(AND(E5=Scope!$F$14,UPPER(Scope!$F$16)="COMBINED"),AND(E5=Scope!$F$17,UPPER(Scope!$F$19)="COMBINED"),AND(E5=Scope!$F$20,UPPER(Scope!$F$22)="COMBINED")),460000*((Scope!$F$24*Scope!$E$23+Scope!$F$26*Scope!$E$25)/140)^0.6*0.5,0)</f>
        <v>0</v>
      </c>
      <c r="F234" s="468" t="n">
        <f aca="false">IF(OR(AND(F5=Scope!$F$14,UPPER(Scope!$F$16)="COMBINED"),AND(F5=Scope!$F$17,UPPER(Scope!$F$19)="COMBINED"),AND(F5=Scope!$F$20,UPPER(Scope!$F$22)="COMBINED")),460000*((Scope!$F$24*Scope!$E$23+Scope!$F$26*Scope!$E$25)/140)^0.6*0.5,0)</f>
        <v>0</v>
      </c>
      <c r="G234" s="468" t="n">
        <f aca="false">IF(OR(AND(G5=Scope!$F$14,UPPER(Scope!$F$16)="COMBINED"),AND(G5=Scope!$F$17,UPPER(Scope!$F$19)="COMBINED"),AND(G5=Scope!$F$20,UPPER(Scope!$F$22)="COMBINED")),460000*((Scope!$F$24*Scope!$E$23+Scope!$F$26*Scope!$E$25)/140)^0.6*0.5,0)</f>
        <v>363348.831137155</v>
      </c>
      <c r="H234" s="468" t="n">
        <f aca="false">IF(OR(AND(H5=Scope!$F$14,UPPER(Scope!$F$16)="COMBINED"),AND(H5=Scope!$F$17,UPPER(Scope!$F$19)="COMBINED"),AND(H5=Scope!$F$20,UPPER(Scope!$F$22)="COMBINED")),460000*((Scope!$F$24*Scope!$E$23+Scope!$F$26*Scope!$E$25)/140)^0.6*0.5,0)</f>
        <v>0</v>
      </c>
      <c r="I234" s="468" t="n">
        <f aca="false">IF(OR(AND(I5=Scope!$F$14,UPPER(Scope!$F$16)="COMBINED"),AND(I5=Scope!$F$17,UPPER(Scope!$F$19)="COMBINED"),AND(I5=Scope!$F$20,UPPER(Scope!$F$22)="COMBINED")),460000*((Scope!$F$24*Scope!$E$23+Scope!$F$26*Scope!$E$25)/140)^0.6*0.5,0)</f>
        <v>0</v>
      </c>
      <c r="J234" s="648"/>
      <c r="K234" s="468" t="n">
        <f aca="false">IF(OR(AND(K5=Scope!$F$14,UPPER(Scope!$F$16)="COMBINED"),AND(K5=Scope!$F$17,UPPER(Scope!$F$19)="COMBINED"),AND(K5=Scope!$F$20,UPPER(Scope!$F$22)="COMBINED")),460000*((Scope!$F$24*Scope!$E$23+Scope!$F$26*Scope!$E$25)/140)^0.6*0.5,0)</f>
        <v>0</v>
      </c>
      <c r="L234" s="468" t="n">
        <f aca="false">IF(OR(AND(L5=Scope!$F$14,UPPER(Scope!$F$16)="COMBINED"),AND(L5=Scope!$F$17,UPPER(Scope!$F$19)="COMBINED"),AND(L5=Scope!$F$20,UPPER(Scope!$F$22)="COMBINED")),460000*((Scope!$F$24*Scope!$E$23/2)/140)^0.6*0.5,0)</f>
        <v>0</v>
      </c>
    </row>
    <row r="235" customFormat="false" ht="12.75" hidden="false" customHeight="false" outlineLevel="0" collapsed="false">
      <c r="A235" s="608" t="n">
        <f aca="false">+A234+1</f>
        <v>231</v>
      </c>
      <c r="C235" s="636" t="s">
        <v>1241</v>
      </c>
      <c r="D235" s="624"/>
      <c r="E235" s="468" t="n">
        <f aca="false">IF(OR(AND(E5=Scope!$F$14,UPPER(Scope!$F$16)="COMBINED"),AND(E5=Scope!$F$17,UPPER(Scope!$F$19)="COMBINED"),AND(E5=Scope!$F$20,UPPER(Scope!$F$22)="COMBINED")),460000*((Scope!$F$24*Scope!$E$23+Scope!$F$26*Scope!$E$25)/140)^0.6*0.2,0)</f>
        <v>0</v>
      </c>
      <c r="F235" s="468" t="n">
        <f aca="false">IF(OR(AND(F5=Scope!$F$14,UPPER(Scope!$F$16)="COMBINED"),AND(F5=Scope!$F$17,UPPER(Scope!$F$19)="COMBINED"),AND(F5=Scope!$F$20,UPPER(Scope!$F$22)="COMBINED")),460000*((Scope!$F$24*Scope!$E$23+Scope!$F$26*Scope!$E$25)/140)^0.6*0.2,0)</f>
        <v>0</v>
      </c>
      <c r="G235" s="468" t="n">
        <f aca="false">IF(OR(AND(G5=Scope!$F$14,UPPER(Scope!$F$16)="COMBINED"),AND(G5=Scope!$F$17,UPPER(Scope!$F$19)="COMBINED"),AND(G5=Scope!$F$20,UPPER(Scope!$F$22)="COMBINED")),460000*((Scope!$F$24*Scope!$E$23+Scope!$F$26*Scope!$E$25)/140)^0.6*0.2,0)</f>
        <v>145339.532454862</v>
      </c>
      <c r="H235" s="468" t="n">
        <f aca="false">IF(OR(AND(H5=Scope!$F$14,UPPER(Scope!$F$16)="COMBINED"),AND(H5=Scope!$F$17,UPPER(Scope!$F$19)="COMBINED"),AND(H5=Scope!$F$20,UPPER(Scope!$F$22)="COMBINED")),460000*((Scope!$F$24*Scope!$E$23+Scope!$F$26*Scope!$E$25)/140)^0.6*0.2,0)</f>
        <v>0</v>
      </c>
      <c r="I235" s="468" t="n">
        <f aca="false">IF(OR(AND(I5=Scope!$F$14,UPPER(Scope!$F$16)="COMBINED"),AND(I5=Scope!$F$17,UPPER(Scope!$F$19)="COMBINED"),AND(I5=Scope!$F$20,UPPER(Scope!$F$22)="COMBINED")),460000*((Scope!$F$24*Scope!$E$23+Scope!$F$26*Scope!$E$25)/140)^0.6*0.2,0)</f>
        <v>0</v>
      </c>
      <c r="J235" s="648"/>
      <c r="K235" s="468" t="n">
        <f aca="false">IF(OR(AND(K5=Scope!$F$14,UPPER(Scope!$F$16)="COMBINED"),AND(K5=Scope!$F$17,UPPER(Scope!$F$19)="COMBINED"),AND(K5=Scope!$F$20,UPPER(Scope!$F$22)="COMBINED")),460000*((Scope!$F$24*Scope!$E$23+Scope!$F$26*Scope!$E$25)/140)^0.6*0.2,0)</f>
        <v>0</v>
      </c>
      <c r="L235" s="468" t="n">
        <f aca="false">IF(OR(AND(L5=Scope!$F$14,UPPER(Scope!$F$16)="COMBINED"),AND(L5=Scope!$F$17,UPPER(Scope!$F$19)="COMBINED"),AND(L5=Scope!$F$20,UPPER(Scope!$F$22)="COMBINED")),460000*((Scope!$F$24*Scope!$E$23/2)/140)^0.6*0.2,0)</f>
        <v>0</v>
      </c>
    </row>
    <row r="236" customFormat="false" ht="12.75" hidden="false" customHeight="false" outlineLevel="0" collapsed="false">
      <c r="A236" s="608" t="n">
        <f aca="false">+A235+1</f>
        <v>232</v>
      </c>
      <c r="C236" s="636" t="s">
        <v>1185</v>
      </c>
      <c r="D236" s="624"/>
      <c r="E236" s="468" t="n">
        <f aca="false">IF(OR(AND(E5=Scope!$F$14,UPPER(Scope!$F$16)="COMBINED"),AND(E5=Scope!$F$17,UPPER(Scope!$F$19)="COMBINED"),AND(E5=Scope!$F$20,UPPER(Scope!$F$22)="COMBINED")),460000*((Scope!$F$24*Scope!$E$23+Scope!$F$26*Scope!$E$25)/140)^0.6*0.1,0)</f>
        <v>0</v>
      </c>
      <c r="F236" s="468" t="n">
        <f aca="false">IF(OR(AND(F5=Scope!$F$14,UPPER(Scope!$F$16)="COMBINED"),AND(F5=Scope!$F$17,UPPER(Scope!$F$19)="COMBINED"),AND(F5=Scope!$F$20,UPPER(Scope!$F$22)="COMBINED")),460000*((Scope!$F$24*Scope!$E$23+Scope!$F$26*Scope!$E$25)/140)^0.6*0.1,0)</f>
        <v>0</v>
      </c>
      <c r="G236" s="468" t="n">
        <f aca="false">IF(OR(AND(G5=Scope!$F$14,UPPER(Scope!$F$16)="COMBINED"),AND(G5=Scope!$F$17,UPPER(Scope!$F$19)="COMBINED"),AND(G5=Scope!$F$20,UPPER(Scope!$F$22)="COMBINED")),460000*((Scope!$F$24*Scope!$E$23+Scope!$F$26*Scope!$E$25)/140)^0.6*0.1,0)</f>
        <v>72669.766227431</v>
      </c>
      <c r="H236" s="468" t="n">
        <f aca="false">IF(OR(AND(H5=Scope!$F$14,UPPER(Scope!$F$16)="COMBINED"),AND(H5=Scope!$F$17,UPPER(Scope!$F$19)="COMBINED"),AND(H5=Scope!$F$20,UPPER(Scope!$F$22)="COMBINED")),460000*((Scope!$F$24*Scope!$E$23+Scope!$F$26*Scope!$E$25)/140)^0.6*0.1,0)</f>
        <v>0</v>
      </c>
      <c r="I236" s="468" t="n">
        <f aca="false">IF(OR(AND(I5=Scope!$F$14,UPPER(Scope!$F$16)="COMBINED"),AND(I5=Scope!$F$17,UPPER(Scope!$F$19)="COMBINED"),AND(I5=Scope!$F$20,UPPER(Scope!$F$22)="COMBINED")),460000*((Scope!$F$24*Scope!$E$23+Scope!$F$26*Scope!$E$25)/140)^0.6*0.1,0)</f>
        <v>0</v>
      </c>
      <c r="J236" s="648"/>
      <c r="K236" s="468" t="n">
        <f aca="false">IF(OR(AND(K5=Scope!$F$14,UPPER(Scope!$F$16)="COMBINED"),AND(K5=Scope!$F$17,UPPER(Scope!$F$19)="COMBINED"),AND(K5=Scope!$F$20,UPPER(Scope!$F$22)="COMBINED")),460000*((Scope!$F$24*Scope!$E$23+Scope!$F$26*Scope!$E$25)/140)^0.6*0.1,0)</f>
        <v>0</v>
      </c>
      <c r="L236" s="468" t="n">
        <f aca="false">IF(OR(AND(L5=Scope!$F$14,UPPER(Scope!$F$16)="COMBINED"),AND(L5=Scope!$F$17,UPPER(Scope!$F$19)="COMBINED"),AND(L5=Scope!$F$20,UPPER(Scope!$F$22)="COMBINED")),460000*((Scope!$F$24*Scope!$E$23/2)/140)^0.6*0.1,0)</f>
        <v>0</v>
      </c>
    </row>
    <row r="237" customFormat="false" ht="12.75" hidden="false" customHeight="false" outlineLevel="0" collapsed="false">
      <c r="A237" s="608" t="n">
        <f aca="false">+A236+1</f>
        <v>233</v>
      </c>
      <c r="C237" s="636" t="s">
        <v>1111</v>
      </c>
      <c r="D237" s="624"/>
      <c r="E237" s="468" t="n">
        <f aca="false">IF(OR(AND(E5=Scope!$F$14,UPPER(Scope!$F$16)="COMBINED"),AND(E5=Scope!$F$17,UPPER(Scope!$F$19)="COMBINED"),AND(E5=Scope!$F$20,UPPER(Scope!$F$22)="COMBINED")),460000*((Scope!$F$24*Scope!$E$23+Scope!$F$26*Scope!$E$25)/140)^0.6*0.15,0)</f>
        <v>0</v>
      </c>
      <c r="F237" s="468" t="n">
        <f aca="false">IF(OR(AND(F5=Scope!$F$14,UPPER(Scope!$F$16)="COMBINED"),AND(F5=Scope!$F$17,UPPER(Scope!$F$19)="COMBINED"),AND(F5=Scope!$F$20,UPPER(Scope!$F$22)="COMBINED")),460000*((Scope!$F$24*Scope!$E$23+Scope!$F$26*Scope!$E$25)/140)^0.6*0.15,0)</f>
        <v>0</v>
      </c>
      <c r="G237" s="468" t="n">
        <f aca="false">IF(OR(AND(G5=Scope!$F$14,UPPER(Scope!$F$16)="COMBINED"),AND(G5=Scope!$F$17,UPPER(Scope!$F$19)="COMBINED"),AND(G5=Scope!$F$20,UPPER(Scope!$F$22)="COMBINED")),460000*((Scope!$F$24*Scope!$E$23+Scope!$F$26*Scope!$E$25)/140)^0.6*0.15,0)</f>
        <v>109004.649341147</v>
      </c>
      <c r="H237" s="468" t="n">
        <f aca="false">IF(OR(AND(H5=Scope!$F$14,UPPER(Scope!$F$16)="COMBINED"),AND(H5=Scope!$F$17,UPPER(Scope!$F$19)="COMBINED"),AND(H5=Scope!$F$20,UPPER(Scope!$F$22)="COMBINED")),460000*((Scope!$F$24*Scope!$E$23+Scope!$F$26*Scope!$E$25)/140)^0.6*0.15,0)</f>
        <v>0</v>
      </c>
      <c r="I237" s="468" t="n">
        <f aca="false">IF(OR(AND(I5=Scope!$F$14,UPPER(Scope!$F$16)="COMBINED"),AND(I5=Scope!$F$17,UPPER(Scope!$F$19)="COMBINED"),AND(I5=Scope!$F$20,UPPER(Scope!$F$22)="COMBINED")),460000*((Scope!$F$24*Scope!$E$23+Scope!$F$26*Scope!$E$25)/140)^0.6*0.15,0)</f>
        <v>0</v>
      </c>
      <c r="J237" s="648"/>
      <c r="K237" s="468" t="n">
        <f aca="false">IF(OR(AND(K5=Scope!$F$14,UPPER(Scope!$F$16)="COMBINED"),AND(K5=Scope!$F$17,UPPER(Scope!$F$19)="COMBINED"),AND(K5=Scope!$F$20,UPPER(Scope!$F$22)="COMBINED")),460000*((Scope!$F$24*Scope!$E$23+Scope!$F$26*Scope!$E$25)/140)^0.6*0.15,0)</f>
        <v>0</v>
      </c>
      <c r="L237" s="468" t="n">
        <f aca="false">IF(OR(AND(L5=Scope!$F$14,UPPER(Scope!$F$16)="COMBINED"),AND(L5=Scope!$F$17,UPPER(Scope!$F$19)="COMBINED"),AND(L5=Scope!$F$20,UPPER(Scope!$F$22)="COMBINED")),460000*((Scope!$F$24*Scope!$E$23/2)/140)^0.6*0.15,0)</f>
        <v>0</v>
      </c>
    </row>
    <row r="238" customFormat="false" ht="12.75" hidden="false" customHeight="false" outlineLevel="0" collapsed="false">
      <c r="A238" s="608" t="n">
        <f aca="false">+A237+1</f>
        <v>234</v>
      </c>
      <c r="C238" s="636" t="s">
        <v>1239</v>
      </c>
      <c r="D238" s="624"/>
      <c r="E238" s="468" t="n">
        <f aca="false">IF(OR(AND(E5=Scope!$F$14,UPPER(Scope!$F$16)="COMBINED"),AND(E5=Scope!$F$17,UPPER(Scope!$F$19)="COMBINED"),AND(E5=Scope!$F$20,UPPER(Scope!$F$22)="COMBINED")),460000*((Scope!$F$24*Scope!$E$23+Scope!$F$26*Scope!$E$25)/140)^0.6*0.05,0)</f>
        <v>0</v>
      </c>
      <c r="F238" s="468" t="n">
        <f aca="false">IF(OR(AND(F5=Scope!$F$14,UPPER(Scope!$F$16)="COMBINED"),AND(F5=Scope!$F$17,UPPER(Scope!$F$19)="COMBINED"),AND(F5=Scope!$F$20,UPPER(Scope!$F$22)="COMBINED")),460000*((Scope!$F$24*Scope!$E$23+Scope!$F$26*Scope!$E$25)/140)^0.6*0.05,0)</f>
        <v>0</v>
      </c>
      <c r="G238" s="468" t="n">
        <f aca="false">IF(OR(AND(G5=Scope!$F$14,UPPER(Scope!$F$16)="COMBINED"),AND(G5=Scope!$F$17,UPPER(Scope!$F$19)="COMBINED"),AND(G5=Scope!$F$20,UPPER(Scope!$F$22)="COMBINED")),460000*((Scope!$F$24*Scope!$E$23+Scope!$F$26*Scope!$E$25)/140)^0.6*0.05,0)</f>
        <v>36334.8831137155</v>
      </c>
      <c r="H238" s="468" t="n">
        <f aca="false">IF(OR(AND(H5=Scope!$F$14,UPPER(Scope!$F$16)="COMBINED"),AND(H5=Scope!$F$17,UPPER(Scope!$F$19)="COMBINED"),AND(H5=Scope!$F$20,UPPER(Scope!$F$22)="COMBINED")),460000*((Scope!$F$24*Scope!$E$23+Scope!$F$26*Scope!$E$25)/140)^0.6*0.05,0)</f>
        <v>0</v>
      </c>
      <c r="I238" s="468" t="n">
        <f aca="false">IF(OR(AND(I5=Scope!$F$14,UPPER(Scope!$F$16)="COMBINED"),AND(I5=Scope!$F$17,UPPER(Scope!$F$19)="COMBINED"),AND(I5=Scope!$F$20,UPPER(Scope!$F$22)="COMBINED")),460000*((Scope!$F$24*Scope!$E$23+Scope!$F$26*Scope!$E$25)/140)^0.6*0.05,0)</f>
        <v>0</v>
      </c>
      <c r="J238" s="648"/>
      <c r="K238" s="468" t="n">
        <f aca="false">IF(OR(AND(K5=Scope!$F$14,UPPER(Scope!$F$16)="COMBINED"),AND(K5=Scope!$F$17,UPPER(Scope!$F$19)="COMBINED"),AND(K5=Scope!$F$20,UPPER(Scope!$F$22)="COMBINED")),460000*((Scope!$F$24*Scope!$E$23+Scope!$F$26*Scope!$E$25)/140)^0.6*0.05,0)</f>
        <v>0</v>
      </c>
      <c r="L238" s="468" t="n">
        <f aca="false">IF(OR(AND(L5=Scope!$F$14,UPPER(Scope!$F$16)="COMBINED"),AND(L5=Scope!$F$17,UPPER(Scope!$F$19)="COMBINED"),AND(L5=Scope!$F$20,UPPER(Scope!$F$22)="COMBINED")),460000*((Scope!$F$24*Scope!$E$23/2)/140)^0.6*0.05,0)</f>
        <v>0</v>
      </c>
    </row>
    <row r="239" customFormat="false" ht="12.75" hidden="false" customHeight="false" outlineLevel="0" collapsed="false">
      <c r="A239" s="608" t="n">
        <f aca="false">+A238+1</f>
        <v>235</v>
      </c>
      <c r="C239" s="636" t="s">
        <v>534</v>
      </c>
      <c r="D239" s="624"/>
      <c r="E239" s="637" t="n">
        <v>0</v>
      </c>
      <c r="F239" s="637" t="n">
        <v>0</v>
      </c>
      <c r="G239" s="637" t="n">
        <v>0</v>
      </c>
      <c r="H239" s="637" t="n">
        <v>0</v>
      </c>
      <c r="I239" s="637" t="n">
        <v>0</v>
      </c>
      <c r="J239" s="638"/>
      <c r="K239" s="637" t="n">
        <v>0</v>
      </c>
      <c r="L239" s="637" t="n">
        <v>0</v>
      </c>
    </row>
    <row r="240" customFormat="false" ht="12.75" hidden="false" customHeight="false" outlineLevel="0" collapsed="false">
      <c r="A240" s="608" t="n">
        <f aca="false">+A239+1</f>
        <v>236</v>
      </c>
      <c r="C240" s="636" t="s">
        <v>1247</v>
      </c>
      <c r="D240" s="624"/>
      <c r="E240" s="637" t="n">
        <v>0</v>
      </c>
      <c r="F240" s="637" t="n">
        <v>0</v>
      </c>
      <c r="G240" s="637" t="n">
        <v>0</v>
      </c>
      <c r="H240" s="637" t="n">
        <v>0</v>
      </c>
      <c r="I240" s="637" t="n">
        <v>0</v>
      </c>
      <c r="J240" s="638"/>
      <c r="K240" s="637" t="n">
        <v>0</v>
      </c>
      <c r="L240" s="637" t="n">
        <v>0</v>
      </c>
    </row>
    <row r="241" customFormat="false" ht="12.75" hidden="false" customHeight="false" outlineLevel="0" collapsed="false">
      <c r="A241" s="608" t="n">
        <f aca="false">+A240+1</f>
        <v>237</v>
      </c>
      <c r="C241" s="636" t="s">
        <v>559</v>
      </c>
      <c r="D241" s="624"/>
      <c r="E241" s="637" t="n">
        <v>0</v>
      </c>
      <c r="F241" s="637" t="n">
        <v>0</v>
      </c>
      <c r="G241" s="637" t="n">
        <v>0</v>
      </c>
      <c r="H241" s="637" t="n">
        <v>0</v>
      </c>
      <c r="I241" s="637" t="n">
        <v>0</v>
      </c>
      <c r="J241" s="638"/>
      <c r="K241" s="637" t="n">
        <v>0</v>
      </c>
      <c r="L241" s="637" t="n">
        <v>0</v>
      </c>
    </row>
    <row r="242" customFormat="false" ht="12.75" hidden="false" customHeight="false" outlineLevel="0" collapsed="false">
      <c r="A242" s="608" t="n">
        <f aca="false">+A241+1</f>
        <v>238</v>
      </c>
      <c r="C242" s="636" t="s">
        <v>1156</v>
      </c>
      <c r="D242" s="624"/>
      <c r="E242" s="637" t="n">
        <v>0</v>
      </c>
      <c r="F242" s="637" t="n">
        <v>0</v>
      </c>
      <c r="G242" s="637" t="n">
        <v>0</v>
      </c>
      <c r="H242" s="637" t="n">
        <v>0</v>
      </c>
      <c r="I242" s="637" t="n">
        <v>0</v>
      </c>
      <c r="J242" s="638"/>
      <c r="K242" s="637" t="n">
        <v>0</v>
      </c>
      <c r="L242" s="637" t="n">
        <v>0</v>
      </c>
    </row>
    <row r="243" customFormat="false" ht="12.75" hidden="false" customHeight="false" outlineLevel="0" collapsed="false">
      <c r="A243" s="608" t="n">
        <f aca="false">+A242+1</f>
        <v>239</v>
      </c>
      <c r="B243" s="561"/>
      <c r="C243" s="639" t="s">
        <v>431</v>
      </c>
      <c r="D243" s="624"/>
      <c r="E243" s="649" t="n">
        <f aca="false">SUBTOTAL(9,E234:E242)</f>
        <v>0</v>
      </c>
      <c r="F243" s="649" t="n">
        <f aca="false">SUBTOTAL(9,F234:F242)</f>
        <v>0</v>
      </c>
      <c r="G243" s="649" t="n">
        <f aca="false">SUBTOTAL(9,G234:G242)</f>
        <v>726697.66227431</v>
      </c>
      <c r="H243" s="649" t="n">
        <f aca="false">SUBTOTAL(9,H234:H242)</f>
        <v>0</v>
      </c>
      <c r="I243" s="649" t="n">
        <f aca="false">SUBTOTAL(9,I234:I242)</f>
        <v>0</v>
      </c>
      <c r="J243" s="650"/>
      <c r="K243" s="649" t="n">
        <f aca="false">SUBTOTAL(9,K234:K242)</f>
        <v>0</v>
      </c>
      <c r="L243" s="649" t="n">
        <f aca="false">SUBTOTAL(9,L234:L242)</f>
        <v>0</v>
      </c>
    </row>
    <row r="244" customFormat="false" ht="12.75" hidden="false" customHeight="false" outlineLevel="0" collapsed="false">
      <c r="A244" s="608" t="n">
        <f aca="false">+A243+1</f>
        <v>240</v>
      </c>
      <c r="B244" s="635" t="s">
        <v>1090</v>
      </c>
      <c r="C244" s="642"/>
      <c r="D244" s="624"/>
      <c r="E244" s="449"/>
      <c r="F244" s="449"/>
      <c r="G244" s="449"/>
      <c r="H244" s="449"/>
      <c r="I244" s="449"/>
      <c r="J244" s="643"/>
      <c r="K244" s="449"/>
      <c r="L244" s="449"/>
    </row>
    <row r="245" customFormat="false" ht="12.75" hidden="false" customHeight="false" outlineLevel="0" collapsed="false">
      <c r="A245" s="608" t="n">
        <f aca="false">+A244+1</f>
        <v>241</v>
      </c>
      <c r="C245" s="636" t="s">
        <v>1240</v>
      </c>
      <c r="D245" s="624"/>
      <c r="E245" s="637" t="n">
        <v>0</v>
      </c>
      <c r="F245" s="637" t="n">
        <v>0</v>
      </c>
      <c r="G245" s="637" t="n">
        <v>0</v>
      </c>
      <c r="H245" s="637" t="n">
        <v>0</v>
      </c>
      <c r="I245" s="637" t="n">
        <v>0</v>
      </c>
      <c r="J245" s="638"/>
      <c r="K245" s="637" t="n">
        <v>0</v>
      </c>
      <c r="L245" s="637" t="n">
        <v>0</v>
      </c>
    </row>
    <row r="246" customFormat="false" ht="12.75" hidden="false" customHeight="false" outlineLevel="0" collapsed="false">
      <c r="A246" s="608" t="n">
        <f aca="false">+A245+1</f>
        <v>242</v>
      </c>
      <c r="C246" s="636" t="s">
        <v>1241</v>
      </c>
      <c r="D246" s="624"/>
      <c r="E246" s="637" t="n">
        <v>0</v>
      </c>
      <c r="F246" s="637" t="n">
        <v>0</v>
      </c>
      <c r="G246" s="637" t="n">
        <v>0</v>
      </c>
      <c r="H246" s="637" t="n">
        <v>0</v>
      </c>
      <c r="I246" s="637" t="n">
        <v>0</v>
      </c>
      <c r="J246" s="638"/>
      <c r="K246" s="637" t="n">
        <v>0</v>
      </c>
      <c r="L246" s="637" t="n">
        <v>0</v>
      </c>
    </row>
    <row r="247" customFormat="false" ht="12.75" hidden="false" customHeight="false" outlineLevel="0" collapsed="false">
      <c r="A247" s="608" t="n">
        <f aca="false">+A246+1</f>
        <v>243</v>
      </c>
      <c r="C247" s="636" t="s">
        <v>1185</v>
      </c>
      <c r="D247" s="624"/>
      <c r="E247" s="637" t="n">
        <v>0</v>
      </c>
      <c r="F247" s="637" t="n">
        <v>0</v>
      </c>
      <c r="G247" s="637" t="n">
        <v>0</v>
      </c>
      <c r="H247" s="637" t="n">
        <v>0</v>
      </c>
      <c r="I247" s="637" t="n">
        <v>0</v>
      </c>
      <c r="J247" s="638"/>
      <c r="K247" s="637" t="n">
        <v>0</v>
      </c>
      <c r="L247" s="637" t="n">
        <v>0</v>
      </c>
    </row>
    <row r="248" customFormat="false" ht="12.75" hidden="false" customHeight="false" outlineLevel="0" collapsed="false">
      <c r="A248" s="608" t="n">
        <f aca="false">+A247+1</f>
        <v>244</v>
      </c>
      <c r="C248" s="636" t="s">
        <v>1242</v>
      </c>
      <c r="D248" s="624"/>
      <c r="E248" s="637" t="n">
        <v>0</v>
      </c>
      <c r="F248" s="637" t="n">
        <v>0</v>
      </c>
      <c r="G248" s="637" t="n">
        <v>0</v>
      </c>
      <c r="H248" s="637" t="n">
        <v>0</v>
      </c>
      <c r="I248" s="637" t="n">
        <v>0</v>
      </c>
      <c r="J248" s="638"/>
      <c r="K248" s="637" t="n">
        <v>0</v>
      </c>
      <c r="L248" s="637" t="n">
        <v>0</v>
      </c>
    </row>
    <row r="249" customFormat="false" ht="12.75" hidden="false" customHeight="false" outlineLevel="0" collapsed="false">
      <c r="A249" s="608" t="n">
        <f aca="false">+A248+1</f>
        <v>245</v>
      </c>
      <c r="C249" s="636" t="s">
        <v>1239</v>
      </c>
      <c r="D249" s="624"/>
      <c r="E249" s="637" t="n">
        <v>0</v>
      </c>
      <c r="F249" s="637" t="n">
        <v>0</v>
      </c>
      <c r="G249" s="637" t="n">
        <v>0</v>
      </c>
      <c r="H249" s="637" t="n">
        <v>0</v>
      </c>
      <c r="I249" s="637" t="n">
        <v>0</v>
      </c>
      <c r="J249" s="638"/>
      <c r="K249" s="637" t="n">
        <v>0</v>
      </c>
      <c r="L249" s="637" t="n">
        <v>0</v>
      </c>
    </row>
    <row r="250" customFormat="false" ht="12.75" hidden="false" customHeight="false" outlineLevel="0" collapsed="false">
      <c r="A250" s="608" t="n">
        <f aca="false">+A249+1</f>
        <v>246</v>
      </c>
      <c r="C250" s="636" t="s">
        <v>534</v>
      </c>
      <c r="D250" s="624"/>
      <c r="E250" s="637" t="n">
        <v>0</v>
      </c>
      <c r="F250" s="637" t="n">
        <v>0</v>
      </c>
      <c r="G250" s="637" t="n">
        <v>0</v>
      </c>
      <c r="H250" s="637" t="n">
        <v>0</v>
      </c>
      <c r="I250" s="637" t="n">
        <v>0</v>
      </c>
      <c r="J250" s="638"/>
      <c r="K250" s="637" t="n">
        <v>0</v>
      </c>
      <c r="L250" s="637" t="n">
        <v>0</v>
      </c>
    </row>
    <row r="251" customFormat="false" ht="12.75" hidden="false" customHeight="false" outlineLevel="0" collapsed="false">
      <c r="A251" s="608" t="n">
        <f aca="false">+A250+1</f>
        <v>247</v>
      </c>
      <c r="C251" s="636" t="s">
        <v>559</v>
      </c>
      <c r="D251" s="624"/>
      <c r="E251" s="637" t="n">
        <v>0</v>
      </c>
      <c r="F251" s="637" t="n">
        <v>0</v>
      </c>
      <c r="G251" s="637" t="n">
        <v>0</v>
      </c>
      <c r="H251" s="637" t="n">
        <v>0</v>
      </c>
      <c r="I251" s="637" t="n">
        <v>0</v>
      </c>
      <c r="J251" s="638"/>
      <c r="K251" s="637" t="n">
        <v>0</v>
      </c>
      <c r="L251" s="637" t="n">
        <v>0</v>
      </c>
    </row>
    <row r="252" customFormat="false" ht="12.75" hidden="false" customHeight="false" outlineLevel="0" collapsed="false">
      <c r="A252" s="608" t="n">
        <f aca="false">+A251+1</f>
        <v>248</v>
      </c>
      <c r="B252" s="538"/>
      <c r="C252" s="636" t="s">
        <v>1156</v>
      </c>
      <c r="D252" s="624"/>
      <c r="E252" s="637" t="n">
        <v>0</v>
      </c>
      <c r="F252" s="637" t="n">
        <v>0</v>
      </c>
      <c r="G252" s="637" t="n">
        <v>0</v>
      </c>
      <c r="H252" s="637" t="n">
        <v>0</v>
      </c>
      <c r="I252" s="637" t="n">
        <v>0</v>
      </c>
      <c r="J252" s="638"/>
      <c r="K252" s="637" t="n">
        <v>0</v>
      </c>
      <c r="L252" s="637" t="n">
        <v>0</v>
      </c>
    </row>
    <row r="253" customFormat="false" ht="12.75" hidden="false" customHeight="false" outlineLevel="0" collapsed="false">
      <c r="A253" s="608" t="n">
        <f aca="false">+A252+1</f>
        <v>249</v>
      </c>
      <c r="B253" s="538"/>
      <c r="C253" s="639" t="s">
        <v>431</v>
      </c>
      <c r="D253" s="624"/>
      <c r="E253" s="649" t="n">
        <f aca="false">SUBTOTAL(9,E245:E252)</f>
        <v>0</v>
      </c>
      <c r="F253" s="649" t="n">
        <f aca="false">SUBTOTAL(9,F245:F252)</f>
        <v>0</v>
      </c>
      <c r="G253" s="649" t="n">
        <f aca="false">SUBTOTAL(9,G245:G252)</f>
        <v>0</v>
      </c>
      <c r="H253" s="649" t="n">
        <f aca="false">SUBTOTAL(9,H245:H252)</f>
        <v>0</v>
      </c>
      <c r="I253" s="649" t="n">
        <f aca="false">SUBTOTAL(9,I245:I252)</f>
        <v>0</v>
      </c>
      <c r="J253" s="650"/>
      <c r="K253" s="649" t="n">
        <f aca="false">SUBTOTAL(9,K245:K252)</f>
        <v>0</v>
      </c>
      <c r="L253" s="649" t="n">
        <f aca="false">SUBTOTAL(9,L245:L252)</f>
        <v>0</v>
      </c>
    </row>
    <row r="254" customFormat="false" ht="12.75" hidden="false" customHeight="false" outlineLevel="0" collapsed="false">
      <c r="A254" s="608" t="n">
        <f aca="false">+A253+1</f>
        <v>250</v>
      </c>
      <c r="B254" s="635" t="s">
        <v>1248</v>
      </c>
      <c r="C254" s="642"/>
      <c r="D254" s="624"/>
      <c r="E254" s="449"/>
      <c r="F254" s="449"/>
      <c r="G254" s="449"/>
      <c r="H254" s="449"/>
      <c r="I254" s="449"/>
      <c r="J254" s="643"/>
      <c r="K254" s="449"/>
      <c r="L254" s="449"/>
    </row>
    <row r="255" customFormat="false" ht="12.75" hidden="false" customHeight="false" outlineLevel="0" collapsed="false">
      <c r="A255" s="608" t="n">
        <f aca="false">+A254+1</f>
        <v>251</v>
      </c>
      <c r="C255" s="636" t="s">
        <v>1240</v>
      </c>
      <c r="D255" s="624"/>
      <c r="E255" s="637" t="n">
        <f aca="false">20000*(E7/43)^0.6*(E8/2000)</f>
        <v>0</v>
      </c>
      <c r="F255" s="637" t="n">
        <v>0</v>
      </c>
      <c r="G255" s="637" t="n">
        <v>0</v>
      </c>
      <c r="H255" s="637" t="n">
        <v>0</v>
      </c>
      <c r="I255" s="637" t="n">
        <v>0</v>
      </c>
      <c r="J255" s="638"/>
      <c r="K255" s="637" t="n">
        <v>0</v>
      </c>
      <c r="L255" s="637" t="n">
        <v>0</v>
      </c>
    </row>
    <row r="256" customFormat="false" ht="12.75" hidden="false" customHeight="false" outlineLevel="0" collapsed="false">
      <c r="A256" s="608" t="n">
        <f aca="false">+A255+1</f>
        <v>252</v>
      </c>
      <c r="C256" s="636" t="s">
        <v>1241</v>
      </c>
      <c r="D256" s="624"/>
      <c r="E256" s="637" t="n">
        <v>0</v>
      </c>
      <c r="F256" s="637" t="n">
        <v>0</v>
      </c>
      <c r="G256" s="637" t="n">
        <v>0</v>
      </c>
      <c r="H256" s="637" t="n">
        <v>0</v>
      </c>
      <c r="I256" s="637" t="n">
        <v>0</v>
      </c>
      <c r="J256" s="638"/>
      <c r="K256" s="637" t="n">
        <v>0</v>
      </c>
      <c r="L256" s="637" t="n">
        <v>0</v>
      </c>
    </row>
    <row r="257" customFormat="false" ht="12.75" hidden="false" customHeight="false" outlineLevel="0" collapsed="false">
      <c r="A257" s="608" t="n">
        <f aca="false">+A256+1</f>
        <v>253</v>
      </c>
      <c r="C257" s="636" t="s">
        <v>1185</v>
      </c>
      <c r="D257" s="624"/>
      <c r="E257" s="637" t="n">
        <v>0</v>
      </c>
      <c r="F257" s="637" t="n">
        <v>0</v>
      </c>
      <c r="G257" s="637" t="n">
        <v>0</v>
      </c>
      <c r="H257" s="637" t="n">
        <v>0</v>
      </c>
      <c r="I257" s="637" t="n">
        <v>0</v>
      </c>
      <c r="J257" s="638"/>
      <c r="K257" s="637" t="n">
        <v>0</v>
      </c>
      <c r="L257" s="637" t="n">
        <v>0</v>
      </c>
    </row>
    <row r="258" customFormat="false" ht="12.75" hidden="false" customHeight="false" outlineLevel="0" collapsed="false">
      <c r="A258" s="608" t="n">
        <f aca="false">+A257+1</f>
        <v>254</v>
      </c>
      <c r="C258" s="636" t="s">
        <v>1242</v>
      </c>
      <c r="D258" s="624"/>
      <c r="E258" s="637" t="n">
        <v>0</v>
      </c>
      <c r="F258" s="637" t="n">
        <v>0</v>
      </c>
      <c r="G258" s="637" t="n">
        <v>0</v>
      </c>
      <c r="H258" s="637" t="n">
        <v>0</v>
      </c>
      <c r="I258" s="637" t="n">
        <v>0</v>
      </c>
      <c r="J258" s="638"/>
      <c r="K258" s="637" t="n">
        <v>0</v>
      </c>
      <c r="L258" s="637" t="n">
        <v>0</v>
      </c>
    </row>
    <row r="259" customFormat="false" ht="12.75" hidden="false" customHeight="false" outlineLevel="0" collapsed="false">
      <c r="A259" s="608" t="n">
        <f aca="false">+A258+1</f>
        <v>255</v>
      </c>
      <c r="C259" s="636" t="s">
        <v>1239</v>
      </c>
      <c r="D259" s="624"/>
      <c r="E259" s="637" t="n">
        <v>0</v>
      </c>
      <c r="F259" s="637" t="n">
        <v>0</v>
      </c>
      <c r="G259" s="637" t="n">
        <v>0</v>
      </c>
      <c r="H259" s="637" t="n">
        <v>0</v>
      </c>
      <c r="I259" s="637" t="n">
        <v>0</v>
      </c>
      <c r="J259" s="638"/>
      <c r="K259" s="637" t="n">
        <v>0</v>
      </c>
      <c r="L259" s="637" t="n">
        <v>0</v>
      </c>
    </row>
    <row r="260" customFormat="false" ht="12.75" hidden="false" customHeight="false" outlineLevel="0" collapsed="false">
      <c r="A260" s="608" t="n">
        <f aca="false">+A259+1</f>
        <v>256</v>
      </c>
      <c r="C260" s="636" t="s">
        <v>534</v>
      </c>
      <c r="D260" s="624"/>
      <c r="E260" s="637" t="n">
        <v>0</v>
      </c>
      <c r="F260" s="637" t="n">
        <v>0</v>
      </c>
      <c r="G260" s="637" t="n">
        <v>0</v>
      </c>
      <c r="H260" s="637" t="n">
        <v>0</v>
      </c>
      <c r="I260" s="637" t="n">
        <v>0</v>
      </c>
      <c r="J260" s="638"/>
      <c r="K260" s="637" t="n">
        <v>0</v>
      </c>
      <c r="L260" s="637" t="n">
        <v>0</v>
      </c>
    </row>
    <row r="261" customFormat="false" ht="12.75" hidden="false" customHeight="false" outlineLevel="0" collapsed="false">
      <c r="A261" s="608" t="n">
        <f aca="false">+A260+1</f>
        <v>257</v>
      </c>
      <c r="C261" s="636" t="s">
        <v>559</v>
      </c>
      <c r="D261" s="624"/>
      <c r="E261" s="637" t="n">
        <v>0</v>
      </c>
      <c r="F261" s="637" t="n">
        <v>0</v>
      </c>
      <c r="G261" s="637" t="n">
        <v>0</v>
      </c>
      <c r="H261" s="637" t="n">
        <v>0</v>
      </c>
      <c r="I261" s="637" t="n">
        <v>0</v>
      </c>
      <c r="J261" s="638"/>
      <c r="K261" s="637" t="n">
        <v>0</v>
      </c>
      <c r="L261" s="637" t="n">
        <v>0</v>
      </c>
    </row>
    <row r="262" customFormat="false" ht="12.75" hidden="false" customHeight="false" outlineLevel="0" collapsed="false">
      <c r="A262" s="608" t="n">
        <f aca="false">+A261+1</f>
        <v>258</v>
      </c>
      <c r="B262" s="538"/>
      <c r="C262" s="636" t="s">
        <v>1156</v>
      </c>
      <c r="D262" s="624"/>
      <c r="E262" s="637" t="n">
        <v>0</v>
      </c>
      <c r="F262" s="637" t="n">
        <v>0</v>
      </c>
      <c r="G262" s="637" t="n">
        <v>0</v>
      </c>
      <c r="H262" s="637" t="n">
        <v>0</v>
      </c>
      <c r="I262" s="637" t="n">
        <v>0</v>
      </c>
      <c r="J262" s="638"/>
      <c r="K262" s="637" t="n">
        <v>0</v>
      </c>
      <c r="L262" s="637" t="n">
        <v>0</v>
      </c>
    </row>
    <row r="263" customFormat="false" ht="12.75" hidden="false" customHeight="false" outlineLevel="0" collapsed="false">
      <c r="A263" s="608" t="n">
        <f aca="false">+A262+1</f>
        <v>259</v>
      </c>
      <c r="B263" s="538"/>
      <c r="C263" s="639" t="s">
        <v>431</v>
      </c>
      <c r="D263" s="624"/>
      <c r="E263" s="649" t="n">
        <f aca="false">SUBTOTAL(9,E255:E262)</f>
        <v>0</v>
      </c>
      <c r="F263" s="649" t="n">
        <f aca="false">SUBTOTAL(9,F255:F262)</f>
        <v>0</v>
      </c>
      <c r="G263" s="649" t="n">
        <f aca="false">SUBTOTAL(9,G255:G262)</f>
        <v>0</v>
      </c>
      <c r="H263" s="649" t="n">
        <f aca="false">SUBTOTAL(9,H255:H262)</f>
        <v>0</v>
      </c>
      <c r="I263" s="649" t="n">
        <f aca="false">SUBTOTAL(9,I255:I262)</f>
        <v>0</v>
      </c>
      <c r="J263" s="650"/>
      <c r="K263" s="649" t="n">
        <f aca="false">SUBTOTAL(9,K255:K262)</f>
        <v>0</v>
      </c>
      <c r="L263" s="649" t="n">
        <f aca="false">SUBTOTAL(9,L255:L262)</f>
        <v>0</v>
      </c>
    </row>
    <row r="264" customFormat="false" ht="12.75" hidden="false" customHeight="false" outlineLevel="0" collapsed="false">
      <c r="A264" s="608" t="n">
        <f aca="false">+A263+1</f>
        <v>260</v>
      </c>
      <c r="B264" s="635" t="s">
        <v>1099</v>
      </c>
      <c r="C264" s="642"/>
      <c r="D264" s="624"/>
      <c r="E264" s="449"/>
      <c r="F264" s="449"/>
      <c r="G264" s="449"/>
      <c r="H264" s="449"/>
      <c r="I264" s="449"/>
      <c r="J264" s="643"/>
      <c r="K264" s="449"/>
      <c r="L264" s="449"/>
    </row>
    <row r="265" customFormat="false" ht="12.75" hidden="false" customHeight="false" outlineLevel="0" collapsed="false">
      <c r="A265" s="608" t="n">
        <f aca="false">+A264+1</f>
        <v>261</v>
      </c>
      <c r="C265" s="636" t="s">
        <v>1249</v>
      </c>
      <c r="D265" s="624"/>
      <c r="E265" s="468" t="n">
        <f aca="false">(E7/414)^0.6*416000</f>
        <v>0</v>
      </c>
      <c r="F265" s="468" t="n">
        <f aca="false">(F7/414)^0.6*416000</f>
        <v>0</v>
      </c>
      <c r="G265" s="468" t="n">
        <f aca="false">(G7/414)^0.6*416000</f>
        <v>369641.289126316</v>
      </c>
      <c r="H265" s="468" t="n">
        <f aca="false">(H7/414)^0.6*416000</f>
        <v>0</v>
      </c>
      <c r="I265" s="468" t="n">
        <f aca="false">(I7/414)^0.6*416000</f>
        <v>0</v>
      </c>
      <c r="J265" s="648"/>
      <c r="K265" s="468" t="n">
        <f aca="false">(K7/414)^0.6*416000</f>
        <v>0</v>
      </c>
      <c r="L265" s="468" t="n">
        <f aca="false">(L7/7/414)^0.6*416000</f>
        <v>0</v>
      </c>
    </row>
    <row r="266" customFormat="false" ht="12.75" hidden="false" customHeight="false" outlineLevel="0" collapsed="false">
      <c r="A266" s="608" t="n">
        <f aca="false">+A265+1</f>
        <v>262</v>
      </c>
      <c r="C266" s="636" t="s">
        <v>1250</v>
      </c>
      <c r="D266" s="624"/>
      <c r="E266" s="468" t="n">
        <v>0</v>
      </c>
      <c r="F266" s="468" t="n">
        <v>0</v>
      </c>
      <c r="G266" s="468" t="n">
        <v>0</v>
      </c>
      <c r="H266" s="468" t="n">
        <v>0</v>
      </c>
      <c r="I266" s="468" t="n">
        <v>0</v>
      </c>
      <c r="J266" s="648"/>
      <c r="K266" s="468" t="n">
        <v>2</v>
      </c>
      <c r="L266" s="468" t="n">
        <v>0</v>
      </c>
    </row>
    <row r="267" customFormat="false" ht="12.75" hidden="false" customHeight="false" outlineLevel="0" collapsed="false">
      <c r="A267" s="608" t="n">
        <f aca="false">+A266+1</f>
        <v>263</v>
      </c>
      <c r="C267" s="636" t="s">
        <v>1251</v>
      </c>
      <c r="D267" s="624"/>
      <c r="E267" s="468" t="n">
        <v>0</v>
      </c>
      <c r="F267" s="468" t="n">
        <v>0</v>
      </c>
      <c r="G267" s="468" t="n">
        <v>0</v>
      </c>
      <c r="H267" s="468" t="n">
        <v>0</v>
      </c>
      <c r="I267" s="468" t="n">
        <v>0</v>
      </c>
      <c r="J267" s="648"/>
      <c r="K267" s="468" t="n">
        <v>0</v>
      </c>
      <c r="L267" s="468" t="n">
        <v>0</v>
      </c>
    </row>
    <row r="268" customFormat="false" ht="12.75" hidden="false" customHeight="false" outlineLevel="0" collapsed="false">
      <c r="A268" s="608" t="n">
        <f aca="false">+A267+1</f>
        <v>264</v>
      </c>
      <c r="C268" s="636" t="s">
        <v>1252</v>
      </c>
      <c r="D268" s="624"/>
      <c r="E268" s="468" t="n">
        <v>0</v>
      </c>
      <c r="F268" s="468" t="n">
        <v>0</v>
      </c>
      <c r="G268" s="468" t="n">
        <v>0</v>
      </c>
      <c r="H268" s="468" t="n">
        <v>0</v>
      </c>
      <c r="I268" s="468" t="n">
        <v>0</v>
      </c>
      <c r="J268" s="648"/>
      <c r="K268" s="468" t="n">
        <v>0</v>
      </c>
      <c r="L268" s="468" t="n">
        <v>0</v>
      </c>
    </row>
    <row r="269" customFormat="false" ht="12.75" hidden="false" customHeight="false" outlineLevel="0" collapsed="false">
      <c r="A269" s="608" t="n">
        <f aca="false">+A268+1</f>
        <v>265</v>
      </c>
      <c r="C269" s="636" t="s">
        <v>1253</v>
      </c>
      <c r="D269" s="624"/>
      <c r="E269" s="468" t="n">
        <v>0</v>
      </c>
      <c r="F269" s="468" t="n">
        <v>0</v>
      </c>
      <c r="G269" s="468" t="n">
        <v>0</v>
      </c>
      <c r="H269" s="468" t="n">
        <v>0</v>
      </c>
      <c r="I269" s="468" t="n">
        <v>0</v>
      </c>
      <c r="J269" s="648"/>
      <c r="K269" s="468" t="n">
        <v>0</v>
      </c>
      <c r="L269" s="468" t="n">
        <v>0</v>
      </c>
    </row>
    <row r="270" customFormat="false" ht="12.75" hidden="false" customHeight="false" outlineLevel="0" collapsed="false">
      <c r="A270" s="608" t="n">
        <f aca="false">+A269+1</f>
        <v>266</v>
      </c>
      <c r="C270" s="636" t="s">
        <v>1254</v>
      </c>
      <c r="D270" s="624"/>
      <c r="E270" s="468" t="n">
        <v>0</v>
      </c>
      <c r="F270" s="468" t="n">
        <v>0</v>
      </c>
      <c r="G270" s="468" t="n">
        <v>0</v>
      </c>
      <c r="H270" s="468" t="n">
        <v>0</v>
      </c>
      <c r="I270" s="468" t="n">
        <v>0</v>
      </c>
      <c r="J270" s="648"/>
      <c r="K270" s="468" t="n">
        <f aca="false">J270</f>
        <v>0</v>
      </c>
      <c r="L270" s="468" t="n">
        <f aca="false">K270</f>
        <v>0</v>
      </c>
    </row>
    <row r="271" customFormat="false" ht="12.75" hidden="false" customHeight="false" outlineLevel="0" collapsed="false">
      <c r="A271" s="608" t="n">
        <f aca="false">+A270+1</f>
        <v>267</v>
      </c>
      <c r="C271" s="636" t="s">
        <v>1255</v>
      </c>
      <c r="D271" s="624"/>
      <c r="E271" s="468" t="n">
        <v>0</v>
      </c>
      <c r="F271" s="468" t="n">
        <v>0</v>
      </c>
      <c r="G271" s="468" t="n">
        <v>0</v>
      </c>
      <c r="H271" s="468" t="n">
        <v>0</v>
      </c>
      <c r="I271" s="468" t="n">
        <v>0</v>
      </c>
      <c r="J271" s="648"/>
      <c r="K271" s="468" t="n">
        <f aca="false">J271</f>
        <v>0</v>
      </c>
      <c r="L271" s="468" t="n">
        <f aca="false">K271</f>
        <v>0</v>
      </c>
    </row>
    <row r="272" customFormat="false" ht="12.75" hidden="false" customHeight="false" outlineLevel="0" collapsed="false">
      <c r="A272" s="608" t="n">
        <f aca="false">+A271+1</f>
        <v>268</v>
      </c>
      <c r="C272" s="636" t="s">
        <v>1256</v>
      </c>
      <c r="D272" s="624"/>
      <c r="E272" s="468" t="n">
        <v>0</v>
      </c>
      <c r="F272" s="468" t="n">
        <v>0</v>
      </c>
      <c r="G272" s="468" t="n">
        <v>0</v>
      </c>
      <c r="H272" s="468" t="n">
        <v>0</v>
      </c>
      <c r="I272" s="468" t="n">
        <v>0</v>
      </c>
      <c r="J272" s="648"/>
      <c r="K272" s="468" t="n">
        <f aca="false">J272</f>
        <v>0</v>
      </c>
      <c r="L272" s="468" t="n">
        <f aca="false">K272</f>
        <v>0</v>
      </c>
    </row>
    <row r="273" customFormat="false" ht="12.75" hidden="false" customHeight="false" outlineLevel="0" collapsed="false">
      <c r="A273" s="608" t="n">
        <f aca="false">+A272+1</f>
        <v>269</v>
      </c>
      <c r="C273" s="636" t="s">
        <v>1185</v>
      </c>
      <c r="D273" s="624"/>
      <c r="E273" s="468" t="n">
        <v>0</v>
      </c>
      <c r="F273" s="468" t="n">
        <v>0</v>
      </c>
      <c r="G273" s="468" t="n">
        <v>0</v>
      </c>
      <c r="H273" s="468" t="n">
        <v>0</v>
      </c>
      <c r="I273" s="468" t="n">
        <v>0</v>
      </c>
      <c r="J273" s="648"/>
      <c r="K273" s="468" t="n">
        <f aca="false">J273</f>
        <v>0</v>
      </c>
      <c r="L273" s="468" t="n">
        <f aca="false">K273</f>
        <v>0</v>
      </c>
    </row>
    <row r="274" customFormat="false" ht="12.75" hidden="false" customHeight="false" outlineLevel="0" collapsed="false">
      <c r="A274" s="608" t="n">
        <f aca="false">+A273+1</f>
        <v>270</v>
      </c>
      <c r="C274" s="636" t="s">
        <v>1257</v>
      </c>
      <c r="D274" s="624"/>
      <c r="E274" s="468" t="n">
        <v>0</v>
      </c>
      <c r="F274" s="468" t="n">
        <v>0</v>
      </c>
      <c r="G274" s="468" t="n">
        <v>0</v>
      </c>
      <c r="H274" s="468" t="n">
        <v>0</v>
      </c>
      <c r="I274" s="468" t="n">
        <v>0</v>
      </c>
      <c r="J274" s="648"/>
      <c r="K274" s="468" t="n">
        <f aca="false">J274</f>
        <v>0</v>
      </c>
      <c r="L274" s="468" t="n">
        <f aca="false">K274</f>
        <v>0</v>
      </c>
    </row>
    <row r="275" customFormat="false" ht="12.75" hidden="false" customHeight="false" outlineLevel="0" collapsed="false">
      <c r="A275" s="608" t="n">
        <f aca="false">+A274+1</f>
        <v>271</v>
      </c>
      <c r="C275" s="636" t="s">
        <v>1241</v>
      </c>
      <c r="D275" s="624"/>
      <c r="E275" s="468" t="n">
        <v>0</v>
      </c>
      <c r="F275" s="468" t="n">
        <v>0</v>
      </c>
      <c r="G275" s="468" t="n">
        <v>0</v>
      </c>
      <c r="H275" s="468" t="n">
        <v>0</v>
      </c>
      <c r="I275" s="468" t="n">
        <v>0</v>
      </c>
      <c r="J275" s="648"/>
      <c r="K275" s="468" t="n">
        <f aca="false">J275</f>
        <v>0</v>
      </c>
      <c r="L275" s="468" t="n">
        <f aca="false">K275</f>
        <v>0</v>
      </c>
    </row>
    <row r="276" customFormat="false" ht="12.75" hidden="false" customHeight="false" outlineLevel="0" collapsed="false">
      <c r="A276" s="608" t="n">
        <f aca="false">+A275+1</f>
        <v>272</v>
      </c>
      <c r="C276" s="636" t="s">
        <v>1199</v>
      </c>
      <c r="D276" s="624"/>
      <c r="E276" s="468" t="n">
        <v>0</v>
      </c>
      <c r="F276" s="468" t="n">
        <v>0</v>
      </c>
      <c r="G276" s="468" t="n">
        <v>0</v>
      </c>
      <c r="H276" s="468" t="n">
        <v>0</v>
      </c>
      <c r="I276" s="468" t="n">
        <v>0</v>
      </c>
      <c r="J276" s="648"/>
      <c r="K276" s="468" t="n">
        <f aca="false">J276</f>
        <v>0</v>
      </c>
      <c r="L276" s="468" t="n">
        <f aca="false">K276</f>
        <v>0</v>
      </c>
    </row>
    <row r="277" customFormat="false" ht="12.75" hidden="false" customHeight="false" outlineLevel="0" collapsed="false">
      <c r="A277" s="608" t="n">
        <f aca="false">+A276+1</f>
        <v>273</v>
      </c>
      <c r="C277" s="636" t="s">
        <v>1258</v>
      </c>
      <c r="D277" s="624"/>
      <c r="E277" s="468" t="n">
        <v>0</v>
      </c>
      <c r="F277" s="468" t="n">
        <v>0</v>
      </c>
      <c r="G277" s="468" t="n">
        <v>0</v>
      </c>
      <c r="H277" s="468" t="n">
        <v>0</v>
      </c>
      <c r="I277" s="468" t="n">
        <v>0</v>
      </c>
      <c r="J277" s="648"/>
      <c r="K277" s="468" t="n">
        <f aca="false">J277</f>
        <v>0</v>
      </c>
      <c r="L277" s="468" t="n">
        <f aca="false">K277</f>
        <v>0</v>
      </c>
    </row>
    <row r="278" customFormat="false" ht="12.75" hidden="false" customHeight="false" outlineLevel="0" collapsed="false">
      <c r="A278" s="608" t="n">
        <f aca="false">+A277+1</f>
        <v>274</v>
      </c>
      <c r="C278" s="636" t="s">
        <v>1259</v>
      </c>
      <c r="D278" s="624"/>
      <c r="E278" s="468" t="n">
        <v>0</v>
      </c>
      <c r="F278" s="468" t="n">
        <v>0</v>
      </c>
      <c r="G278" s="468" t="n">
        <v>0</v>
      </c>
      <c r="H278" s="468" t="n">
        <v>0</v>
      </c>
      <c r="I278" s="468" t="n">
        <v>0</v>
      </c>
      <c r="J278" s="648"/>
      <c r="K278" s="468" t="n">
        <v>0</v>
      </c>
      <c r="L278" s="468" t="n">
        <v>0</v>
      </c>
    </row>
    <row r="279" customFormat="false" ht="12.75" hidden="false" customHeight="false" outlineLevel="0" collapsed="false">
      <c r="A279" s="608" t="n">
        <f aca="false">+A278+1</f>
        <v>275</v>
      </c>
      <c r="C279" s="636" t="s">
        <v>1260</v>
      </c>
      <c r="D279" s="624"/>
      <c r="E279" s="468" t="n">
        <v>0</v>
      </c>
      <c r="F279" s="468" t="n">
        <v>0</v>
      </c>
      <c r="G279" s="468" t="n">
        <v>0</v>
      </c>
      <c r="H279" s="468" t="n">
        <v>0</v>
      </c>
      <c r="I279" s="468" t="n">
        <v>0</v>
      </c>
      <c r="J279" s="648"/>
      <c r="K279" s="468" t="n">
        <f aca="false">J279</f>
        <v>0</v>
      </c>
      <c r="L279" s="468" t="n">
        <f aca="false">K279</f>
        <v>0</v>
      </c>
    </row>
    <row r="280" customFormat="false" ht="12.75" hidden="false" customHeight="false" outlineLevel="0" collapsed="false">
      <c r="A280" s="608" t="n">
        <f aca="false">+A279+1</f>
        <v>276</v>
      </c>
      <c r="C280" s="636" t="s">
        <v>559</v>
      </c>
      <c r="D280" s="624"/>
      <c r="E280" s="468" t="n">
        <v>0</v>
      </c>
      <c r="F280" s="468" t="n">
        <v>0</v>
      </c>
      <c r="G280" s="468" t="n">
        <v>0</v>
      </c>
      <c r="H280" s="468" t="n">
        <v>0</v>
      </c>
      <c r="I280" s="468" t="n">
        <v>0</v>
      </c>
      <c r="J280" s="648"/>
      <c r="K280" s="468" t="n">
        <f aca="false">J280</f>
        <v>0</v>
      </c>
      <c r="L280" s="468" t="n">
        <f aca="false">K280</f>
        <v>0</v>
      </c>
    </row>
    <row r="281" customFormat="false" ht="12.75" hidden="false" customHeight="false" outlineLevel="0" collapsed="false">
      <c r="A281" s="608" t="n">
        <f aca="false">+A280+1</f>
        <v>277</v>
      </c>
      <c r="B281" s="538"/>
      <c r="C281" s="636" t="s">
        <v>1156</v>
      </c>
      <c r="D281" s="624"/>
      <c r="E281" s="468" t="n">
        <v>0</v>
      </c>
      <c r="F281" s="468" t="n">
        <v>0</v>
      </c>
      <c r="G281" s="468" t="n">
        <v>0</v>
      </c>
      <c r="H281" s="468" t="n">
        <v>0</v>
      </c>
      <c r="I281" s="468" t="n">
        <v>0</v>
      </c>
      <c r="J281" s="648"/>
      <c r="K281" s="468" t="n">
        <f aca="false">J281</f>
        <v>0</v>
      </c>
      <c r="L281" s="468" t="n">
        <f aca="false">K281</f>
        <v>0</v>
      </c>
    </row>
    <row r="282" customFormat="false" ht="12.75" hidden="false" customHeight="false" outlineLevel="0" collapsed="false">
      <c r="A282" s="608" t="n">
        <f aca="false">+A281+1</f>
        <v>278</v>
      </c>
      <c r="B282" s="561"/>
      <c r="C282" s="642" t="s">
        <v>431</v>
      </c>
      <c r="D282" s="624"/>
      <c r="E282" s="649" t="n">
        <f aca="false">SUBTOTAL(9,E265:E281)</f>
        <v>0</v>
      </c>
      <c r="F282" s="649" t="n">
        <f aca="false">SUBTOTAL(9,F265:F281)</f>
        <v>0</v>
      </c>
      <c r="G282" s="649" t="n">
        <f aca="false">SUBTOTAL(9,G265:G281)</f>
        <v>369641.289126316</v>
      </c>
      <c r="H282" s="649" t="n">
        <f aca="false">SUBTOTAL(9,H265:H281)</f>
        <v>0</v>
      </c>
      <c r="I282" s="649" t="n">
        <f aca="false">SUBTOTAL(9,I265:I281)</f>
        <v>0</v>
      </c>
      <c r="J282" s="650"/>
      <c r="K282" s="649" t="n">
        <f aca="false">SUBTOTAL(9,K265:K281)</f>
        <v>2</v>
      </c>
      <c r="L282" s="649" t="n">
        <f aca="false">SUBTOTAL(9,L265:L281)</f>
        <v>0</v>
      </c>
    </row>
    <row r="283" customFormat="false" ht="12.75" hidden="false" customHeight="false" outlineLevel="0" collapsed="false">
      <c r="A283" s="608" t="n">
        <f aca="false">+A282+1</f>
        <v>279</v>
      </c>
      <c r="B283" s="635" t="s">
        <v>1104</v>
      </c>
      <c r="C283" s="642"/>
      <c r="D283" s="624"/>
      <c r="E283" s="469"/>
      <c r="F283" s="469"/>
      <c r="G283" s="469"/>
      <c r="H283" s="469"/>
      <c r="I283" s="469"/>
      <c r="J283" s="655"/>
      <c r="K283" s="469"/>
      <c r="L283" s="469"/>
    </row>
    <row r="284" customFormat="false" ht="12.75" hidden="false" customHeight="false" outlineLevel="0" collapsed="false">
      <c r="A284" s="608" t="n">
        <f aca="false">+A283+1</f>
        <v>280</v>
      </c>
      <c r="C284" s="636" t="s">
        <v>806</v>
      </c>
      <c r="D284" s="624"/>
      <c r="E284" s="468" t="n">
        <f aca="false">IF(AND(F8=0,G8=0,H8=0),IF(E8=0,0,'O&amp;M_Estimate'!$D$57),0)</f>
        <v>0</v>
      </c>
      <c r="F284" s="468" t="n">
        <f aca="false">IF(F8=0,0,'O&amp;M_Estimate'!$D$57)</f>
        <v>0</v>
      </c>
      <c r="G284" s="468" t="n">
        <f aca="false">IF(F8=0,IF(G8=0,0,'O&amp;M_Estimate'!$D$57),0)</f>
        <v>1160000</v>
      </c>
      <c r="H284" s="468" t="n">
        <f aca="false">IF(AND(F8=0,G8=0),IF(H8=0,0,'O&amp;M_Estimate'!$D$57),0)</f>
        <v>0</v>
      </c>
      <c r="I284" s="468" t="n">
        <f aca="false">IF(AND(G8=0,H8=0),IF(I8=0,0,'O&amp;M_Estimate'!$D$57),0)</f>
        <v>0</v>
      </c>
      <c r="J284" s="648"/>
      <c r="K284" s="468" t="n">
        <f aca="false">IF(AND(I8=0,J8=0),IF(K8=0,0,'O&amp;M_Estimate'!$D$57),0)</f>
        <v>0</v>
      </c>
      <c r="L284" s="468" t="n">
        <v>0</v>
      </c>
    </row>
    <row r="285" customFormat="false" ht="12.75" hidden="false" customHeight="false" outlineLevel="0" collapsed="false">
      <c r="A285" s="608" t="n">
        <f aca="false">+A284+1</f>
        <v>281</v>
      </c>
      <c r="C285" s="636"/>
      <c r="D285" s="624"/>
      <c r="E285" s="468"/>
      <c r="F285" s="468"/>
      <c r="G285" s="468"/>
      <c r="H285" s="468"/>
      <c r="I285" s="468"/>
      <c r="J285" s="648"/>
      <c r="K285" s="468"/>
      <c r="L285" s="468"/>
    </row>
    <row r="286" customFormat="false" ht="12.75" hidden="false" customHeight="false" outlineLevel="0" collapsed="false">
      <c r="A286" s="608" t="n">
        <f aca="false">+A285+1</f>
        <v>282</v>
      </c>
      <c r="C286" s="636"/>
      <c r="D286" s="624"/>
      <c r="E286" s="468"/>
      <c r="F286" s="468"/>
      <c r="G286" s="468"/>
      <c r="H286" s="468"/>
      <c r="I286" s="468"/>
      <c r="J286" s="648"/>
      <c r="K286" s="468"/>
      <c r="L286" s="468"/>
    </row>
    <row r="287" customFormat="false" ht="12.75" hidden="false" customHeight="false" outlineLevel="0" collapsed="false">
      <c r="A287" s="608" t="n">
        <f aca="false">+A286+1</f>
        <v>283</v>
      </c>
      <c r="C287" s="636"/>
      <c r="D287" s="624"/>
      <c r="E287" s="468"/>
      <c r="F287" s="468"/>
      <c r="G287" s="468"/>
      <c r="H287" s="468"/>
      <c r="I287" s="468"/>
      <c r="J287" s="648"/>
      <c r="K287" s="468"/>
      <c r="L287" s="468"/>
    </row>
    <row r="288" customFormat="false" ht="12.75" hidden="false" customHeight="false" outlineLevel="0" collapsed="false">
      <c r="A288" s="608" t="n">
        <f aca="false">+A287+1</f>
        <v>284</v>
      </c>
      <c r="C288" s="636"/>
      <c r="D288" s="624"/>
      <c r="E288" s="468"/>
      <c r="F288" s="468"/>
      <c r="G288" s="468"/>
      <c r="H288" s="468"/>
      <c r="I288" s="468"/>
      <c r="J288" s="648"/>
      <c r="K288" s="468"/>
      <c r="L288" s="468"/>
    </row>
    <row r="289" customFormat="false" ht="12.75" hidden="false" customHeight="false" outlineLevel="0" collapsed="false">
      <c r="A289" s="608" t="n">
        <f aca="false">+A288+1</f>
        <v>285</v>
      </c>
      <c r="C289" s="636"/>
      <c r="D289" s="624"/>
      <c r="E289" s="468"/>
      <c r="F289" s="468"/>
      <c r="G289" s="468"/>
      <c r="H289" s="468"/>
      <c r="I289" s="468"/>
      <c r="J289" s="648"/>
      <c r="K289" s="468"/>
      <c r="L289" s="468"/>
    </row>
    <row r="290" customFormat="false" ht="12.75" hidden="false" customHeight="false" outlineLevel="0" collapsed="false">
      <c r="A290" s="608" t="n">
        <f aca="false">+A289+1</f>
        <v>286</v>
      </c>
      <c r="B290" s="538"/>
      <c r="C290" s="651" t="s">
        <v>1261</v>
      </c>
      <c r="D290" s="624"/>
      <c r="E290" s="474"/>
      <c r="F290" s="474"/>
      <c r="G290" s="474"/>
      <c r="H290" s="474"/>
      <c r="I290" s="474"/>
      <c r="J290" s="656"/>
      <c r="K290" s="474"/>
      <c r="L290" s="474"/>
    </row>
    <row r="291" customFormat="false" ht="12.75" hidden="false" customHeight="false" outlineLevel="0" collapsed="false">
      <c r="A291" s="608" t="n">
        <f aca="false">+A290+1</f>
        <v>287</v>
      </c>
      <c r="B291" s="538"/>
      <c r="C291" s="639" t="s">
        <v>431</v>
      </c>
      <c r="D291" s="624"/>
      <c r="E291" s="649" t="n">
        <f aca="false">SUBTOTAL(9,E284:E290)</f>
        <v>0</v>
      </c>
      <c r="F291" s="649" t="n">
        <f aca="false">SUBTOTAL(9,F284:F290)</f>
        <v>0</v>
      </c>
      <c r="G291" s="649" t="n">
        <f aca="false">SUBTOTAL(9,G284:G290)</f>
        <v>1160000</v>
      </c>
      <c r="H291" s="649" t="n">
        <f aca="false">SUBTOTAL(9,H284:H290)</f>
        <v>0</v>
      </c>
      <c r="I291" s="649" t="n">
        <f aca="false">SUBTOTAL(9,I284:I290)</f>
        <v>0</v>
      </c>
      <c r="J291" s="650"/>
      <c r="K291" s="649" t="n">
        <f aca="false">SUBTOTAL(9,K284:K290)</f>
        <v>0</v>
      </c>
      <c r="L291" s="649" t="n">
        <f aca="false">SUBTOTAL(9,L284:L290)</f>
        <v>0</v>
      </c>
    </row>
    <row r="292" customFormat="false" ht="12.75" hidden="false" customHeight="false" outlineLevel="0" collapsed="false">
      <c r="A292" s="608" t="n">
        <f aca="false">+A291+1</f>
        <v>288</v>
      </c>
      <c r="B292" s="635" t="s">
        <v>150</v>
      </c>
      <c r="C292" s="642"/>
      <c r="D292" s="624"/>
      <c r="E292" s="449"/>
      <c r="F292" s="449"/>
      <c r="G292" s="449"/>
      <c r="H292" s="449"/>
      <c r="I292" s="449"/>
      <c r="J292" s="643"/>
      <c r="K292" s="449"/>
      <c r="L292" s="449"/>
    </row>
    <row r="293" customFormat="false" ht="12.75" hidden="false" customHeight="false" outlineLevel="0" collapsed="false">
      <c r="A293" s="608" t="n">
        <f aca="false">+A292+1</f>
        <v>289</v>
      </c>
      <c r="C293" s="657" t="s">
        <v>806</v>
      </c>
      <c r="D293" s="624"/>
      <c r="E293" s="474"/>
      <c r="F293" s="474"/>
      <c r="G293" s="474"/>
      <c r="H293" s="474"/>
      <c r="I293" s="474"/>
      <c r="J293" s="656"/>
      <c r="K293" s="474"/>
      <c r="L293" s="474"/>
    </row>
    <row r="294" customFormat="false" ht="12.75" hidden="false" customHeight="false" outlineLevel="0" collapsed="false">
      <c r="A294" s="608" t="n">
        <f aca="false">+A293+1</f>
        <v>290</v>
      </c>
      <c r="C294" s="657" t="s">
        <v>818</v>
      </c>
      <c r="D294" s="624"/>
      <c r="E294" s="342" t="n">
        <v>0.1</v>
      </c>
      <c r="F294" s="342" t="n">
        <v>4.1</v>
      </c>
      <c r="G294" s="342" t="n">
        <v>4.1</v>
      </c>
      <c r="H294" s="342" t="n">
        <v>5.1</v>
      </c>
      <c r="I294" s="342" t="n">
        <v>5.1</v>
      </c>
      <c r="J294" s="658"/>
      <c r="K294" s="342"/>
      <c r="L294" s="342"/>
    </row>
    <row r="295" customFormat="false" ht="12.75" hidden="false" customHeight="false" outlineLevel="0" collapsed="false">
      <c r="A295" s="608" t="n">
        <f aca="false">+A294+1</f>
        <v>291</v>
      </c>
      <c r="C295" s="657" t="s">
        <v>1262</v>
      </c>
      <c r="D295" s="624"/>
      <c r="E295" s="474"/>
      <c r="F295" s="474"/>
      <c r="G295" s="474"/>
      <c r="H295" s="474"/>
      <c r="I295" s="474"/>
      <c r="J295" s="656"/>
      <c r="K295" s="474"/>
      <c r="L295" s="474"/>
    </row>
    <row r="296" customFormat="false" ht="12.75" hidden="false" customHeight="false" outlineLevel="0" collapsed="false">
      <c r="A296" s="608" t="n">
        <f aca="false">+A295+1</f>
        <v>292</v>
      </c>
      <c r="B296" s="659"/>
      <c r="C296" s="636"/>
      <c r="D296" s="624"/>
      <c r="E296" s="474"/>
      <c r="F296" s="474"/>
      <c r="G296" s="474"/>
      <c r="H296" s="474"/>
      <c r="I296" s="474"/>
      <c r="J296" s="656"/>
      <c r="K296" s="474"/>
      <c r="L296" s="474"/>
    </row>
    <row r="297" customFormat="false" ht="12.75" hidden="false" customHeight="false" outlineLevel="0" collapsed="false">
      <c r="A297" s="608" t="n">
        <f aca="false">+A296+1</f>
        <v>293</v>
      </c>
      <c r="B297" s="561"/>
      <c r="C297" s="642" t="s">
        <v>431</v>
      </c>
      <c r="D297" s="624"/>
      <c r="E297" s="596" t="n">
        <f aca="false">SUBTOTAL(9,E293:E296)</f>
        <v>0.1</v>
      </c>
      <c r="F297" s="596" t="n">
        <f aca="false">SUBTOTAL(9,F293:F296)</f>
        <v>4.1</v>
      </c>
      <c r="G297" s="596" t="n">
        <f aca="false">SUBTOTAL(9,G293:G296)</f>
        <v>4.1</v>
      </c>
      <c r="H297" s="596" t="n">
        <f aca="false">SUBTOTAL(9,H293:H296)</f>
        <v>5.1</v>
      </c>
      <c r="I297" s="596" t="n">
        <f aca="false">SUBTOTAL(9,I293:I296)</f>
        <v>5.1</v>
      </c>
      <c r="J297" s="558"/>
      <c r="K297" s="596" t="n">
        <f aca="false">SUBTOTAL(9,K293:K296)</f>
        <v>0</v>
      </c>
      <c r="L297" s="596" t="n">
        <f aca="false">SUBTOTAL(9,L293:L296)</f>
        <v>0</v>
      </c>
    </row>
    <row r="298" customFormat="false" ht="12.75" hidden="false" customHeight="false" outlineLevel="0" collapsed="false">
      <c r="A298" s="608" t="n">
        <f aca="false">+A297+1</f>
        <v>294</v>
      </c>
      <c r="B298" s="635" t="s">
        <v>1263</v>
      </c>
      <c r="C298" s="642"/>
      <c r="D298" s="624"/>
      <c r="E298" s="449"/>
      <c r="F298" s="449"/>
      <c r="G298" s="449"/>
      <c r="H298" s="449"/>
      <c r="I298" s="449"/>
      <c r="J298" s="643"/>
      <c r="K298" s="449"/>
      <c r="L298" s="449"/>
    </row>
    <row r="299" customFormat="false" ht="12.75" hidden="false" customHeight="false" outlineLevel="0" collapsed="false">
      <c r="A299" s="608" t="n">
        <f aca="false">+A298+1</f>
        <v>295</v>
      </c>
      <c r="C299" s="636" t="s">
        <v>1117</v>
      </c>
      <c r="D299" s="624"/>
      <c r="E299" s="637" t="n">
        <v>0</v>
      </c>
      <c r="F299" s="637" t="n">
        <f aca="false">IF(F8=0,0,'GT schd cost(7EA)'!$X$10*1000)</f>
        <v>0</v>
      </c>
      <c r="G299" s="637" t="n">
        <f aca="false">IF(G8=0,0,'GT schd cost(7FA)'!$X$10*1000)</f>
        <v>5238380</v>
      </c>
      <c r="H299" s="637" t="n">
        <f aca="false">IF(H8=0,0,'GT schd cost(W501D5)'!$X$10*1000)</f>
        <v>0</v>
      </c>
      <c r="I299" s="637" t="n">
        <f aca="false">IF(I8=0,0,'GT schd cost(W501D5)'!$X$10*1000)</f>
        <v>0</v>
      </c>
      <c r="J299" s="638"/>
      <c r="K299" s="637" t="n">
        <f aca="false">'GT schd cost(6B)'!$X$11*1000</f>
        <v>0</v>
      </c>
      <c r="L299" s="638"/>
    </row>
    <row r="300" customFormat="false" ht="12.75" hidden="false" customHeight="false" outlineLevel="0" collapsed="false">
      <c r="A300" s="608" t="n">
        <f aca="false">+A299+1</f>
        <v>296</v>
      </c>
      <c r="B300" s="538"/>
      <c r="C300" s="636" t="s">
        <v>1119</v>
      </c>
      <c r="D300" s="624"/>
      <c r="E300" s="637" t="n">
        <v>0</v>
      </c>
      <c r="F300" s="637" t="n">
        <f aca="false">IF(F8=0,0,'GT schd cost(7EA)'!$X$32*1000)</f>
        <v>0</v>
      </c>
      <c r="G300" s="637" t="n">
        <f aca="false">IF(G8=0,0,'GT schd cost(7FA)'!$X$32*1000)</f>
        <v>100023570.684</v>
      </c>
      <c r="H300" s="637" t="n">
        <f aca="false">IF(H8=0,0,'GT schd cost(W501D5)'!$X$61*1000)</f>
        <v>0</v>
      </c>
      <c r="I300" s="637" t="n">
        <f aca="false">IF(I8=0,0,'GT schd cost(W501D5)'!$X$61*1000)</f>
        <v>0</v>
      </c>
      <c r="J300" s="638"/>
      <c r="K300" s="637" t="n">
        <f aca="false">'GT schd cost(6B)'!$X$33*1000</f>
        <v>1961532</v>
      </c>
      <c r="L300" s="638"/>
    </row>
    <row r="301" customFormat="false" ht="12.75" hidden="false" customHeight="false" outlineLevel="0" collapsed="false">
      <c r="A301" s="608" t="n">
        <f aca="false">+A300+1</f>
        <v>297</v>
      </c>
      <c r="B301" s="538"/>
      <c r="C301" s="636" t="s">
        <v>1121</v>
      </c>
      <c r="D301" s="624"/>
      <c r="E301" s="637" t="n">
        <v>0</v>
      </c>
      <c r="F301" s="637" t="n">
        <f aca="false">IF(F8=0,0,'GT schd cost(7EA)'!$X$52*1000)</f>
        <v>0</v>
      </c>
      <c r="G301" s="637" t="n">
        <f aca="false">IF(G8=0,0,'GT schd cost(7FA)'!$X$52*1000)</f>
        <v>35810338.4464</v>
      </c>
      <c r="H301" s="637" t="n">
        <f aca="false">IF(H8=0,0,'GT schd cost(W501D5)'!$X$35*1000)</f>
        <v>0</v>
      </c>
      <c r="I301" s="637" t="n">
        <f aca="false">IF(I8=0,0,'GT schd cost(W501D5)'!$X$35*1000)</f>
        <v>0</v>
      </c>
      <c r="J301" s="638"/>
      <c r="K301" s="637" t="n">
        <f aca="false">'GT schd cost(6B)'!$X$53*1000</f>
        <v>0</v>
      </c>
      <c r="L301" s="638"/>
    </row>
    <row r="302" customFormat="false" ht="12.75" hidden="false" customHeight="false" outlineLevel="0" collapsed="false">
      <c r="A302" s="608" t="n">
        <f aca="false">+A301+1</f>
        <v>298</v>
      </c>
      <c r="B302" s="538"/>
      <c r="C302" s="636" t="s">
        <v>1264</v>
      </c>
      <c r="D302" s="624"/>
      <c r="E302" s="637" t="n">
        <f aca="false">IF(E8=0,0,'GT sched cost (LM6000)'!$W$28)</f>
        <v>0</v>
      </c>
      <c r="F302" s="637" t="n">
        <v>0</v>
      </c>
      <c r="G302" s="637" t="n">
        <v>0</v>
      </c>
      <c r="H302" s="637" t="n">
        <v>0</v>
      </c>
      <c r="I302" s="637" t="n">
        <v>0</v>
      </c>
      <c r="J302" s="638"/>
      <c r="K302" s="637" t="n">
        <v>0</v>
      </c>
      <c r="L302" s="638"/>
    </row>
    <row r="303" customFormat="false" ht="12.75" hidden="false" customHeight="false" outlineLevel="0" collapsed="false">
      <c r="A303" s="608" t="n">
        <f aca="false">+A302+1</f>
        <v>299</v>
      </c>
      <c r="B303" s="538"/>
      <c r="C303" s="636" t="s">
        <v>1156</v>
      </c>
      <c r="D303" s="624"/>
      <c r="E303" s="637" t="n">
        <v>0</v>
      </c>
      <c r="F303" s="637" t="n">
        <v>0</v>
      </c>
      <c r="G303" s="637" t="n">
        <v>0</v>
      </c>
      <c r="H303" s="637" t="n">
        <v>0</v>
      </c>
      <c r="I303" s="637" t="n">
        <v>0</v>
      </c>
      <c r="J303" s="638"/>
      <c r="K303" s="637" t="n">
        <v>0</v>
      </c>
      <c r="L303" s="638"/>
    </row>
    <row r="304" customFormat="false" ht="12.75" hidden="false" customHeight="false" outlineLevel="0" collapsed="false">
      <c r="A304" s="608" t="n">
        <f aca="false">+A303+1</f>
        <v>300</v>
      </c>
      <c r="B304" s="538"/>
      <c r="C304" s="639" t="s">
        <v>431</v>
      </c>
      <c r="D304" s="624"/>
      <c r="E304" s="649" t="n">
        <f aca="false">SUBTOTAL(9,E299:E303)</f>
        <v>0</v>
      </c>
      <c r="F304" s="649" t="n">
        <f aca="false">SUBTOTAL(9,F299:F303)</f>
        <v>0</v>
      </c>
      <c r="G304" s="649" t="n">
        <f aca="false">SUBTOTAL(9,G299:G303)</f>
        <v>141072289.1304</v>
      </c>
      <c r="H304" s="649" t="n">
        <f aca="false">SUBTOTAL(9,H299:H303)</f>
        <v>0</v>
      </c>
      <c r="I304" s="649" t="n">
        <f aca="false">SUBTOTAL(9,I299:I303)</f>
        <v>0</v>
      </c>
      <c r="J304" s="650"/>
      <c r="K304" s="649" t="n">
        <f aca="false">SUBTOTAL(9,K299:K303)</f>
        <v>1961532</v>
      </c>
      <c r="L304" s="650"/>
    </row>
    <row r="305" customFormat="false" ht="12.75" hidden="false" customHeight="false" outlineLevel="0" collapsed="false">
      <c r="A305" s="608" t="n">
        <f aca="false">+A304+1</f>
        <v>301</v>
      </c>
      <c r="B305" s="635" t="s">
        <v>173</v>
      </c>
      <c r="C305" s="642"/>
      <c r="D305" s="624"/>
      <c r="E305" s="449"/>
      <c r="F305" s="449"/>
      <c r="G305" s="449"/>
      <c r="H305" s="449"/>
      <c r="I305" s="449"/>
      <c r="J305" s="643"/>
      <c r="K305" s="449"/>
      <c r="L305" s="449"/>
    </row>
    <row r="306" customFormat="false" ht="12.75" hidden="false" customHeight="false" outlineLevel="0" collapsed="false">
      <c r="A306" s="608" t="n">
        <f aca="false">+A305+1</f>
        <v>302</v>
      </c>
      <c r="C306" s="636" t="s">
        <v>1265</v>
      </c>
      <c r="D306" s="624"/>
      <c r="E306" s="637" t="n">
        <v>0</v>
      </c>
      <c r="F306" s="637" t="n">
        <v>0</v>
      </c>
      <c r="G306" s="637" t="n">
        <v>0</v>
      </c>
      <c r="H306" s="637" t="n">
        <v>0</v>
      </c>
      <c r="I306" s="637" t="n">
        <v>0</v>
      </c>
      <c r="J306" s="638"/>
      <c r="K306" s="637" t="n">
        <v>0</v>
      </c>
      <c r="L306" s="637" t="n">
        <v>0</v>
      </c>
    </row>
    <row r="307" customFormat="false" ht="12.75" hidden="false" customHeight="false" outlineLevel="0" collapsed="false">
      <c r="A307" s="608" t="n">
        <f aca="false">+A306+1</f>
        <v>303</v>
      </c>
      <c r="B307" s="538"/>
      <c r="C307" s="657" t="s">
        <v>1156</v>
      </c>
      <c r="D307" s="624"/>
      <c r="E307" s="637" t="n">
        <v>0</v>
      </c>
      <c r="F307" s="637" t="n">
        <v>0</v>
      </c>
      <c r="G307" s="637" t="n">
        <v>0</v>
      </c>
      <c r="H307" s="637" t="n">
        <v>0</v>
      </c>
      <c r="I307" s="637" t="n">
        <v>0</v>
      </c>
      <c r="J307" s="638"/>
      <c r="K307" s="637" t="n">
        <v>0</v>
      </c>
      <c r="L307" s="637" t="n">
        <v>0</v>
      </c>
    </row>
    <row r="308" customFormat="false" ht="12.75" hidden="false" customHeight="false" outlineLevel="0" collapsed="false">
      <c r="A308" s="608" t="n">
        <f aca="false">+A307+1</f>
        <v>304</v>
      </c>
      <c r="B308" s="561"/>
      <c r="C308" s="639" t="s">
        <v>431</v>
      </c>
      <c r="D308" s="624"/>
      <c r="E308" s="649" t="n">
        <f aca="false">SUBTOTAL(9,E306)</f>
        <v>0</v>
      </c>
      <c r="F308" s="649" t="n">
        <f aca="false">SUBTOTAL(9,F306)</f>
        <v>0</v>
      </c>
      <c r="G308" s="649" t="n">
        <f aca="false">SUBTOTAL(9,G306)</f>
        <v>0</v>
      </c>
      <c r="H308" s="649" t="n">
        <f aca="false">SUBTOTAL(9,H306)</f>
        <v>0</v>
      </c>
      <c r="I308" s="649" t="n">
        <f aca="false">SUBTOTAL(9,I306)</f>
        <v>0</v>
      </c>
      <c r="J308" s="650"/>
      <c r="K308" s="649" t="n">
        <f aca="false">SUBTOTAL(9,K306)</f>
        <v>0</v>
      </c>
      <c r="L308" s="649" t="n">
        <f aca="false">SUBTOTAL(9,L306)</f>
        <v>0</v>
      </c>
    </row>
    <row r="309" customFormat="false" ht="12.75" hidden="false" customHeight="false" outlineLevel="0" collapsed="false">
      <c r="A309" s="608" t="n">
        <f aca="false">+A308+1</f>
        <v>305</v>
      </c>
      <c r="B309" s="635" t="s">
        <v>1123</v>
      </c>
      <c r="C309" s="642"/>
      <c r="D309" s="624"/>
      <c r="E309" s="449"/>
      <c r="F309" s="449"/>
      <c r="G309" s="449"/>
      <c r="H309" s="449"/>
      <c r="I309" s="449"/>
      <c r="J309" s="643"/>
      <c r="K309" s="449"/>
      <c r="L309" s="449"/>
    </row>
    <row r="310" customFormat="false" ht="12.75" hidden="false" customHeight="false" outlineLevel="0" collapsed="false">
      <c r="A310" s="608" t="n">
        <f aca="false">+A309+1</f>
        <v>306</v>
      </c>
      <c r="B310" s="538"/>
      <c r="C310" s="660" t="s">
        <v>1266</v>
      </c>
      <c r="D310" s="624"/>
      <c r="E310" s="661" t="n">
        <f aca="false">IF(AND(F8=0,G8=0,H8=0),IF(E8=0,0,0.1*Mob_Estimate!D37),0)</f>
        <v>0</v>
      </c>
      <c r="F310" s="661" t="n">
        <f aca="false">IF(F8=0,0,0.1*Mob_Estimate!D37)</f>
        <v>0</v>
      </c>
      <c r="G310" s="661" t="n">
        <f aca="false">IF(F8=0,IF(G8=0,0,0.1*Mob_Estimate!D37),0)</f>
        <v>26055.5222919563</v>
      </c>
      <c r="H310" s="661" t="n">
        <f aca="false">IF(AND(G8=0,F8=0),IF(H8=0,0,0.1*Mob_Estimate!D37),0)</f>
        <v>0</v>
      </c>
      <c r="I310" s="661" t="n">
        <f aca="false">IF(AND(H8=0,G8=0),IF(I8=0,0,0.1*Mob_Estimate!D37),0)</f>
        <v>0</v>
      </c>
      <c r="J310" s="662"/>
      <c r="K310" s="661" t="n">
        <f aca="false">IF(AND(J8=0,I8=0),IF(K8=0,0,0.1*Mob_Estimate!D37),0)</f>
        <v>0</v>
      </c>
      <c r="L310" s="661" t="n">
        <f aca="false">IF(AND(K8=0,J8=0),IF(L8=0,0,0.1*Mob_Estimate!D37),0)</f>
        <v>0</v>
      </c>
    </row>
    <row r="311" customFormat="false" ht="12.75" hidden="false" customHeight="false" outlineLevel="0" collapsed="false">
      <c r="A311" s="608" t="n">
        <f aca="false">+A310+1</f>
        <v>307</v>
      </c>
      <c r="B311" s="538"/>
      <c r="C311" s="636" t="s">
        <v>1156</v>
      </c>
      <c r="D311" s="624"/>
      <c r="E311" s="474"/>
      <c r="F311" s="474"/>
      <c r="G311" s="474"/>
      <c r="H311" s="474"/>
      <c r="I311" s="474"/>
      <c r="J311" s="656"/>
      <c r="K311" s="474"/>
      <c r="L311" s="474"/>
    </row>
    <row r="312" customFormat="false" ht="12.75" hidden="false" customHeight="false" outlineLevel="0" collapsed="false">
      <c r="A312" s="608" t="n">
        <f aca="false">+A311+1</f>
        <v>308</v>
      </c>
      <c r="B312" s="538"/>
      <c r="C312" s="639" t="s">
        <v>431</v>
      </c>
      <c r="D312" s="624"/>
      <c r="E312" s="649" t="n">
        <f aca="false">SUBTOTAL(9,E310:E311)</f>
        <v>0</v>
      </c>
      <c r="F312" s="649" t="n">
        <f aca="false">SUBTOTAL(9,F310:F311)</f>
        <v>0</v>
      </c>
      <c r="G312" s="649" t="n">
        <f aca="false">SUBTOTAL(9,G310:G311)</f>
        <v>26055.5222919563</v>
      </c>
      <c r="H312" s="649" t="n">
        <f aca="false">SUBTOTAL(9,H310:H311)</f>
        <v>0</v>
      </c>
      <c r="I312" s="649" t="n">
        <f aca="false">SUBTOTAL(9,I310:I311)</f>
        <v>0</v>
      </c>
      <c r="J312" s="650"/>
      <c r="K312" s="649" t="n">
        <f aca="false">SUBTOTAL(9,K310:K311)</f>
        <v>0</v>
      </c>
      <c r="L312" s="649" t="n">
        <f aca="false">SUBTOTAL(9,L310:L311)</f>
        <v>0</v>
      </c>
    </row>
    <row r="313" customFormat="false" ht="12.75" hidden="false" customHeight="false" outlineLevel="0" collapsed="false">
      <c r="A313" s="608" t="n">
        <f aca="false">+A312+1</f>
        <v>309</v>
      </c>
      <c r="B313" s="635" t="s">
        <v>1125</v>
      </c>
      <c r="C313" s="642"/>
      <c r="D313" s="624"/>
      <c r="E313" s="449"/>
      <c r="F313" s="449"/>
      <c r="G313" s="449"/>
      <c r="H313" s="449"/>
      <c r="I313" s="449"/>
      <c r="J313" s="643"/>
      <c r="K313" s="449"/>
      <c r="L313" s="449"/>
    </row>
    <row r="314" customFormat="false" ht="12.75" hidden="false" customHeight="false" outlineLevel="0" collapsed="false">
      <c r="A314" s="608" t="n">
        <f aca="false">+A313+1</f>
        <v>310</v>
      </c>
      <c r="C314" s="636" t="s">
        <v>1267</v>
      </c>
      <c r="D314" s="624"/>
      <c r="E314" s="449"/>
      <c r="F314" s="449"/>
      <c r="G314" s="449"/>
      <c r="H314" s="449"/>
      <c r="I314" s="449"/>
      <c r="J314" s="643"/>
      <c r="K314" s="449"/>
      <c r="L314" s="449"/>
    </row>
    <row r="315" customFormat="false" ht="12.75" hidden="false" customHeight="false" outlineLevel="0" collapsed="false">
      <c r="A315" s="608" t="n">
        <f aca="false">+A314+1</f>
        <v>311</v>
      </c>
      <c r="C315" s="636" t="s">
        <v>1268</v>
      </c>
      <c r="D315" s="624"/>
      <c r="E315" s="637" t="n">
        <f aca="false">3/15*1.5*20000</f>
        <v>6000</v>
      </c>
      <c r="F315" s="637" t="n">
        <f aca="false">3/15*1.5*20000</f>
        <v>6000</v>
      </c>
      <c r="G315" s="637" t="n">
        <f aca="false">3/15*1.5*20000</f>
        <v>6000</v>
      </c>
      <c r="H315" s="637" t="n">
        <f aca="false">3/15*1.5*20000</f>
        <v>6000</v>
      </c>
      <c r="I315" s="637" t="n">
        <f aca="false">3/15*1.5*20000</f>
        <v>6000</v>
      </c>
      <c r="J315" s="638"/>
      <c r="K315" s="637" t="n">
        <f aca="false">3/15*1.5*20000</f>
        <v>6000</v>
      </c>
      <c r="L315" s="637" t="n">
        <v>0</v>
      </c>
    </row>
    <row r="316" customFormat="false" ht="12.75" hidden="false" customHeight="false" outlineLevel="0" collapsed="false">
      <c r="A316" s="608" t="n">
        <f aca="false">+A315+1</f>
        <v>312</v>
      </c>
      <c r="C316" s="636" t="s">
        <v>1269</v>
      </c>
      <c r="D316" s="624"/>
      <c r="E316" s="637"/>
      <c r="F316" s="637"/>
      <c r="G316" s="637"/>
      <c r="H316" s="637"/>
      <c r="I316" s="637"/>
      <c r="J316" s="638"/>
      <c r="K316" s="637"/>
      <c r="L316" s="637"/>
    </row>
    <row r="317" customFormat="false" ht="12.75" hidden="false" customHeight="false" outlineLevel="0" collapsed="false">
      <c r="A317" s="608" t="n">
        <f aca="false">+A316+1</f>
        <v>313</v>
      </c>
      <c r="C317" s="636" t="s">
        <v>1270</v>
      </c>
      <c r="D317" s="624"/>
      <c r="E317" s="637" t="n">
        <f aca="false">2/10*1.5*20*365</f>
        <v>2190</v>
      </c>
      <c r="F317" s="637" t="n">
        <f aca="false">2/10*1.5*20*365</f>
        <v>2190</v>
      </c>
      <c r="G317" s="637" t="n">
        <f aca="false">2/10*1.5*20*365</f>
        <v>2190</v>
      </c>
      <c r="H317" s="637" t="n">
        <f aca="false">2/10*1.5*20*365</f>
        <v>2190</v>
      </c>
      <c r="I317" s="637" t="n">
        <f aca="false">2/10*1.5*20*365</f>
        <v>2190</v>
      </c>
      <c r="J317" s="638"/>
      <c r="K317" s="637" t="n">
        <f aca="false">2/10*1.5*20*365</f>
        <v>2190</v>
      </c>
      <c r="L317" s="637" t="n">
        <v>0</v>
      </c>
    </row>
    <row r="318" customFormat="false" ht="12.75" hidden="false" customHeight="false" outlineLevel="0" collapsed="false">
      <c r="A318" s="608" t="n">
        <f aca="false">+A317+1</f>
        <v>314</v>
      </c>
      <c r="C318" s="636" t="s">
        <v>1271</v>
      </c>
      <c r="D318" s="624"/>
      <c r="E318" s="637"/>
      <c r="F318" s="637"/>
      <c r="G318" s="637"/>
      <c r="H318" s="637"/>
      <c r="I318" s="637"/>
      <c r="J318" s="638"/>
      <c r="K318" s="637"/>
      <c r="L318" s="637"/>
    </row>
    <row r="319" customFormat="false" ht="12.75" hidden="false" customHeight="false" outlineLevel="0" collapsed="false">
      <c r="A319" s="608" t="n">
        <f aca="false">+A318+1</f>
        <v>315</v>
      </c>
      <c r="C319" s="636" t="s">
        <v>1272</v>
      </c>
      <c r="D319" s="624"/>
      <c r="E319" s="637" t="n">
        <f aca="false">2*2*1.5*2*365</f>
        <v>4380</v>
      </c>
      <c r="F319" s="637" t="n">
        <f aca="false">2*2*1.5*2*365</f>
        <v>4380</v>
      </c>
      <c r="G319" s="637" t="n">
        <f aca="false">2*2*1.5*2*365</f>
        <v>4380</v>
      </c>
      <c r="H319" s="637" t="n">
        <f aca="false">2*2*1.5*2*365</f>
        <v>4380</v>
      </c>
      <c r="I319" s="637" t="n">
        <f aca="false">2*2*1.5*2*365</f>
        <v>4380</v>
      </c>
      <c r="J319" s="638"/>
      <c r="K319" s="637" t="n">
        <f aca="false">2*2*1.5*2*365</f>
        <v>4380</v>
      </c>
      <c r="L319" s="637" t="n">
        <v>0</v>
      </c>
    </row>
    <row r="320" customFormat="false" ht="12.75" hidden="false" customHeight="false" outlineLevel="0" collapsed="false">
      <c r="A320" s="608" t="n">
        <f aca="false">+A319+1</f>
        <v>316</v>
      </c>
      <c r="C320" s="636" t="s">
        <v>1273</v>
      </c>
      <c r="D320" s="624"/>
      <c r="E320" s="637"/>
      <c r="F320" s="637"/>
      <c r="G320" s="637"/>
      <c r="H320" s="637"/>
      <c r="I320" s="637"/>
      <c r="J320" s="638"/>
      <c r="K320" s="637"/>
      <c r="L320" s="637"/>
    </row>
    <row r="321" customFormat="false" ht="12.75" hidden="false" customHeight="false" outlineLevel="0" collapsed="false">
      <c r="A321" s="608" t="n">
        <f aca="false">+A320+1</f>
        <v>317</v>
      </c>
      <c r="C321" s="636" t="s">
        <v>1274</v>
      </c>
      <c r="D321" s="624"/>
      <c r="E321" s="637" t="n">
        <v>0</v>
      </c>
      <c r="F321" s="637" t="n">
        <v>0</v>
      </c>
      <c r="G321" s="637" t="n">
        <v>0</v>
      </c>
      <c r="H321" s="637" t="n">
        <v>0</v>
      </c>
      <c r="I321" s="637" t="n">
        <v>0</v>
      </c>
      <c r="J321" s="638"/>
      <c r="K321" s="637" t="n">
        <v>0</v>
      </c>
      <c r="L321" s="637" t="n">
        <v>0</v>
      </c>
    </row>
    <row r="322" customFormat="false" ht="12.75" hidden="false" customHeight="false" outlineLevel="0" collapsed="false">
      <c r="A322" s="608" t="n">
        <f aca="false">+A321+1</f>
        <v>318</v>
      </c>
      <c r="C322" s="636" t="s">
        <v>1275</v>
      </c>
      <c r="D322" s="624"/>
      <c r="E322" s="637"/>
      <c r="F322" s="637"/>
      <c r="G322" s="637"/>
      <c r="H322" s="637"/>
      <c r="I322" s="637"/>
      <c r="J322" s="638"/>
      <c r="K322" s="637"/>
      <c r="L322" s="637"/>
    </row>
    <row r="323" customFormat="false" ht="12.75" hidden="false" customHeight="false" outlineLevel="0" collapsed="false">
      <c r="A323" s="608" t="n">
        <f aca="false">+A322+1</f>
        <v>319</v>
      </c>
      <c r="C323" s="636" t="s">
        <v>1276</v>
      </c>
      <c r="D323" s="624"/>
      <c r="E323" s="637" t="n">
        <v>0</v>
      </c>
      <c r="F323" s="637" t="n">
        <v>0</v>
      </c>
      <c r="G323" s="637" t="n">
        <v>0</v>
      </c>
      <c r="H323" s="637" t="n">
        <v>4</v>
      </c>
      <c r="I323" s="637" t="n">
        <v>4</v>
      </c>
      <c r="J323" s="638"/>
      <c r="K323" s="637" t="n">
        <v>4</v>
      </c>
      <c r="L323" s="637" t="n">
        <v>0</v>
      </c>
    </row>
    <row r="324" customFormat="false" ht="12.75" hidden="false" customHeight="false" outlineLevel="0" collapsed="false">
      <c r="A324" s="608" t="n">
        <f aca="false">+A323+1</f>
        <v>320</v>
      </c>
      <c r="B324" s="538"/>
      <c r="C324" s="639" t="s">
        <v>431</v>
      </c>
      <c r="D324" s="624"/>
      <c r="E324" s="649" t="n">
        <f aca="false">SUM(E315:E323)</f>
        <v>12570</v>
      </c>
      <c r="F324" s="649" t="n">
        <f aca="false">SUM(F315:F323)</f>
        <v>12570</v>
      </c>
      <c r="G324" s="649" t="n">
        <f aca="false">SUM(G315:G323)</f>
        <v>12570</v>
      </c>
      <c r="H324" s="649" t="n">
        <f aca="false">SUM(H315:H323)</f>
        <v>12574</v>
      </c>
      <c r="I324" s="649" t="n">
        <f aca="false">SUM(I315:I323)</f>
        <v>12574</v>
      </c>
      <c r="J324" s="650"/>
      <c r="K324" s="649" t="n">
        <f aca="false">SUM(K315:K323)</f>
        <v>12574</v>
      </c>
      <c r="L324" s="649" t="n">
        <f aca="false">SUM(L315:L323)</f>
        <v>0</v>
      </c>
    </row>
    <row r="325" customFormat="false" ht="12.75" hidden="false" customHeight="false" outlineLevel="0" collapsed="false">
      <c r="A325" s="608" t="n">
        <f aca="false">+A324+1</f>
        <v>321</v>
      </c>
      <c r="B325" s="663"/>
      <c r="C325" s="636"/>
      <c r="D325" s="624"/>
      <c r="E325" s="449"/>
    </row>
    <row r="326" customFormat="false" ht="12.75" hidden="false" customHeight="false" outlineLevel="0" collapsed="false">
      <c r="A326" s="608" t="n">
        <f aca="false">+A325+1</f>
        <v>322</v>
      </c>
      <c r="B326" s="538"/>
      <c r="C326" s="652" t="s">
        <v>1277</v>
      </c>
      <c r="D326" s="624"/>
      <c r="E326" s="664" t="n">
        <v>45</v>
      </c>
      <c r="F326" s="664" t="n">
        <v>85</v>
      </c>
      <c r="G326" s="664" t="n">
        <v>170</v>
      </c>
      <c r="H326" s="664" t="n">
        <v>100</v>
      </c>
      <c r="I326" s="664" t="n">
        <v>120</v>
      </c>
      <c r="J326" s="665"/>
      <c r="K326" s="664" t="n">
        <v>35</v>
      </c>
      <c r="L326" s="664" t="n">
        <v>450</v>
      </c>
    </row>
    <row r="327" customFormat="false" ht="12.75" hidden="false" customHeight="false" outlineLevel="0" collapsed="false">
      <c r="A327" s="608" t="n">
        <f aca="false">+A326+1</f>
        <v>323</v>
      </c>
      <c r="B327" s="635"/>
      <c r="C327" s="642"/>
      <c r="D327" s="624"/>
      <c r="E327" s="449"/>
    </row>
    <row r="328" customFormat="false" ht="12.75" hidden="false" customHeight="false" outlineLevel="0" collapsed="false">
      <c r="A328" s="608" t="n">
        <f aca="false">+A327+1</f>
        <v>324</v>
      </c>
      <c r="B328" s="538"/>
      <c r="C328" s="636"/>
      <c r="D328" s="624"/>
      <c r="E328" s="449"/>
    </row>
    <row r="329" customFormat="false" ht="12.75" hidden="false" customHeight="false" outlineLevel="0" collapsed="false">
      <c r="A329" s="608" t="n">
        <f aca="false">+A328+1</f>
        <v>325</v>
      </c>
      <c r="B329" s="538"/>
      <c r="C329" s="636"/>
      <c r="D329" s="624"/>
      <c r="E329" s="449"/>
    </row>
    <row r="330" customFormat="false" ht="12.75" hidden="false" customHeight="false" outlineLevel="0" collapsed="false">
      <c r="A330" s="608" t="n">
        <f aca="false">+A329+1</f>
        <v>326</v>
      </c>
      <c r="B330" s="538"/>
      <c r="C330" s="636"/>
      <c r="D330" s="624"/>
      <c r="E330" s="20"/>
    </row>
    <row r="331" customFormat="false" ht="12.75" hidden="false" customHeight="false" outlineLevel="0" collapsed="false">
      <c r="A331" s="608" t="n">
        <f aca="false">+A330+1</f>
        <v>327</v>
      </c>
      <c r="B331" s="538"/>
      <c r="C331" s="636"/>
      <c r="D331" s="624"/>
      <c r="E331" s="20"/>
    </row>
    <row r="332" customFormat="false" ht="12.75" hidden="false" customHeight="false" outlineLevel="0" collapsed="false">
      <c r="A332" s="608" t="n">
        <f aca="false">+A331+1</f>
        <v>328</v>
      </c>
      <c r="B332" s="538"/>
      <c r="C332" s="636"/>
      <c r="D332" s="624"/>
      <c r="E332" s="20"/>
    </row>
    <row r="333" customFormat="false" ht="12.75" hidden="false" customHeight="false" outlineLevel="0" collapsed="false">
      <c r="A333" s="608" t="n">
        <f aca="false">+A332+1</f>
        <v>329</v>
      </c>
      <c r="B333" s="538"/>
      <c r="C333" s="636"/>
      <c r="D333" s="624"/>
      <c r="E333" s="20"/>
    </row>
    <row r="334" customFormat="false" ht="12.75" hidden="false" customHeight="false" outlineLevel="0" collapsed="false">
      <c r="A334" s="608" t="n">
        <f aca="false">+A333+1</f>
        <v>330</v>
      </c>
      <c r="B334" s="538"/>
      <c r="C334" s="636"/>
      <c r="D334" s="624"/>
      <c r="E334" s="20"/>
    </row>
    <row r="335" customFormat="false" ht="12.75" hidden="false" customHeight="false" outlineLevel="0" collapsed="false">
      <c r="A335" s="608" t="n">
        <f aca="false">+A334+1</f>
        <v>331</v>
      </c>
      <c r="B335" s="538"/>
      <c r="C335" s="636"/>
      <c r="D335" s="624"/>
      <c r="E335" s="20"/>
    </row>
    <row r="336" customFormat="false" ht="12.75" hidden="false" customHeight="false" outlineLevel="0" collapsed="false">
      <c r="A336" s="608" t="n">
        <f aca="false">+A335+1</f>
        <v>332</v>
      </c>
      <c r="B336" s="538"/>
      <c r="C336" s="636"/>
      <c r="D336" s="624"/>
      <c r="E336" s="20"/>
    </row>
    <row r="337" customFormat="false" ht="12.75" hidden="false" customHeight="false" outlineLevel="0" collapsed="false">
      <c r="A337" s="608" t="n">
        <f aca="false">+A336+1</f>
        <v>333</v>
      </c>
      <c r="B337" s="538"/>
      <c r="C337" s="636"/>
      <c r="D337" s="624"/>
      <c r="E337" s="20"/>
    </row>
    <row r="338" customFormat="false" ht="12.75" hidden="false" customHeight="false" outlineLevel="0" collapsed="false">
      <c r="B338" s="538"/>
      <c r="C338" s="636"/>
      <c r="D338" s="624"/>
      <c r="E338" s="20"/>
    </row>
    <row r="339" customFormat="false" ht="12.75" hidden="false" customHeight="false" outlineLevel="0" collapsed="false">
      <c r="B339" s="538"/>
      <c r="C339" s="636"/>
      <c r="D339" s="624"/>
      <c r="E339" s="20"/>
    </row>
    <row r="340" customFormat="false" ht="12.75" hidden="false" customHeight="false" outlineLevel="0" collapsed="false">
      <c r="B340" s="538"/>
      <c r="C340" s="636"/>
      <c r="D340" s="624"/>
      <c r="E340" s="20"/>
    </row>
    <row r="341" customFormat="false" ht="12.75" hidden="false" customHeight="false" outlineLevel="0" collapsed="false">
      <c r="B341" s="538"/>
      <c r="C341" s="636"/>
      <c r="D341" s="624"/>
      <c r="E341" s="20"/>
    </row>
    <row r="342" customFormat="false" ht="12.75" hidden="false" customHeight="false" outlineLevel="0" collapsed="false">
      <c r="B342" s="538"/>
      <c r="C342" s="636"/>
      <c r="D342" s="624"/>
      <c r="E342" s="20"/>
    </row>
    <row r="343" customFormat="false" ht="12.75" hidden="false" customHeight="false" outlineLevel="0" collapsed="false">
      <c r="B343" s="538"/>
      <c r="C343" s="636"/>
      <c r="D343" s="624"/>
      <c r="E343" s="20"/>
    </row>
    <row r="344" customFormat="false" ht="12.75" hidden="false" customHeight="false" outlineLevel="0" collapsed="false">
      <c r="B344" s="538"/>
      <c r="C344" s="636"/>
      <c r="D344" s="624"/>
      <c r="E344" s="20"/>
    </row>
    <row r="345" customFormat="false" ht="12.75" hidden="false" customHeight="false" outlineLevel="0" collapsed="false">
      <c r="B345" s="538"/>
      <c r="C345" s="636"/>
      <c r="D345" s="624"/>
      <c r="E345" s="20"/>
    </row>
    <row r="346" customFormat="false" ht="12.75" hidden="false" customHeight="false" outlineLevel="0" collapsed="false">
      <c r="B346" s="538"/>
      <c r="C346" s="636"/>
      <c r="D346" s="624"/>
      <c r="E346" s="20"/>
    </row>
    <row r="347" customFormat="false" ht="12.75" hidden="false" customHeight="false" outlineLevel="0" collapsed="false">
      <c r="B347" s="538"/>
      <c r="C347" s="636"/>
      <c r="D347" s="624"/>
      <c r="E347" s="20"/>
    </row>
    <row r="348" customFormat="false" ht="12.75" hidden="false" customHeight="false" outlineLevel="0" collapsed="false">
      <c r="B348" s="538"/>
      <c r="C348" s="636"/>
      <c r="D348" s="624"/>
      <c r="E348" s="20"/>
    </row>
    <row r="349" customFormat="false" ht="12.75" hidden="false" customHeight="false" outlineLevel="0" collapsed="false">
      <c r="B349" s="538"/>
      <c r="C349" s="636"/>
      <c r="D349" s="624"/>
      <c r="E349" s="20"/>
    </row>
    <row r="350" customFormat="false" ht="12.75" hidden="false" customHeight="false" outlineLevel="0" collapsed="false">
      <c r="B350" s="538"/>
      <c r="C350" s="636"/>
      <c r="D350" s="624"/>
      <c r="E350" s="20"/>
    </row>
    <row r="351" customFormat="false" ht="12.75" hidden="false" customHeight="false" outlineLevel="0" collapsed="false">
      <c r="B351" s="538"/>
      <c r="C351" s="636"/>
      <c r="D351" s="624"/>
      <c r="E351" s="20"/>
    </row>
    <row r="352" customFormat="false" ht="12.75" hidden="false" customHeight="false" outlineLevel="0" collapsed="false">
      <c r="B352" s="538"/>
      <c r="C352" s="636"/>
      <c r="D352" s="624"/>
      <c r="E352" s="20"/>
    </row>
    <row r="353" customFormat="false" ht="12.75" hidden="false" customHeight="false" outlineLevel="0" collapsed="false">
      <c r="B353" s="538"/>
      <c r="C353" s="636"/>
      <c r="D353" s="624"/>
      <c r="E353" s="20"/>
    </row>
    <row r="354" customFormat="false" ht="12.75" hidden="false" customHeight="false" outlineLevel="0" collapsed="false">
      <c r="B354" s="538"/>
      <c r="C354" s="636"/>
      <c r="D354" s="624"/>
      <c r="E354" s="20"/>
    </row>
    <row r="355" customFormat="false" ht="12.75" hidden="false" customHeight="false" outlineLevel="0" collapsed="false">
      <c r="B355" s="538"/>
      <c r="C355" s="636"/>
      <c r="D355" s="624"/>
      <c r="E355" s="20"/>
    </row>
    <row r="356" customFormat="false" ht="12.75" hidden="false" customHeight="false" outlineLevel="0" collapsed="false">
      <c r="B356" s="538"/>
      <c r="C356" s="636"/>
      <c r="D356" s="624"/>
      <c r="E356" s="20"/>
    </row>
    <row r="357" customFormat="false" ht="12.75" hidden="false" customHeight="false" outlineLevel="0" collapsed="false">
      <c r="B357" s="538"/>
      <c r="C357" s="636"/>
      <c r="D357" s="624"/>
      <c r="E357" s="20"/>
    </row>
    <row r="358" customFormat="false" ht="12.75" hidden="false" customHeight="false" outlineLevel="0" collapsed="false">
      <c r="B358" s="538"/>
      <c r="C358" s="636"/>
      <c r="D358" s="624"/>
      <c r="E358" s="20"/>
    </row>
    <row r="359" customFormat="false" ht="12.75" hidden="false" customHeight="false" outlineLevel="0" collapsed="false">
      <c r="B359" s="538"/>
      <c r="C359" s="636"/>
      <c r="D359" s="624"/>
      <c r="E359" s="20"/>
    </row>
    <row r="360" customFormat="false" ht="12.75" hidden="false" customHeight="false" outlineLevel="0" collapsed="false">
      <c r="B360" s="538"/>
      <c r="C360" s="636"/>
      <c r="D360" s="624"/>
      <c r="E360" s="20"/>
    </row>
    <row r="361" customFormat="false" ht="12.75" hidden="false" customHeight="false" outlineLevel="0" collapsed="false">
      <c r="B361" s="538"/>
      <c r="C361" s="636"/>
      <c r="D361" s="624"/>
      <c r="E361" s="20"/>
    </row>
    <row r="362" customFormat="false" ht="12.75" hidden="false" customHeight="false" outlineLevel="0" collapsed="false">
      <c r="B362" s="538"/>
      <c r="C362" s="636"/>
      <c r="D362" s="624"/>
      <c r="E362" s="20"/>
    </row>
    <row r="363" customFormat="false" ht="12.75" hidden="false" customHeight="false" outlineLevel="0" collapsed="false">
      <c r="B363" s="538"/>
      <c r="C363" s="636"/>
      <c r="D363" s="624"/>
      <c r="E363" s="20"/>
    </row>
    <row r="364" customFormat="false" ht="12.75" hidden="false" customHeight="false" outlineLevel="0" collapsed="false">
      <c r="B364" s="538"/>
      <c r="C364" s="636"/>
      <c r="D364" s="624"/>
      <c r="E364" s="20"/>
    </row>
    <row r="365" customFormat="false" ht="12.75" hidden="false" customHeight="false" outlineLevel="0" collapsed="false">
      <c r="B365" s="538"/>
      <c r="C365" s="636"/>
      <c r="D365" s="624"/>
      <c r="E365" s="20"/>
    </row>
    <row r="366" customFormat="false" ht="12.75" hidden="false" customHeight="false" outlineLevel="0" collapsed="false">
      <c r="B366" s="538"/>
      <c r="C366" s="636"/>
      <c r="D366" s="624"/>
      <c r="E366" s="20"/>
    </row>
    <row r="367" customFormat="false" ht="12.75" hidden="false" customHeight="false" outlineLevel="0" collapsed="false">
      <c r="B367" s="538"/>
      <c r="C367" s="636"/>
      <c r="D367" s="624"/>
      <c r="E367" s="20"/>
    </row>
    <row r="368" customFormat="false" ht="12.75" hidden="false" customHeight="false" outlineLevel="0" collapsed="false">
      <c r="B368" s="538"/>
      <c r="C368" s="636"/>
      <c r="D368" s="624"/>
      <c r="E368" s="20"/>
    </row>
    <row r="369" customFormat="false" ht="12.75" hidden="false" customHeight="false" outlineLevel="0" collapsed="false">
      <c r="B369" s="538"/>
      <c r="C369" s="636"/>
      <c r="D369" s="624"/>
      <c r="E369" s="20"/>
    </row>
    <row r="370" customFormat="false" ht="12.75" hidden="false" customHeight="false" outlineLevel="0" collapsed="false">
      <c r="B370" s="538"/>
      <c r="C370" s="636"/>
      <c r="D370" s="624"/>
      <c r="E370" s="20"/>
    </row>
    <row r="371" customFormat="false" ht="12.75" hidden="false" customHeight="false" outlineLevel="0" collapsed="false">
      <c r="B371" s="538"/>
      <c r="C371" s="636"/>
      <c r="D371" s="624"/>
      <c r="E371" s="20"/>
    </row>
    <row r="372" customFormat="false" ht="12.75" hidden="false" customHeight="false" outlineLevel="0" collapsed="false">
      <c r="B372" s="538"/>
      <c r="C372" s="636"/>
      <c r="D372" s="624"/>
      <c r="E372" s="20"/>
    </row>
    <row r="373" customFormat="false" ht="12.75" hidden="false" customHeight="false" outlineLevel="0" collapsed="false">
      <c r="B373" s="538"/>
      <c r="C373" s="636"/>
      <c r="D373" s="624"/>
      <c r="E373" s="20"/>
    </row>
    <row r="374" customFormat="false" ht="12.75" hidden="false" customHeight="false" outlineLevel="0" collapsed="false">
      <c r="B374" s="538"/>
      <c r="C374" s="636"/>
      <c r="D374" s="624"/>
      <c r="E374" s="20"/>
    </row>
    <row r="375" customFormat="false" ht="12.75" hidden="false" customHeight="false" outlineLevel="0" collapsed="false">
      <c r="B375" s="538"/>
      <c r="C375" s="636"/>
      <c r="D375" s="624"/>
      <c r="E375" s="20"/>
    </row>
    <row r="376" customFormat="false" ht="12.75" hidden="false" customHeight="false" outlineLevel="0" collapsed="false">
      <c r="B376" s="538"/>
      <c r="C376" s="636"/>
      <c r="D376" s="624"/>
      <c r="E376" s="20"/>
    </row>
    <row r="377" customFormat="false" ht="12.75" hidden="false" customHeight="false" outlineLevel="0" collapsed="false">
      <c r="B377" s="538"/>
      <c r="C377" s="636"/>
      <c r="D377" s="624"/>
      <c r="E377" s="20"/>
    </row>
    <row r="378" customFormat="false" ht="12.75" hidden="false" customHeight="false" outlineLevel="0" collapsed="false">
      <c r="B378" s="538"/>
      <c r="C378" s="636"/>
      <c r="D378" s="624"/>
      <c r="E378" s="20"/>
    </row>
    <row r="379" customFormat="false" ht="12.75" hidden="false" customHeight="false" outlineLevel="0" collapsed="false">
      <c r="B379" s="538"/>
      <c r="C379" s="636"/>
      <c r="D379" s="624"/>
      <c r="E379" s="20"/>
    </row>
    <row r="380" customFormat="false" ht="12.75" hidden="false" customHeight="false" outlineLevel="0" collapsed="false">
      <c r="B380" s="538"/>
      <c r="C380" s="636"/>
      <c r="D380" s="624"/>
      <c r="E380" s="20"/>
    </row>
    <row r="381" customFormat="false" ht="12.75" hidden="false" customHeight="false" outlineLevel="0" collapsed="false">
      <c r="B381" s="538"/>
      <c r="C381" s="636"/>
      <c r="D381" s="624"/>
      <c r="E381" s="20"/>
    </row>
    <row r="382" customFormat="false" ht="12.75" hidden="false" customHeight="false" outlineLevel="0" collapsed="false">
      <c r="B382" s="538"/>
      <c r="C382" s="636"/>
      <c r="D382" s="624"/>
      <c r="E382" s="20"/>
    </row>
    <row r="383" customFormat="false" ht="12.75" hidden="false" customHeight="false" outlineLevel="0" collapsed="false">
      <c r="B383" s="538"/>
      <c r="C383" s="636"/>
      <c r="D383" s="624"/>
      <c r="E383" s="20"/>
    </row>
    <row r="384" customFormat="false" ht="12.75" hidden="false" customHeight="false" outlineLevel="0" collapsed="false">
      <c r="B384" s="538"/>
      <c r="C384" s="636"/>
      <c r="D384" s="624"/>
      <c r="E384" s="20"/>
    </row>
    <row r="385" customFormat="false" ht="12.75" hidden="false" customHeight="false" outlineLevel="0" collapsed="false">
      <c r="B385" s="538"/>
      <c r="C385" s="636"/>
      <c r="D385" s="624"/>
      <c r="E385" s="20"/>
    </row>
    <row r="386" customFormat="false" ht="12.75" hidden="false" customHeight="false" outlineLevel="0" collapsed="false">
      <c r="B386" s="538"/>
      <c r="C386" s="636"/>
      <c r="D386" s="624"/>
      <c r="E386" s="20"/>
    </row>
    <row r="387" customFormat="false" ht="12.75" hidden="false" customHeight="false" outlineLevel="0" collapsed="false">
      <c r="B387" s="538"/>
      <c r="C387" s="636"/>
      <c r="D387" s="624"/>
      <c r="E387" s="20"/>
    </row>
    <row r="388" customFormat="false" ht="12.75" hidden="false" customHeight="false" outlineLevel="0" collapsed="false">
      <c r="B388" s="538"/>
      <c r="C388" s="636"/>
      <c r="D388" s="624"/>
      <c r="E388" s="20"/>
    </row>
    <row r="389" customFormat="false" ht="12.75" hidden="false" customHeight="false" outlineLevel="0" collapsed="false">
      <c r="B389" s="538"/>
      <c r="C389" s="636"/>
      <c r="D389" s="624"/>
      <c r="E389" s="20"/>
    </row>
    <row r="390" customFormat="false" ht="12.75" hidden="false" customHeight="false" outlineLevel="0" collapsed="false">
      <c r="B390" s="538"/>
      <c r="C390" s="636"/>
      <c r="D390" s="624"/>
      <c r="E390" s="20"/>
    </row>
    <row r="391" customFormat="false" ht="12.75" hidden="false" customHeight="false" outlineLevel="0" collapsed="false">
      <c r="B391" s="538"/>
      <c r="C391" s="636"/>
      <c r="D391" s="624"/>
      <c r="E391" s="20"/>
    </row>
    <row r="392" customFormat="false" ht="12.75" hidden="false" customHeight="false" outlineLevel="0" collapsed="false">
      <c r="B392" s="538"/>
      <c r="C392" s="636"/>
      <c r="D392" s="624"/>
      <c r="E392" s="20"/>
    </row>
    <row r="393" customFormat="false" ht="12.75" hidden="false" customHeight="false" outlineLevel="0" collapsed="false">
      <c r="B393" s="538"/>
      <c r="C393" s="636"/>
      <c r="D393" s="624"/>
      <c r="E393" s="20"/>
    </row>
    <row r="394" customFormat="false" ht="12.75" hidden="false" customHeight="false" outlineLevel="0" collapsed="false">
      <c r="B394" s="538"/>
      <c r="C394" s="636"/>
      <c r="D394" s="624"/>
      <c r="E394" s="20"/>
    </row>
    <row r="395" customFormat="false" ht="12.75" hidden="false" customHeight="false" outlineLevel="0" collapsed="false">
      <c r="B395" s="538"/>
      <c r="C395" s="636"/>
      <c r="D395" s="624"/>
      <c r="E395" s="20"/>
    </row>
    <row r="396" customFormat="false" ht="12.75" hidden="false" customHeight="false" outlineLevel="0" collapsed="false">
      <c r="B396" s="538"/>
      <c r="C396" s="636"/>
      <c r="D396" s="624"/>
      <c r="E396" s="20"/>
    </row>
    <row r="397" customFormat="false" ht="12.75" hidden="false" customHeight="false" outlineLevel="0" collapsed="false">
      <c r="B397" s="538"/>
      <c r="C397" s="636"/>
      <c r="D397" s="624"/>
      <c r="E397" s="20"/>
    </row>
    <row r="398" customFormat="false" ht="12.75" hidden="false" customHeight="false" outlineLevel="0" collapsed="false">
      <c r="B398" s="538"/>
      <c r="C398" s="636"/>
      <c r="D398" s="624"/>
      <c r="E398" s="20"/>
    </row>
    <row r="399" customFormat="false" ht="12.75" hidden="false" customHeight="false" outlineLevel="0" collapsed="false">
      <c r="B399" s="538"/>
      <c r="C399" s="636"/>
      <c r="D399" s="624"/>
      <c r="E399" s="20"/>
    </row>
    <row r="400" customFormat="false" ht="12.75" hidden="false" customHeight="false" outlineLevel="0" collapsed="false">
      <c r="B400" s="538"/>
      <c r="C400" s="636"/>
      <c r="D400" s="624"/>
      <c r="E400" s="20"/>
    </row>
    <row r="401" customFormat="false" ht="12.75" hidden="false" customHeight="false" outlineLevel="0" collapsed="false">
      <c r="B401" s="538"/>
      <c r="C401" s="636"/>
      <c r="D401" s="624"/>
      <c r="E401" s="20"/>
    </row>
    <row r="402" customFormat="false" ht="12.75" hidden="false" customHeight="false" outlineLevel="0" collapsed="false">
      <c r="B402" s="538"/>
      <c r="C402" s="636"/>
      <c r="D402" s="624"/>
      <c r="E402" s="20"/>
    </row>
    <row r="403" customFormat="false" ht="12.75" hidden="false" customHeight="false" outlineLevel="0" collapsed="false">
      <c r="B403" s="538"/>
      <c r="C403" s="636"/>
      <c r="D403" s="624"/>
      <c r="E403" s="20"/>
    </row>
    <row r="404" customFormat="false" ht="12.75" hidden="false" customHeight="false" outlineLevel="0" collapsed="false">
      <c r="B404" s="538"/>
      <c r="C404" s="636"/>
      <c r="D404" s="624"/>
      <c r="E404" s="20"/>
    </row>
    <row r="405" customFormat="false" ht="12.75" hidden="false" customHeight="false" outlineLevel="0" collapsed="false">
      <c r="B405" s="538"/>
      <c r="C405" s="636"/>
      <c r="D405" s="624"/>
      <c r="E405" s="20"/>
    </row>
    <row r="406" customFormat="false" ht="12.75" hidden="false" customHeight="false" outlineLevel="0" collapsed="false">
      <c r="B406" s="538"/>
      <c r="C406" s="636"/>
      <c r="D406" s="624"/>
      <c r="E406" s="20"/>
    </row>
    <row r="407" customFormat="false" ht="12.75" hidden="false" customHeight="false" outlineLevel="0" collapsed="false">
      <c r="B407" s="538"/>
      <c r="C407" s="636"/>
      <c r="D407" s="624"/>
      <c r="E407" s="20"/>
    </row>
    <row r="408" customFormat="false" ht="12.75" hidden="false" customHeight="false" outlineLevel="0" collapsed="false">
      <c r="B408" s="538"/>
      <c r="C408" s="636"/>
      <c r="D408" s="624"/>
      <c r="E408" s="20"/>
    </row>
    <row r="409" customFormat="false" ht="12.75" hidden="false" customHeight="false" outlineLevel="0" collapsed="false">
      <c r="B409" s="538"/>
      <c r="C409" s="636"/>
      <c r="D409" s="624"/>
      <c r="E409" s="20"/>
    </row>
    <row r="410" customFormat="false" ht="12.75" hidden="false" customHeight="false" outlineLevel="0" collapsed="false">
      <c r="B410" s="538"/>
      <c r="C410" s="636"/>
      <c r="D410" s="624"/>
      <c r="E410" s="20"/>
    </row>
    <row r="411" customFormat="false" ht="12.75" hidden="false" customHeight="false" outlineLevel="0" collapsed="false">
      <c r="B411" s="538"/>
      <c r="C411" s="636"/>
      <c r="D411" s="624"/>
      <c r="E411" s="20"/>
    </row>
    <row r="412" customFormat="false" ht="12.75" hidden="false" customHeight="false" outlineLevel="0" collapsed="false">
      <c r="B412" s="538"/>
      <c r="C412" s="636"/>
      <c r="D412" s="624"/>
      <c r="E412" s="20"/>
    </row>
    <row r="413" customFormat="false" ht="12.75" hidden="false" customHeight="false" outlineLevel="0" collapsed="false">
      <c r="B413" s="538"/>
      <c r="C413" s="636"/>
      <c r="D413" s="624"/>
      <c r="E413" s="20"/>
    </row>
    <row r="414" customFormat="false" ht="12.75" hidden="false" customHeight="false" outlineLevel="0" collapsed="false">
      <c r="B414" s="538"/>
      <c r="C414" s="636"/>
      <c r="D414" s="624"/>
      <c r="E414" s="20"/>
    </row>
    <row r="415" customFormat="false" ht="12.75" hidden="false" customHeight="false" outlineLevel="0" collapsed="false">
      <c r="B415" s="538"/>
      <c r="C415" s="636"/>
      <c r="D415" s="624"/>
      <c r="E415" s="20"/>
    </row>
    <row r="416" customFormat="false" ht="12.75" hidden="false" customHeight="false" outlineLevel="0" collapsed="false">
      <c r="B416" s="538"/>
      <c r="C416" s="636"/>
      <c r="D416" s="624"/>
      <c r="E416" s="20"/>
    </row>
    <row r="417" customFormat="false" ht="12.75" hidden="false" customHeight="false" outlineLevel="0" collapsed="false">
      <c r="B417" s="538"/>
      <c r="C417" s="636"/>
      <c r="D417" s="624"/>
      <c r="E417" s="20"/>
    </row>
    <row r="418" customFormat="false" ht="12.75" hidden="false" customHeight="false" outlineLevel="0" collapsed="false">
      <c r="B418" s="538"/>
      <c r="C418" s="636"/>
      <c r="D418" s="624"/>
      <c r="E418" s="20"/>
    </row>
    <row r="419" customFormat="false" ht="12.75" hidden="false" customHeight="false" outlineLevel="0" collapsed="false">
      <c r="B419" s="538"/>
      <c r="C419" s="636"/>
      <c r="D419" s="624"/>
      <c r="E419" s="20"/>
    </row>
    <row r="420" customFormat="false" ht="12.75" hidden="false" customHeight="false" outlineLevel="0" collapsed="false">
      <c r="B420" s="538"/>
      <c r="C420" s="636"/>
      <c r="D420" s="624"/>
      <c r="E420" s="20"/>
    </row>
    <row r="421" customFormat="false" ht="12.75" hidden="false" customHeight="false" outlineLevel="0" collapsed="false">
      <c r="B421" s="538"/>
      <c r="C421" s="636"/>
      <c r="D421" s="624"/>
      <c r="E421" s="20"/>
    </row>
    <row r="422" customFormat="false" ht="12.75" hidden="false" customHeight="false" outlineLevel="0" collapsed="false">
      <c r="B422" s="538"/>
      <c r="C422" s="636"/>
      <c r="D422" s="624"/>
      <c r="E422" s="20"/>
    </row>
    <row r="423" customFormat="false" ht="12.75" hidden="false" customHeight="false" outlineLevel="0" collapsed="false">
      <c r="B423" s="538"/>
      <c r="C423" s="636"/>
      <c r="D423" s="624"/>
      <c r="E423" s="20"/>
    </row>
    <row r="424" customFormat="false" ht="12.75" hidden="false" customHeight="false" outlineLevel="0" collapsed="false">
      <c r="B424" s="538"/>
      <c r="C424" s="636"/>
      <c r="D424" s="624"/>
      <c r="E424" s="20"/>
    </row>
    <row r="425" customFormat="false" ht="12.75" hidden="false" customHeight="false" outlineLevel="0" collapsed="false">
      <c r="B425" s="538"/>
      <c r="C425" s="636"/>
      <c r="D425" s="624"/>
      <c r="E425" s="20"/>
    </row>
    <row r="426" customFormat="false" ht="12.75" hidden="false" customHeight="false" outlineLevel="0" collapsed="false">
      <c r="B426" s="538"/>
      <c r="C426" s="636"/>
      <c r="D426" s="624"/>
      <c r="E426" s="20"/>
    </row>
    <row r="427" customFormat="false" ht="12.75" hidden="false" customHeight="false" outlineLevel="0" collapsed="false">
      <c r="B427" s="538"/>
      <c r="C427" s="636"/>
      <c r="D427" s="624"/>
      <c r="E427" s="20"/>
    </row>
    <row r="428" customFormat="false" ht="12.75" hidden="false" customHeight="false" outlineLevel="0" collapsed="false">
      <c r="B428" s="538"/>
      <c r="C428" s="636"/>
      <c r="D428" s="624"/>
      <c r="E428" s="20"/>
    </row>
    <row r="429" customFormat="false" ht="12.75" hidden="false" customHeight="false" outlineLevel="0" collapsed="false">
      <c r="B429" s="538"/>
      <c r="C429" s="636"/>
      <c r="D429" s="624"/>
      <c r="E429" s="20"/>
    </row>
    <row r="430" customFormat="false" ht="12.75" hidden="false" customHeight="false" outlineLevel="0" collapsed="false">
      <c r="B430" s="538"/>
      <c r="C430" s="636"/>
      <c r="D430" s="624"/>
      <c r="E430" s="20"/>
    </row>
    <row r="431" customFormat="false" ht="12.75" hidden="false" customHeight="false" outlineLevel="0" collapsed="false">
      <c r="B431" s="538"/>
      <c r="C431" s="636"/>
      <c r="D431" s="624"/>
      <c r="E431" s="20"/>
    </row>
    <row r="432" customFormat="false" ht="12.75" hidden="false" customHeight="false" outlineLevel="0" collapsed="false">
      <c r="B432" s="538"/>
      <c r="C432" s="636"/>
      <c r="D432" s="624"/>
      <c r="E432" s="20"/>
    </row>
    <row r="433" customFormat="false" ht="12.75" hidden="false" customHeight="false" outlineLevel="0" collapsed="false">
      <c r="B433" s="538"/>
      <c r="C433" s="636"/>
      <c r="D433" s="624"/>
      <c r="E433" s="20"/>
    </row>
    <row r="434" customFormat="false" ht="12.75" hidden="false" customHeight="false" outlineLevel="0" collapsed="false">
      <c r="B434" s="538"/>
      <c r="C434" s="636"/>
      <c r="D434" s="624"/>
      <c r="E434" s="20"/>
    </row>
    <row r="435" customFormat="false" ht="12.75" hidden="false" customHeight="false" outlineLevel="0" collapsed="false">
      <c r="B435" s="538"/>
      <c r="C435" s="636"/>
      <c r="D435" s="624"/>
      <c r="E435" s="20"/>
    </row>
    <row r="436" customFormat="false" ht="12.75" hidden="false" customHeight="false" outlineLevel="0" collapsed="false">
      <c r="B436" s="538"/>
      <c r="C436" s="636"/>
      <c r="D436" s="624"/>
      <c r="E436" s="20"/>
    </row>
    <row r="437" customFormat="false" ht="12.75" hidden="false" customHeight="false" outlineLevel="0" collapsed="false">
      <c r="B437" s="538"/>
      <c r="C437" s="636"/>
      <c r="D437" s="624"/>
      <c r="E437" s="20"/>
    </row>
    <row r="438" customFormat="false" ht="12.75" hidden="false" customHeight="false" outlineLevel="0" collapsed="false">
      <c r="B438" s="538"/>
      <c r="C438" s="636"/>
      <c r="D438" s="624"/>
      <c r="E438" s="20"/>
    </row>
    <row r="439" customFormat="false" ht="12.75" hidden="false" customHeight="false" outlineLevel="0" collapsed="false">
      <c r="B439" s="538"/>
      <c r="C439" s="636"/>
      <c r="D439" s="624"/>
      <c r="E439" s="20"/>
    </row>
    <row r="440" customFormat="false" ht="12.75" hidden="false" customHeight="false" outlineLevel="0" collapsed="false">
      <c r="B440" s="538"/>
      <c r="C440" s="636"/>
      <c r="D440" s="624"/>
      <c r="E440" s="20"/>
    </row>
    <row r="441" customFormat="false" ht="12.75" hidden="false" customHeight="false" outlineLevel="0" collapsed="false">
      <c r="B441" s="538"/>
      <c r="C441" s="636"/>
      <c r="D441" s="624"/>
      <c r="E441" s="20"/>
    </row>
    <row r="442" customFormat="false" ht="12.75" hidden="false" customHeight="false" outlineLevel="0" collapsed="false">
      <c r="B442" s="538"/>
      <c r="C442" s="636"/>
      <c r="D442" s="624"/>
      <c r="E442" s="20"/>
    </row>
    <row r="443" customFormat="false" ht="12.75" hidden="false" customHeight="false" outlineLevel="0" collapsed="false">
      <c r="B443" s="538"/>
      <c r="C443" s="636"/>
      <c r="D443" s="624"/>
      <c r="E443" s="20"/>
    </row>
    <row r="444" customFormat="false" ht="12.75" hidden="false" customHeight="false" outlineLevel="0" collapsed="false">
      <c r="B444" s="538"/>
      <c r="C444" s="636"/>
      <c r="D444" s="624"/>
      <c r="E444" s="20"/>
    </row>
    <row r="445" customFormat="false" ht="12.75" hidden="false" customHeight="false" outlineLevel="0" collapsed="false">
      <c r="B445" s="538"/>
      <c r="C445" s="636"/>
      <c r="D445" s="624"/>
      <c r="E445" s="20"/>
    </row>
    <row r="446" customFormat="false" ht="12.75" hidden="false" customHeight="false" outlineLevel="0" collapsed="false">
      <c r="B446" s="538"/>
      <c r="C446" s="636"/>
      <c r="D446" s="624"/>
      <c r="E446" s="20"/>
    </row>
    <row r="447" customFormat="false" ht="12.75" hidden="false" customHeight="false" outlineLevel="0" collapsed="false">
      <c r="B447" s="538"/>
      <c r="C447" s="636"/>
      <c r="D447" s="624"/>
      <c r="E447" s="20"/>
    </row>
    <row r="448" customFormat="false" ht="12.75" hidden="false" customHeight="false" outlineLevel="0" collapsed="false">
      <c r="B448" s="538"/>
      <c r="C448" s="636"/>
      <c r="D448" s="624"/>
      <c r="E448" s="20"/>
    </row>
    <row r="449" customFormat="false" ht="12.75" hidden="false" customHeight="false" outlineLevel="0" collapsed="false">
      <c r="B449" s="538"/>
      <c r="C449" s="636"/>
      <c r="D449" s="624"/>
      <c r="E449" s="20"/>
    </row>
    <row r="450" customFormat="false" ht="12.75" hidden="false" customHeight="false" outlineLevel="0" collapsed="false">
      <c r="B450" s="538"/>
      <c r="C450" s="636"/>
      <c r="D450" s="624"/>
      <c r="E450" s="20"/>
    </row>
    <row r="451" customFormat="false" ht="12.75" hidden="false" customHeight="false" outlineLevel="0" collapsed="false">
      <c r="B451" s="538"/>
      <c r="C451" s="636"/>
      <c r="D451" s="624"/>
      <c r="E451" s="20"/>
    </row>
    <row r="452" customFormat="false" ht="12.75" hidden="false" customHeight="false" outlineLevel="0" collapsed="false">
      <c r="B452" s="538"/>
      <c r="C452" s="636"/>
      <c r="D452" s="624"/>
      <c r="E452" s="20"/>
    </row>
    <row r="453" customFormat="false" ht="12.75" hidden="false" customHeight="false" outlineLevel="0" collapsed="false">
      <c r="B453" s="538"/>
      <c r="C453" s="636"/>
      <c r="D453" s="624"/>
      <c r="E453" s="20"/>
    </row>
    <row r="454" customFormat="false" ht="12.75" hidden="false" customHeight="false" outlineLevel="0" collapsed="false">
      <c r="B454" s="538"/>
      <c r="C454" s="636"/>
      <c r="D454" s="624"/>
      <c r="E454" s="20"/>
    </row>
    <row r="455" customFormat="false" ht="12.75" hidden="false" customHeight="false" outlineLevel="0" collapsed="false">
      <c r="B455" s="538"/>
      <c r="C455" s="636"/>
      <c r="D455" s="624"/>
      <c r="E455" s="20"/>
    </row>
    <row r="456" customFormat="false" ht="12.75" hidden="false" customHeight="false" outlineLevel="0" collapsed="false">
      <c r="B456" s="538"/>
      <c r="C456" s="636"/>
      <c r="D456" s="624"/>
      <c r="E456" s="20"/>
    </row>
    <row r="457" customFormat="false" ht="12.75" hidden="false" customHeight="false" outlineLevel="0" collapsed="false">
      <c r="B457" s="538"/>
      <c r="C457" s="636"/>
      <c r="D457" s="624"/>
      <c r="E457" s="20"/>
    </row>
    <row r="458" customFormat="false" ht="12.75" hidden="false" customHeight="false" outlineLevel="0" collapsed="false">
      <c r="B458" s="538"/>
      <c r="C458" s="636"/>
      <c r="D458" s="624"/>
      <c r="E458" s="20"/>
    </row>
    <row r="459" customFormat="false" ht="12.75" hidden="false" customHeight="false" outlineLevel="0" collapsed="false">
      <c r="B459" s="538"/>
      <c r="C459" s="636"/>
      <c r="D459" s="624"/>
      <c r="E459" s="20"/>
    </row>
    <row r="460" customFormat="false" ht="12.75" hidden="false" customHeight="false" outlineLevel="0" collapsed="false">
      <c r="B460" s="538"/>
      <c r="C460" s="636"/>
      <c r="D460" s="624"/>
      <c r="E460" s="20"/>
    </row>
    <row r="461" customFormat="false" ht="12.75" hidden="false" customHeight="false" outlineLevel="0" collapsed="false">
      <c r="B461" s="538"/>
      <c r="C461" s="636"/>
      <c r="D461" s="624"/>
      <c r="E461" s="20"/>
    </row>
    <row r="462" customFormat="false" ht="12.75" hidden="false" customHeight="false" outlineLevel="0" collapsed="false">
      <c r="B462" s="538"/>
      <c r="C462" s="636"/>
      <c r="D462" s="624"/>
      <c r="E462" s="20"/>
    </row>
    <row r="463" customFormat="false" ht="12.75" hidden="false" customHeight="false" outlineLevel="0" collapsed="false">
      <c r="B463" s="538"/>
      <c r="C463" s="636"/>
      <c r="D463" s="624"/>
      <c r="E463" s="20"/>
    </row>
    <row r="464" customFormat="false" ht="12.75" hidden="false" customHeight="false" outlineLevel="0" collapsed="false">
      <c r="B464" s="538"/>
      <c r="C464" s="636"/>
      <c r="D464" s="624"/>
      <c r="E464" s="20"/>
    </row>
    <row r="465" customFormat="false" ht="12.75" hidden="false" customHeight="false" outlineLevel="0" collapsed="false">
      <c r="B465" s="538"/>
      <c r="C465" s="636"/>
      <c r="D465" s="624"/>
      <c r="E465" s="20"/>
    </row>
    <row r="466" customFormat="false" ht="12.75" hidden="false" customHeight="false" outlineLevel="0" collapsed="false">
      <c r="B466" s="538"/>
      <c r="C466" s="636"/>
      <c r="D466" s="624"/>
      <c r="E466" s="20"/>
    </row>
    <row r="467" customFormat="false" ht="12.75" hidden="false" customHeight="false" outlineLevel="0" collapsed="false">
      <c r="B467" s="538"/>
      <c r="C467" s="636"/>
      <c r="D467" s="624"/>
      <c r="E467" s="20"/>
    </row>
    <row r="468" customFormat="false" ht="12.75" hidden="false" customHeight="false" outlineLevel="0" collapsed="false">
      <c r="B468" s="538"/>
      <c r="C468" s="636"/>
      <c r="D468" s="624"/>
      <c r="E468" s="20"/>
    </row>
    <row r="469" customFormat="false" ht="12.75" hidden="false" customHeight="false" outlineLevel="0" collapsed="false">
      <c r="B469" s="538"/>
      <c r="C469" s="636"/>
      <c r="D469" s="624"/>
      <c r="E469" s="20"/>
    </row>
    <row r="470" customFormat="false" ht="12.75" hidden="false" customHeight="false" outlineLevel="0" collapsed="false">
      <c r="B470" s="538"/>
      <c r="C470" s="636"/>
      <c r="D470" s="624"/>
      <c r="E470" s="20"/>
    </row>
    <row r="471" customFormat="false" ht="12.75" hidden="false" customHeight="false" outlineLevel="0" collapsed="false">
      <c r="B471" s="538"/>
      <c r="C471" s="636"/>
      <c r="D471" s="624"/>
      <c r="E471" s="20"/>
    </row>
    <row r="472" customFormat="false" ht="12.75" hidden="false" customHeight="false" outlineLevel="0" collapsed="false">
      <c r="B472" s="538"/>
      <c r="C472" s="636"/>
      <c r="D472" s="624"/>
      <c r="E472" s="20"/>
    </row>
    <row r="473" customFormat="false" ht="12.75" hidden="false" customHeight="false" outlineLevel="0" collapsed="false">
      <c r="B473" s="538"/>
      <c r="C473" s="636"/>
      <c r="D473" s="624"/>
      <c r="E473" s="20"/>
    </row>
    <row r="474" customFormat="false" ht="12.75" hidden="false" customHeight="false" outlineLevel="0" collapsed="false">
      <c r="B474" s="538"/>
      <c r="C474" s="636"/>
      <c r="D474" s="624"/>
      <c r="E474" s="20"/>
    </row>
    <row r="475" customFormat="false" ht="12.75" hidden="false" customHeight="false" outlineLevel="0" collapsed="false">
      <c r="B475" s="538"/>
      <c r="C475" s="636"/>
      <c r="D475" s="624"/>
      <c r="E475" s="20"/>
    </row>
    <row r="476" customFormat="false" ht="12.75" hidden="false" customHeight="false" outlineLevel="0" collapsed="false">
      <c r="B476" s="538"/>
      <c r="C476" s="636"/>
      <c r="D476" s="624"/>
      <c r="E476" s="20"/>
    </row>
    <row r="477" customFormat="false" ht="12.75" hidden="false" customHeight="false" outlineLevel="0" collapsed="false">
      <c r="B477" s="538"/>
      <c r="C477" s="636"/>
      <c r="D477" s="624"/>
      <c r="E477" s="20"/>
    </row>
    <row r="478" customFormat="false" ht="12.75" hidden="false" customHeight="false" outlineLevel="0" collapsed="false">
      <c r="B478" s="538"/>
      <c r="C478" s="636"/>
      <c r="D478" s="624"/>
      <c r="E478" s="20"/>
    </row>
    <row r="479" customFormat="false" ht="12.75" hidden="false" customHeight="false" outlineLevel="0" collapsed="false">
      <c r="B479" s="538"/>
      <c r="C479" s="636"/>
      <c r="D479" s="624"/>
      <c r="E479" s="20"/>
    </row>
    <row r="480" customFormat="false" ht="12.75" hidden="false" customHeight="false" outlineLevel="0" collapsed="false">
      <c r="B480" s="538"/>
      <c r="C480" s="636"/>
      <c r="D480" s="624"/>
      <c r="E480" s="20"/>
    </row>
    <row r="481" customFormat="false" ht="12.75" hidden="false" customHeight="false" outlineLevel="0" collapsed="false">
      <c r="B481" s="538"/>
      <c r="C481" s="636"/>
      <c r="D481" s="624"/>
      <c r="E481" s="20"/>
    </row>
    <row r="482" customFormat="false" ht="12.75" hidden="false" customHeight="false" outlineLevel="0" collapsed="false">
      <c r="B482" s="538"/>
      <c r="C482" s="636"/>
      <c r="D482" s="624"/>
      <c r="E482" s="20"/>
    </row>
    <row r="483" customFormat="false" ht="12.75" hidden="false" customHeight="false" outlineLevel="0" collapsed="false">
      <c r="B483" s="538"/>
      <c r="C483" s="636"/>
      <c r="D483" s="624"/>
      <c r="E483" s="20"/>
    </row>
    <row r="484" customFormat="false" ht="12.75" hidden="false" customHeight="false" outlineLevel="0" collapsed="false">
      <c r="B484" s="538"/>
      <c r="C484" s="636"/>
      <c r="D484" s="624"/>
      <c r="E484" s="20"/>
    </row>
    <row r="485" customFormat="false" ht="12.75" hidden="false" customHeight="false" outlineLevel="0" collapsed="false">
      <c r="B485" s="538"/>
      <c r="C485" s="636"/>
      <c r="D485" s="624"/>
      <c r="E485" s="20"/>
    </row>
    <row r="486" customFormat="false" ht="12.75" hidden="false" customHeight="false" outlineLevel="0" collapsed="false">
      <c r="B486" s="538"/>
      <c r="C486" s="636"/>
      <c r="D486" s="624"/>
      <c r="E486" s="20"/>
    </row>
    <row r="487" customFormat="false" ht="12.75" hidden="false" customHeight="false" outlineLevel="0" collapsed="false">
      <c r="B487" s="538"/>
      <c r="C487" s="636"/>
      <c r="D487" s="624"/>
      <c r="E487" s="20"/>
    </row>
    <row r="488" customFormat="false" ht="12.75" hidden="false" customHeight="false" outlineLevel="0" collapsed="false">
      <c r="B488" s="538"/>
      <c r="C488" s="636"/>
      <c r="D488" s="624"/>
      <c r="E488" s="20"/>
    </row>
    <row r="489" customFormat="false" ht="12.75" hidden="false" customHeight="false" outlineLevel="0" collapsed="false">
      <c r="B489" s="538"/>
      <c r="C489" s="636"/>
      <c r="D489" s="624"/>
      <c r="E489" s="20"/>
    </row>
    <row r="490" customFormat="false" ht="12.75" hidden="false" customHeight="false" outlineLevel="0" collapsed="false">
      <c r="B490" s="538"/>
      <c r="C490" s="636"/>
      <c r="D490" s="624"/>
      <c r="E490" s="20"/>
    </row>
    <row r="491" customFormat="false" ht="12.75" hidden="false" customHeight="false" outlineLevel="0" collapsed="false">
      <c r="B491" s="538"/>
      <c r="C491" s="636"/>
      <c r="D491" s="624"/>
      <c r="E491" s="20"/>
    </row>
    <row r="492" customFormat="false" ht="12.75" hidden="false" customHeight="false" outlineLevel="0" collapsed="false">
      <c r="B492" s="538"/>
      <c r="C492" s="636"/>
      <c r="D492" s="624"/>
      <c r="E492" s="20"/>
    </row>
    <row r="493" customFormat="false" ht="12.75" hidden="false" customHeight="false" outlineLevel="0" collapsed="false">
      <c r="B493" s="538"/>
      <c r="C493" s="636"/>
      <c r="D493" s="624"/>
      <c r="E493" s="20"/>
    </row>
    <row r="494" customFormat="false" ht="12.75" hidden="false" customHeight="false" outlineLevel="0" collapsed="false">
      <c r="B494" s="538"/>
      <c r="C494" s="636"/>
      <c r="D494" s="624"/>
      <c r="E494" s="20"/>
    </row>
    <row r="495" customFormat="false" ht="12.75" hidden="false" customHeight="false" outlineLevel="0" collapsed="false">
      <c r="B495" s="538"/>
      <c r="C495" s="636"/>
      <c r="D495" s="624"/>
      <c r="E495" s="20"/>
    </row>
    <row r="496" customFormat="false" ht="12.75" hidden="false" customHeight="false" outlineLevel="0" collapsed="false">
      <c r="B496" s="538"/>
      <c r="C496" s="636"/>
      <c r="D496" s="624"/>
      <c r="E496" s="20"/>
    </row>
    <row r="497" customFormat="false" ht="12.75" hidden="false" customHeight="false" outlineLevel="0" collapsed="false">
      <c r="B497" s="538"/>
      <c r="C497" s="636"/>
      <c r="D497" s="624"/>
      <c r="E497" s="20"/>
    </row>
    <row r="498" customFormat="false" ht="12.75" hidden="false" customHeight="false" outlineLevel="0" collapsed="false">
      <c r="B498" s="538"/>
      <c r="C498" s="636"/>
      <c r="D498" s="624"/>
      <c r="E498" s="20"/>
    </row>
    <row r="499" customFormat="false" ht="12.75" hidden="false" customHeight="false" outlineLevel="0" collapsed="false">
      <c r="B499" s="538"/>
      <c r="C499" s="636"/>
      <c r="D499" s="624"/>
      <c r="E499" s="20"/>
    </row>
    <row r="500" customFormat="false" ht="12.75" hidden="false" customHeight="false" outlineLevel="0" collapsed="false">
      <c r="B500" s="538"/>
      <c r="C500" s="636"/>
      <c r="D500" s="624"/>
      <c r="E500" s="20"/>
    </row>
    <row r="501" customFormat="false" ht="12.75" hidden="false" customHeight="false" outlineLevel="0" collapsed="false">
      <c r="B501" s="538"/>
      <c r="C501" s="636"/>
      <c r="D501" s="624"/>
      <c r="E501" s="20"/>
    </row>
    <row r="502" customFormat="false" ht="12.75" hidden="false" customHeight="false" outlineLevel="0" collapsed="false">
      <c r="B502" s="538"/>
      <c r="C502" s="636"/>
      <c r="D502" s="624"/>
      <c r="E502" s="20"/>
    </row>
    <row r="503" customFormat="false" ht="12.75" hidden="false" customHeight="false" outlineLevel="0" collapsed="false">
      <c r="B503" s="538"/>
      <c r="C503" s="636"/>
      <c r="D503" s="624"/>
      <c r="E503" s="20"/>
    </row>
    <row r="504" customFormat="false" ht="12.75" hidden="false" customHeight="false" outlineLevel="0" collapsed="false">
      <c r="B504" s="538"/>
      <c r="C504" s="636"/>
      <c r="D504" s="624"/>
      <c r="E504" s="20"/>
    </row>
    <row r="505" customFormat="false" ht="12.75" hidden="false" customHeight="false" outlineLevel="0" collapsed="false">
      <c r="B505" s="538"/>
      <c r="C505" s="636"/>
      <c r="D505" s="624"/>
      <c r="E505" s="20"/>
    </row>
    <row r="506" customFormat="false" ht="12.75" hidden="false" customHeight="false" outlineLevel="0" collapsed="false">
      <c r="B506" s="538"/>
      <c r="C506" s="636"/>
      <c r="D506" s="624"/>
      <c r="E506" s="20"/>
    </row>
    <row r="507" customFormat="false" ht="12.75" hidden="false" customHeight="false" outlineLevel="0" collapsed="false">
      <c r="B507" s="538"/>
      <c r="C507" s="636"/>
      <c r="D507" s="624"/>
      <c r="E507" s="20"/>
    </row>
    <row r="508" customFormat="false" ht="12.75" hidden="false" customHeight="false" outlineLevel="0" collapsed="false">
      <c r="B508" s="538"/>
      <c r="C508" s="636"/>
      <c r="D508" s="624"/>
      <c r="E508" s="20"/>
    </row>
    <row r="509" customFormat="false" ht="12.75" hidden="false" customHeight="false" outlineLevel="0" collapsed="false">
      <c r="B509" s="538"/>
      <c r="C509" s="636"/>
      <c r="D509" s="624"/>
      <c r="E509" s="20"/>
    </row>
    <row r="510" customFormat="false" ht="12.75" hidden="false" customHeight="false" outlineLevel="0" collapsed="false">
      <c r="B510" s="624"/>
      <c r="C510" s="627"/>
      <c r="D510" s="624"/>
      <c r="E510" s="20"/>
    </row>
    <row r="511" customFormat="false" ht="12.75" hidden="false" customHeight="false" outlineLevel="0" collapsed="false">
      <c r="B511" s="624"/>
      <c r="C511" s="627"/>
      <c r="D511" s="624"/>
      <c r="E511" s="20"/>
    </row>
    <row r="512" customFormat="false" ht="12.75" hidden="false" customHeight="false" outlineLevel="0" collapsed="false">
      <c r="B512" s="624"/>
      <c r="C512" s="627"/>
      <c r="D512" s="624"/>
      <c r="E512" s="20"/>
    </row>
    <row r="513" customFormat="false" ht="12.75" hidden="false" customHeight="false" outlineLevel="0" collapsed="false">
      <c r="B513" s="624"/>
      <c r="C513" s="627"/>
      <c r="D513" s="624"/>
      <c r="E513" s="20"/>
    </row>
    <row r="514" customFormat="false" ht="12.75" hidden="false" customHeight="false" outlineLevel="0" collapsed="false">
      <c r="B514" s="624"/>
      <c r="C514" s="627"/>
      <c r="D514" s="624"/>
      <c r="E514" s="20"/>
    </row>
    <row r="515" customFormat="false" ht="12.75" hidden="false" customHeight="false" outlineLevel="0" collapsed="false">
      <c r="B515" s="624"/>
      <c r="C515" s="627"/>
      <c r="D515" s="624"/>
      <c r="E515" s="20"/>
    </row>
    <row r="516" customFormat="false" ht="12.75" hidden="false" customHeight="false" outlineLevel="0" collapsed="false">
      <c r="B516" s="624"/>
      <c r="C516" s="627"/>
      <c r="D516" s="624"/>
      <c r="E516" s="20"/>
    </row>
    <row r="517" customFormat="false" ht="12.75" hidden="false" customHeight="false" outlineLevel="0" collapsed="false">
      <c r="B517" s="624"/>
      <c r="C517" s="627"/>
      <c r="D517" s="624"/>
      <c r="E517" s="20"/>
    </row>
    <row r="518" customFormat="false" ht="12.75" hidden="false" customHeight="false" outlineLevel="0" collapsed="false">
      <c r="B518" s="624"/>
      <c r="C518" s="627"/>
      <c r="D518" s="624"/>
      <c r="E518" s="20"/>
    </row>
    <row r="519" customFormat="false" ht="12.75" hidden="false" customHeight="false" outlineLevel="0" collapsed="false">
      <c r="B519" s="624"/>
      <c r="C519" s="627"/>
      <c r="D519" s="624"/>
      <c r="E519" s="20"/>
    </row>
    <row r="520" customFormat="false" ht="12.75" hidden="false" customHeight="false" outlineLevel="0" collapsed="false">
      <c r="B520" s="624"/>
      <c r="C520" s="627"/>
      <c r="D520" s="624"/>
      <c r="E520" s="20"/>
    </row>
    <row r="521" customFormat="false" ht="12.75" hidden="false" customHeight="false" outlineLevel="0" collapsed="false">
      <c r="B521" s="624"/>
      <c r="C521" s="627"/>
      <c r="D521" s="624"/>
      <c r="E521" s="20"/>
    </row>
    <row r="522" customFormat="false" ht="12.75" hidden="false" customHeight="false" outlineLevel="0" collapsed="false">
      <c r="B522" s="624"/>
      <c r="C522" s="627"/>
      <c r="D522" s="624"/>
      <c r="E522" s="20"/>
    </row>
    <row r="523" customFormat="false" ht="12.75" hidden="false" customHeight="false" outlineLevel="0" collapsed="false">
      <c r="B523" s="624"/>
      <c r="C523" s="627"/>
      <c r="D523" s="624"/>
      <c r="E523" s="20"/>
    </row>
    <row r="524" customFormat="false" ht="12.75" hidden="false" customHeight="false" outlineLevel="0" collapsed="false">
      <c r="B524" s="624"/>
      <c r="C524" s="627"/>
      <c r="D524" s="624"/>
      <c r="E524" s="20"/>
    </row>
    <row r="525" customFormat="false" ht="12.75" hidden="false" customHeight="false" outlineLevel="0" collapsed="false">
      <c r="B525" s="624"/>
      <c r="C525" s="627"/>
      <c r="D525" s="624"/>
      <c r="E525" s="20"/>
    </row>
    <row r="526" customFormat="false" ht="12.75" hidden="false" customHeight="false" outlineLevel="0" collapsed="false">
      <c r="B526" s="624"/>
      <c r="C526" s="627"/>
      <c r="D526" s="624"/>
      <c r="E526" s="20"/>
    </row>
    <row r="527" customFormat="false" ht="12.75" hidden="false" customHeight="false" outlineLevel="0" collapsed="false">
      <c r="B527" s="624"/>
      <c r="C527" s="627"/>
      <c r="D527" s="624"/>
      <c r="E527" s="20"/>
    </row>
    <row r="528" customFormat="false" ht="12.75" hidden="false" customHeight="false" outlineLevel="0" collapsed="false">
      <c r="B528" s="624"/>
      <c r="C528" s="627"/>
      <c r="D528" s="624"/>
      <c r="E528" s="20"/>
    </row>
    <row r="529" customFormat="false" ht="12.75" hidden="false" customHeight="false" outlineLevel="0" collapsed="false">
      <c r="B529" s="624"/>
      <c r="C529" s="627"/>
      <c r="D529" s="624"/>
      <c r="E529" s="20"/>
    </row>
    <row r="530" customFormat="false" ht="12.75" hidden="false" customHeight="false" outlineLevel="0" collapsed="false">
      <c r="B530" s="624"/>
      <c r="C530" s="627"/>
      <c r="D530" s="624"/>
      <c r="E530" s="20"/>
    </row>
    <row r="531" customFormat="false" ht="12.75" hidden="false" customHeight="false" outlineLevel="0" collapsed="false">
      <c r="B531" s="624"/>
      <c r="C531" s="627"/>
      <c r="D531" s="624"/>
      <c r="E531" s="20"/>
    </row>
    <row r="532" customFormat="false" ht="12.75" hidden="false" customHeight="false" outlineLevel="0" collapsed="false">
      <c r="B532" s="624"/>
      <c r="C532" s="627"/>
      <c r="D532" s="624"/>
      <c r="E532" s="20"/>
    </row>
    <row r="533" customFormat="false" ht="12.75" hidden="false" customHeight="false" outlineLevel="0" collapsed="false">
      <c r="B533" s="624"/>
      <c r="C533" s="627"/>
      <c r="D533" s="624"/>
      <c r="E533" s="20"/>
    </row>
    <row r="534" customFormat="false" ht="12.75" hidden="false" customHeight="false" outlineLevel="0" collapsed="false">
      <c r="B534" s="624"/>
      <c r="C534" s="627"/>
      <c r="D534" s="624"/>
      <c r="E534" s="20"/>
    </row>
    <row r="535" customFormat="false" ht="12.75" hidden="false" customHeight="false" outlineLevel="0" collapsed="false">
      <c r="B535" s="624"/>
      <c r="C535" s="627"/>
      <c r="D535" s="624"/>
      <c r="E535" s="20"/>
    </row>
    <row r="536" customFormat="false" ht="12.75" hidden="false" customHeight="false" outlineLevel="0" collapsed="false">
      <c r="B536" s="624"/>
      <c r="C536" s="627"/>
      <c r="D536" s="624"/>
      <c r="E536" s="20"/>
    </row>
    <row r="537" customFormat="false" ht="12.75" hidden="false" customHeight="false" outlineLevel="0" collapsed="false">
      <c r="B537" s="624"/>
      <c r="C537" s="627"/>
      <c r="D537" s="624"/>
      <c r="E537" s="20"/>
    </row>
    <row r="538" customFormat="false" ht="12.75" hidden="false" customHeight="false" outlineLevel="0" collapsed="false">
      <c r="B538" s="624"/>
      <c r="C538" s="627"/>
      <c r="D538" s="624"/>
      <c r="E538" s="20"/>
    </row>
    <row r="539" customFormat="false" ht="12.75" hidden="false" customHeight="false" outlineLevel="0" collapsed="false">
      <c r="B539" s="624"/>
      <c r="C539" s="627"/>
      <c r="D539" s="624"/>
      <c r="E539" s="20"/>
    </row>
    <row r="540" customFormat="false" ht="12.75" hidden="false" customHeight="false" outlineLevel="0" collapsed="false">
      <c r="B540" s="624"/>
      <c r="C540" s="627"/>
      <c r="D540" s="624"/>
      <c r="E540" s="20"/>
    </row>
    <row r="541" customFormat="false" ht="12.75" hidden="false" customHeight="false" outlineLevel="0" collapsed="false">
      <c r="B541" s="624"/>
      <c r="C541" s="627"/>
      <c r="D541" s="624"/>
      <c r="E541" s="20"/>
    </row>
    <row r="542" customFormat="false" ht="12.75" hidden="false" customHeight="false" outlineLevel="0" collapsed="false">
      <c r="B542" s="624"/>
      <c r="C542" s="627"/>
      <c r="D542" s="624"/>
      <c r="E542" s="20"/>
    </row>
    <row r="543" customFormat="false" ht="12.75" hidden="false" customHeight="false" outlineLevel="0" collapsed="false">
      <c r="B543" s="624"/>
      <c r="C543" s="627"/>
      <c r="D543" s="624"/>
      <c r="E543" s="20"/>
    </row>
    <row r="544" customFormat="false" ht="12.75" hidden="false" customHeight="false" outlineLevel="0" collapsed="false">
      <c r="B544" s="624"/>
      <c r="C544" s="627"/>
      <c r="D544" s="624"/>
      <c r="E544" s="20"/>
    </row>
    <row r="545" customFormat="false" ht="12.75" hidden="false" customHeight="false" outlineLevel="0" collapsed="false">
      <c r="B545" s="624"/>
      <c r="C545" s="627"/>
      <c r="D545" s="624"/>
      <c r="E545" s="20"/>
    </row>
    <row r="546" customFormat="false" ht="12.75" hidden="false" customHeight="false" outlineLevel="0" collapsed="false">
      <c r="B546" s="624"/>
      <c r="C546" s="627"/>
      <c r="D546" s="624"/>
      <c r="E546" s="20"/>
    </row>
    <row r="547" customFormat="false" ht="12.75" hidden="false" customHeight="false" outlineLevel="0" collapsed="false">
      <c r="B547" s="624"/>
      <c r="C547" s="627"/>
      <c r="D547" s="624"/>
      <c r="E547" s="20"/>
    </row>
    <row r="548" customFormat="false" ht="12.75" hidden="false" customHeight="false" outlineLevel="0" collapsed="false">
      <c r="B548" s="624"/>
      <c r="C548" s="627"/>
      <c r="D548" s="624"/>
      <c r="E548" s="20"/>
    </row>
    <row r="549" customFormat="false" ht="12.75" hidden="false" customHeight="false" outlineLevel="0" collapsed="false">
      <c r="B549" s="624"/>
      <c r="C549" s="627"/>
      <c r="D549" s="624"/>
      <c r="E549" s="20"/>
    </row>
    <row r="550" customFormat="false" ht="12.75" hidden="false" customHeight="false" outlineLevel="0" collapsed="false">
      <c r="B550" s="624"/>
      <c r="C550" s="627"/>
      <c r="D550" s="624"/>
      <c r="E550" s="20"/>
    </row>
    <row r="551" customFormat="false" ht="12.75" hidden="false" customHeight="false" outlineLevel="0" collapsed="false">
      <c r="B551" s="624"/>
      <c r="C551" s="627"/>
      <c r="D551" s="624"/>
      <c r="E551" s="20"/>
    </row>
    <row r="552" customFormat="false" ht="12.75" hidden="false" customHeight="false" outlineLevel="0" collapsed="false">
      <c r="B552" s="624"/>
      <c r="C552" s="627"/>
      <c r="D552" s="624"/>
      <c r="E552" s="20"/>
    </row>
    <row r="553" customFormat="false" ht="12.75" hidden="false" customHeight="false" outlineLevel="0" collapsed="false">
      <c r="B553" s="624"/>
      <c r="C553" s="627"/>
      <c r="D553" s="624"/>
      <c r="E553" s="20"/>
    </row>
    <row r="554" customFormat="false" ht="12.75" hidden="false" customHeight="false" outlineLevel="0" collapsed="false">
      <c r="B554" s="624"/>
      <c r="C554" s="627"/>
      <c r="D554" s="624"/>
      <c r="E554" s="20"/>
    </row>
    <row r="555" customFormat="false" ht="12.75" hidden="false" customHeight="false" outlineLevel="0" collapsed="false">
      <c r="B555" s="624"/>
      <c r="C555" s="627"/>
      <c r="D555" s="624"/>
      <c r="E555" s="20"/>
    </row>
    <row r="556" customFormat="false" ht="12.75" hidden="false" customHeight="false" outlineLevel="0" collapsed="false">
      <c r="B556" s="624"/>
      <c r="C556" s="627"/>
      <c r="D556" s="624"/>
      <c r="E556" s="20"/>
    </row>
    <row r="557" customFormat="false" ht="12.75" hidden="false" customHeight="false" outlineLevel="0" collapsed="false">
      <c r="B557" s="624"/>
      <c r="C557" s="627"/>
      <c r="D557" s="624"/>
      <c r="E557" s="20"/>
    </row>
    <row r="558" customFormat="false" ht="12.75" hidden="false" customHeight="false" outlineLevel="0" collapsed="false">
      <c r="B558" s="624"/>
      <c r="C558" s="627"/>
      <c r="D558" s="624"/>
      <c r="E558" s="20"/>
    </row>
    <row r="559" customFormat="false" ht="12.75" hidden="false" customHeight="false" outlineLevel="0" collapsed="false">
      <c r="B559" s="624"/>
      <c r="C559" s="627"/>
      <c r="D559" s="624"/>
      <c r="E559" s="20"/>
    </row>
    <row r="560" customFormat="false" ht="12.75" hidden="false" customHeight="false" outlineLevel="0" collapsed="false">
      <c r="B560" s="624"/>
      <c r="C560" s="627"/>
      <c r="D560" s="624"/>
      <c r="E560" s="20"/>
    </row>
    <row r="561" customFormat="false" ht="12.75" hidden="false" customHeight="false" outlineLevel="0" collapsed="false">
      <c r="B561" s="624"/>
      <c r="C561" s="627"/>
      <c r="D561" s="624"/>
      <c r="E561" s="20"/>
    </row>
    <row r="562" customFormat="false" ht="12.75" hidden="false" customHeight="false" outlineLevel="0" collapsed="false">
      <c r="B562" s="624"/>
      <c r="C562" s="627"/>
      <c r="D562" s="624"/>
      <c r="E562" s="20"/>
    </row>
    <row r="563" customFormat="false" ht="12.75" hidden="false" customHeight="false" outlineLevel="0" collapsed="false">
      <c r="B563" s="624"/>
      <c r="C563" s="627"/>
      <c r="D563" s="624"/>
      <c r="E563" s="20"/>
    </row>
    <row r="564" customFormat="false" ht="12.75" hidden="false" customHeight="false" outlineLevel="0" collapsed="false">
      <c r="B564" s="624"/>
      <c r="C564" s="627"/>
      <c r="D564" s="624"/>
      <c r="E564" s="20"/>
    </row>
    <row r="565" customFormat="false" ht="12.75" hidden="false" customHeight="false" outlineLevel="0" collapsed="false">
      <c r="B565" s="624"/>
      <c r="C565" s="627"/>
      <c r="D565" s="624"/>
      <c r="E565" s="20"/>
    </row>
    <row r="566" customFormat="false" ht="12.75" hidden="false" customHeight="false" outlineLevel="0" collapsed="false">
      <c r="B566" s="624"/>
      <c r="C566" s="627"/>
      <c r="D566" s="624"/>
      <c r="E566" s="20"/>
    </row>
    <row r="567" customFormat="false" ht="12.75" hidden="false" customHeight="false" outlineLevel="0" collapsed="false">
      <c r="B567" s="624"/>
      <c r="C567" s="627"/>
      <c r="D567" s="624"/>
      <c r="E567" s="20"/>
    </row>
    <row r="568" customFormat="false" ht="12.75" hidden="false" customHeight="false" outlineLevel="0" collapsed="false">
      <c r="B568" s="624"/>
      <c r="C568" s="627"/>
      <c r="D568" s="624"/>
      <c r="E568" s="20"/>
    </row>
    <row r="569" customFormat="false" ht="12.75" hidden="false" customHeight="false" outlineLevel="0" collapsed="false">
      <c r="B569" s="624"/>
      <c r="C569" s="627"/>
      <c r="D569" s="624"/>
      <c r="E569" s="20"/>
    </row>
    <row r="570" customFormat="false" ht="12.75" hidden="false" customHeight="false" outlineLevel="0" collapsed="false">
      <c r="B570" s="624"/>
      <c r="C570" s="627"/>
      <c r="D570" s="624"/>
      <c r="E570" s="20"/>
    </row>
    <row r="571" customFormat="false" ht="12.75" hidden="false" customHeight="false" outlineLevel="0" collapsed="false">
      <c r="B571" s="624"/>
      <c r="C571" s="627"/>
      <c r="D571" s="624"/>
      <c r="E571" s="20"/>
    </row>
    <row r="572" customFormat="false" ht="12.75" hidden="false" customHeight="false" outlineLevel="0" collapsed="false">
      <c r="B572" s="624"/>
      <c r="C572" s="627"/>
      <c r="D572" s="624"/>
      <c r="E572" s="20"/>
    </row>
    <row r="573" customFormat="false" ht="12.75" hidden="false" customHeight="false" outlineLevel="0" collapsed="false">
      <c r="B573" s="624"/>
      <c r="C573" s="627"/>
      <c r="D573" s="624"/>
      <c r="E573" s="20"/>
    </row>
    <row r="574" customFormat="false" ht="12.75" hidden="false" customHeight="false" outlineLevel="0" collapsed="false">
      <c r="B574" s="624"/>
      <c r="C574" s="627"/>
      <c r="D574" s="624"/>
      <c r="E574" s="20"/>
    </row>
    <row r="575" customFormat="false" ht="12.75" hidden="false" customHeight="false" outlineLevel="0" collapsed="false">
      <c r="B575" s="624"/>
      <c r="C575" s="627"/>
      <c r="D575" s="624"/>
      <c r="E575" s="20"/>
    </row>
    <row r="576" customFormat="false" ht="12.75" hidden="false" customHeight="false" outlineLevel="0" collapsed="false">
      <c r="B576" s="624"/>
      <c r="C576" s="627"/>
      <c r="D576" s="624"/>
      <c r="E576" s="20"/>
    </row>
    <row r="577" customFormat="false" ht="12.75" hidden="false" customHeight="false" outlineLevel="0" collapsed="false">
      <c r="B577" s="624"/>
      <c r="C577" s="627"/>
      <c r="D577" s="624"/>
      <c r="E577" s="20"/>
    </row>
    <row r="578" customFormat="false" ht="12.75" hidden="false" customHeight="false" outlineLevel="0" collapsed="false">
      <c r="B578" s="624"/>
      <c r="C578" s="627"/>
      <c r="D578" s="624"/>
      <c r="E578" s="20"/>
    </row>
    <row r="579" customFormat="false" ht="12.75" hidden="false" customHeight="false" outlineLevel="0" collapsed="false">
      <c r="B579" s="624"/>
      <c r="C579" s="627"/>
      <c r="D579" s="624"/>
      <c r="E579" s="20"/>
    </row>
    <row r="580" customFormat="false" ht="12.75" hidden="false" customHeight="false" outlineLevel="0" collapsed="false">
      <c r="B580" s="624"/>
      <c r="C580" s="627"/>
      <c r="D580" s="624"/>
      <c r="E580" s="20"/>
    </row>
    <row r="581" customFormat="false" ht="12.75" hidden="false" customHeight="false" outlineLevel="0" collapsed="false">
      <c r="B581" s="624"/>
      <c r="C581" s="627"/>
      <c r="D581" s="624"/>
      <c r="E581" s="20"/>
    </row>
    <row r="582" customFormat="false" ht="12.75" hidden="false" customHeight="false" outlineLevel="0" collapsed="false">
      <c r="B582" s="624"/>
      <c r="C582" s="627"/>
      <c r="D582" s="624"/>
      <c r="E582" s="20"/>
    </row>
    <row r="583" customFormat="false" ht="12.75" hidden="false" customHeight="false" outlineLevel="0" collapsed="false">
      <c r="B583" s="624"/>
      <c r="C583" s="627"/>
      <c r="D583" s="624"/>
      <c r="E583" s="20"/>
    </row>
    <row r="584" customFormat="false" ht="12.75" hidden="false" customHeight="false" outlineLevel="0" collapsed="false">
      <c r="B584" s="624"/>
      <c r="C584" s="627"/>
      <c r="D584" s="624"/>
      <c r="E584" s="20"/>
    </row>
    <row r="585" customFormat="false" ht="12.75" hidden="false" customHeight="false" outlineLevel="0" collapsed="false">
      <c r="B585" s="624"/>
      <c r="C585" s="627"/>
      <c r="D585" s="624"/>
      <c r="E585" s="20"/>
    </row>
    <row r="586" customFormat="false" ht="12.75" hidden="false" customHeight="false" outlineLevel="0" collapsed="false">
      <c r="B586" s="624"/>
      <c r="C586" s="627"/>
      <c r="D586" s="624"/>
      <c r="E586" s="20"/>
    </row>
    <row r="587" customFormat="false" ht="12.75" hidden="false" customHeight="false" outlineLevel="0" collapsed="false">
      <c r="B587" s="624"/>
      <c r="C587" s="627"/>
      <c r="D587" s="624"/>
      <c r="E587" s="20"/>
    </row>
    <row r="588" customFormat="false" ht="12.75" hidden="false" customHeight="false" outlineLevel="0" collapsed="false">
      <c r="B588" s="624"/>
      <c r="C588" s="627"/>
      <c r="D588" s="624"/>
      <c r="E588" s="20"/>
    </row>
    <row r="589" customFormat="false" ht="12.75" hidden="false" customHeight="false" outlineLevel="0" collapsed="false">
      <c r="B589" s="624"/>
      <c r="C589" s="627"/>
      <c r="D589" s="624"/>
      <c r="E589" s="20"/>
    </row>
    <row r="590" customFormat="false" ht="12.75" hidden="false" customHeight="false" outlineLevel="0" collapsed="false">
      <c r="B590" s="624"/>
      <c r="C590" s="627"/>
      <c r="D590" s="624"/>
      <c r="E590" s="20"/>
    </row>
    <row r="591" customFormat="false" ht="12.75" hidden="false" customHeight="false" outlineLevel="0" collapsed="false">
      <c r="B591" s="624"/>
      <c r="C591" s="627"/>
      <c r="D591" s="624"/>
      <c r="E591" s="20"/>
    </row>
    <row r="592" customFormat="false" ht="12.75" hidden="false" customHeight="false" outlineLevel="0" collapsed="false">
      <c r="B592" s="624"/>
      <c r="C592" s="627"/>
      <c r="D592" s="624"/>
      <c r="E592" s="20"/>
    </row>
    <row r="593" customFormat="false" ht="12.75" hidden="false" customHeight="false" outlineLevel="0" collapsed="false">
      <c r="B593" s="624"/>
      <c r="C593" s="627"/>
      <c r="D593" s="624"/>
      <c r="E593" s="20"/>
    </row>
    <row r="594" customFormat="false" ht="12.75" hidden="false" customHeight="false" outlineLevel="0" collapsed="false">
      <c r="B594" s="624"/>
      <c r="C594" s="627"/>
      <c r="D594" s="624"/>
      <c r="E594" s="20"/>
    </row>
    <row r="595" customFormat="false" ht="12.75" hidden="false" customHeight="false" outlineLevel="0" collapsed="false">
      <c r="B595" s="624"/>
      <c r="C595" s="627"/>
      <c r="D595" s="624"/>
      <c r="E595" s="20"/>
    </row>
    <row r="596" customFormat="false" ht="12.75" hidden="false" customHeight="false" outlineLevel="0" collapsed="false">
      <c r="B596" s="624"/>
      <c r="C596" s="627"/>
      <c r="D596" s="624"/>
      <c r="E596" s="20"/>
    </row>
    <row r="597" customFormat="false" ht="12.75" hidden="false" customHeight="false" outlineLevel="0" collapsed="false">
      <c r="B597" s="624"/>
      <c r="C597" s="627"/>
      <c r="D597" s="624"/>
      <c r="E597" s="20"/>
    </row>
    <row r="598" customFormat="false" ht="12.75" hidden="false" customHeight="false" outlineLevel="0" collapsed="false">
      <c r="B598" s="624"/>
      <c r="C598" s="627"/>
      <c r="D598" s="624"/>
      <c r="E598" s="20"/>
    </row>
    <row r="599" customFormat="false" ht="12.75" hidden="false" customHeight="false" outlineLevel="0" collapsed="false">
      <c r="B599" s="624"/>
      <c r="C599" s="627"/>
      <c r="D599" s="624"/>
      <c r="E599" s="20"/>
    </row>
    <row r="600" customFormat="false" ht="12.75" hidden="false" customHeight="false" outlineLevel="0" collapsed="false">
      <c r="B600" s="624"/>
      <c r="C600" s="627"/>
      <c r="D600" s="624"/>
      <c r="E600" s="20"/>
    </row>
    <row r="601" customFormat="false" ht="12.75" hidden="false" customHeight="false" outlineLevel="0" collapsed="false">
      <c r="B601" s="624"/>
      <c r="C601" s="627"/>
      <c r="D601" s="624"/>
      <c r="E601" s="20"/>
    </row>
    <row r="602" customFormat="false" ht="12.75" hidden="false" customHeight="false" outlineLevel="0" collapsed="false">
      <c r="B602" s="624"/>
      <c r="C602" s="627"/>
      <c r="D602" s="624"/>
      <c r="E602" s="20"/>
    </row>
    <row r="603" customFormat="false" ht="12.75" hidden="false" customHeight="false" outlineLevel="0" collapsed="false">
      <c r="B603" s="624"/>
      <c r="C603" s="627"/>
      <c r="D603" s="624"/>
      <c r="E603" s="20"/>
    </row>
    <row r="604" customFormat="false" ht="12.75" hidden="false" customHeight="false" outlineLevel="0" collapsed="false">
      <c r="B604" s="624"/>
      <c r="C604" s="627"/>
      <c r="D604" s="624"/>
      <c r="E604" s="20"/>
    </row>
    <row r="605" customFormat="false" ht="12.75" hidden="false" customHeight="false" outlineLevel="0" collapsed="false">
      <c r="B605" s="624"/>
      <c r="C605" s="627"/>
      <c r="D605" s="624"/>
      <c r="E605" s="20"/>
    </row>
    <row r="606" customFormat="false" ht="12.75" hidden="false" customHeight="false" outlineLevel="0" collapsed="false">
      <c r="B606" s="624"/>
      <c r="C606" s="627"/>
      <c r="D606" s="624"/>
      <c r="E606" s="20"/>
    </row>
    <row r="607" customFormat="false" ht="12.75" hidden="false" customHeight="false" outlineLevel="0" collapsed="false">
      <c r="B607" s="624"/>
      <c r="C607" s="627"/>
      <c r="D607" s="624"/>
      <c r="E607" s="20"/>
    </row>
    <row r="608" customFormat="false" ht="12.75" hidden="false" customHeight="false" outlineLevel="0" collapsed="false">
      <c r="B608" s="624"/>
      <c r="C608" s="627"/>
      <c r="D608" s="624"/>
      <c r="E608" s="20"/>
    </row>
    <row r="609" customFormat="false" ht="12.75" hidden="false" customHeight="false" outlineLevel="0" collapsed="false">
      <c r="B609" s="624"/>
      <c r="C609" s="627"/>
      <c r="D609" s="624"/>
      <c r="E609" s="20"/>
    </row>
    <row r="610" customFormat="false" ht="12.75" hidden="false" customHeight="false" outlineLevel="0" collapsed="false">
      <c r="B610" s="624"/>
      <c r="C610" s="627"/>
      <c r="D610" s="624"/>
      <c r="E610" s="20"/>
    </row>
    <row r="611" customFormat="false" ht="12.75" hidden="false" customHeight="false" outlineLevel="0" collapsed="false">
      <c r="B611" s="624"/>
      <c r="C611" s="627"/>
      <c r="D611" s="624"/>
      <c r="E611" s="20"/>
    </row>
    <row r="612" customFormat="false" ht="12.75" hidden="false" customHeight="false" outlineLevel="0" collapsed="false">
      <c r="B612" s="624"/>
      <c r="C612" s="627"/>
      <c r="D612" s="624"/>
      <c r="E612" s="20"/>
    </row>
    <row r="613" customFormat="false" ht="12.75" hidden="false" customHeight="false" outlineLevel="0" collapsed="false">
      <c r="B613" s="624"/>
      <c r="C613" s="627"/>
      <c r="D613" s="624"/>
      <c r="E613" s="20"/>
    </row>
    <row r="614" customFormat="false" ht="12.75" hidden="false" customHeight="false" outlineLevel="0" collapsed="false">
      <c r="B614" s="624"/>
      <c r="C614" s="627"/>
      <c r="D614" s="624"/>
      <c r="E614" s="20"/>
    </row>
    <row r="615" customFormat="false" ht="12.75" hidden="false" customHeight="false" outlineLevel="0" collapsed="false">
      <c r="B615" s="624"/>
      <c r="C615" s="627"/>
      <c r="D615" s="624"/>
      <c r="E615" s="20"/>
    </row>
    <row r="616" customFormat="false" ht="12.75" hidden="false" customHeight="false" outlineLevel="0" collapsed="false">
      <c r="B616" s="624"/>
      <c r="C616" s="627"/>
      <c r="D616" s="624"/>
      <c r="E616" s="20"/>
    </row>
    <row r="617" customFormat="false" ht="12.75" hidden="false" customHeight="false" outlineLevel="0" collapsed="false">
      <c r="B617" s="624"/>
      <c r="C617" s="627"/>
      <c r="D617" s="624"/>
      <c r="E617" s="20"/>
    </row>
    <row r="618" customFormat="false" ht="12.75" hidden="false" customHeight="false" outlineLevel="0" collapsed="false">
      <c r="B618" s="624"/>
      <c r="C618" s="627"/>
      <c r="D618" s="624"/>
      <c r="E618" s="20"/>
    </row>
    <row r="619" customFormat="false" ht="12.75" hidden="false" customHeight="false" outlineLevel="0" collapsed="false">
      <c r="B619" s="624"/>
      <c r="C619" s="627"/>
      <c r="D619" s="624"/>
      <c r="E619" s="20"/>
    </row>
    <row r="620" customFormat="false" ht="12.75" hidden="false" customHeight="false" outlineLevel="0" collapsed="false">
      <c r="B620" s="624"/>
      <c r="C620" s="627"/>
      <c r="D620" s="624"/>
      <c r="E620" s="20"/>
    </row>
    <row r="621" customFormat="false" ht="12.75" hidden="false" customHeight="false" outlineLevel="0" collapsed="false">
      <c r="B621" s="624"/>
      <c r="C621" s="627"/>
      <c r="D621" s="624"/>
      <c r="E621" s="20"/>
    </row>
    <row r="622" customFormat="false" ht="12.75" hidden="false" customHeight="false" outlineLevel="0" collapsed="false">
      <c r="B622" s="624"/>
      <c r="C622" s="627"/>
      <c r="D622" s="624"/>
      <c r="E622" s="20"/>
    </row>
    <row r="623" customFormat="false" ht="12.75" hidden="false" customHeight="false" outlineLevel="0" collapsed="false">
      <c r="B623" s="624"/>
      <c r="C623" s="627"/>
      <c r="D623" s="624"/>
      <c r="E623" s="20"/>
    </row>
    <row r="624" customFormat="false" ht="12.75" hidden="false" customHeight="false" outlineLevel="0" collapsed="false">
      <c r="B624" s="624"/>
      <c r="C624" s="627"/>
      <c r="D624" s="624"/>
      <c r="E624" s="20"/>
    </row>
    <row r="625" customFormat="false" ht="12.75" hidden="false" customHeight="false" outlineLevel="0" collapsed="false">
      <c r="B625" s="624"/>
      <c r="C625" s="627"/>
      <c r="D625" s="624"/>
      <c r="E625" s="20"/>
    </row>
    <row r="626" customFormat="false" ht="12.75" hidden="false" customHeight="false" outlineLevel="0" collapsed="false">
      <c r="B626" s="624"/>
      <c r="C626" s="627"/>
      <c r="D626" s="624"/>
      <c r="E626" s="20"/>
    </row>
    <row r="627" customFormat="false" ht="12.75" hidden="false" customHeight="false" outlineLevel="0" collapsed="false">
      <c r="B627" s="624"/>
      <c r="C627" s="627"/>
      <c r="D627" s="624"/>
      <c r="E627" s="20"/>
    </row>
    <row r="628" customFormat="false" ht="12.75" hidden="false" customHeight="false" outlineLevel="0" collapsed="false">
      <c r="B628" s="624"/>
      <c r="C628" s="627"/>
      <c r="D628" s="624"/>
      <c r="E628" s="20"/>
    </row>
    <row r="629" customFormat="false" ht="12.75" hidden="false" customHeight="false" outlineLevel="0" collapsed="false">
      <c r="B629" s="624"/>
      <c r="C629" s="627"/>
      <c r="D629" s="624"/>
      <c r="E629" s="20"/>
    </row>
    <row r="630" customFormat="false" ht="12.75" hidden="false" customHeight="false" outlineLevel="0" collapsed="false">
      <c r="B630" s="624"/>
      <c r="C630" s="627"/>
      <c r="D630" s="624"/>
      <c r="E630" s="20"/>
    </row>
    <row r="631" customFormat="false" ht="12.75" hidden="false" customHeight="false" outlineLevel="0" collapsed="false">
      <c r="B631" s="624"/>
      <c r="C631" s="627"/>
      <c r="D631" s="624"/>
      <c r="E631" s="20"/>
    </row>
    <row r="632" customFormat="false" ht="12.75" hidden="false" customHeight="false" outlineLevel="0" collapsed="false">
      <c r="B632" s="624"/>
      <c r="C632" s="627"/>
      <c r="D632" s="624"/>
      <c r="E632" s="20"/>
    </row>
    <row r="633" customFormat="false" ht="12.75" hidden="false" customHeight="false" outlineLevel="0" collapsed="false">
      <c r="B633" s="624"/>
      <c r="C633" s="627"/>
      <c r="D633" s="624"/>
      <c r="E633" s="20"/>
    </row>
    <row r="634" customFormat="false" ht="12.75" hidden="false" customHeight="false" outlineLevel="0" collapsed="false">
      <c r="B634" s="624"/>
      <c r="C634" s="627"/>
      <c r="D634" s="624"/>
      <c r="E634" s="20"/>
    </row>
    <row r="635" customFormat="false" ht="12.75" hidden="false" customHeight="false" outlineLevel="0" collapsed="false">
      <c r="B635" s="624"/>
      <c r="C635" s="627"/>
      <c r="D635" s="624"/>
      <c r="E635" s="20"/>
    </row>
    <row r="636" customFormat="false" ht="12.75" hidden="false" customHeight="false" outlineLevel="0" collapsed="false">
      <c r="B636" s="624"/>
      <c r="C636" s="627"/>
      <c r="D636" s="624"/>
      <c r="E636" s="20"/>
    </row>
    <row r="637" customFormat="false" ht="12.75" hidden="false" customHeight="false" outlineLevel="0" collapsed="false">
      <c r="B637" s="624"/>
      <c r="C637" s="627"/>
      <c r="D637" s="624"/>
      <c r="E637" s="20"/>
    </row>
    <row r="638" customFormat="false" ht="12.75" hidden="false" customHeight="false" outlineLevel="0" collapsed="false">
      <c r="B638" s="624"/>
      <c r="C638" s="627"/>
      <c r="D638" s="624"/>
      <c r="E638" s="20"/>
    </row>
    <row r="639" customFormat="false" ht="12.75" hidden="false" customHeight="false" outlineLevel="0" collapsed="false">
      <c r="B639" s="624"/>
      <c r="C639" s="627"/>
      <c r="D639" s="624"/>
      <c r="E639" s="20"/>
    </row>
    <row r="640" customFormat="false" ht="12.75" hidden="false" customHeight="false" outlineLevel="0" collapsed="false">
      <c r="B640" s="624"/>
      <c r="C640" s="627"/>
      <c r="D640" s="624"/>
      <c r="E640" s="20"/>
    </row>
    <row r="641" customFormat="false" ht="12.75" hidden="false" customHeight="false" outlineLevel="0" collapsed="false">
      <c r="B641" s="624"/>
      <c r="C641" s="627"/>
      <c r="D641" s="624"/>
      <c r="E641" s="20"/>
    </row>
    <row r="642" customFormat="false" ht="12.75" hidden="false" customHeight="false" outlineLevel="0" collapsed="false">
      <c r="B642" s="624"/>
      <c r="C642" s="627"/>
      <c r="D642" s="624"/>
      <c r="E642" s="20"/>
    </row>
    <row r="643" customFormat="false" ht="12.75" hidden="false" customHeight="false" outlineLevel="0" collapsed="false">
      <c r="B643" s="624"/>
      <c r="C643" s="627"/>
      <c r="D643" s="624"/>
      <c r="E643" s="20"/>
    </row>
    <row r="644" customFormat="false" ht="12.75" hidden="false" customHeight="false" outlineLevel="0" collapsed="false">
      <c r="B644" s="624"/>
      <c r="C644" s="627"/>
      <c r="D644" s="624"/>
      <c r="E644" s="20"/>
    </row>
    <row r="645" customFormat="false" ht="12.75" hidden="false" customHeight="false" outlineLevel="0" collapsed="false">
      <c r="B645" s="624"/>
      <c r="C645" s="627"/>
      <c r="D645" s="624"/>
      <c r="E645" s="20"/>
    </row>
    <row r="646" customFormat="false" ht="12.75" hidden="false" customHeight="false" outlineLevel="0" collapsed="false">
      <c r="B646" s="624"/>
      <c r="C646" s="627"/>
      <c r="D646" s="624"/>
      <c r="E646" s="20"/>
    </row>
    <row r="647" customFormat="false" ht="12.75" hidden="false" customHeight="false" outlineLevel="0" collapsed="false">
      <c r="B647" s="624"/>
      <c r="C647" s="627"/>
      <c r="D647" s="624"/>
      <c r="E647" s="20"/>
    </row>
    <row r="648" customFormat="false" ht="12.75" hidden="false" customHeight="false" outlineLevel="0" collapsed="false">
      <c r="B648" s="624"/>
      <c r="C648" s="627"/>
      <c r="D648" s="624"/>
      <c r="E648" s="20"/>
    </row>
    <row r="649" customFormat="false" ht="12.75" hidden="false" customHeight="false" outlineLevel="0" collapsed="false">
      <c r="B649" s="624"/>
      <c r="C649" s="627"/>
      <c r="D649" s="624"/>
      <c r="E649" s="20"/>
    </row>
    <row r="650" customFormat="false" ht="12.75" hidden="false" customHeight="false" outlineLevel="0" collapsed="false">
      <c r="B650" s="624"/>
      <c r="C650" s="627"/>
      <c r="D650" s="624"/>
      <c r="E650" s="20"/>
    </row>
    <row r="651" customFormat="false" ht="12.75" hidden="false" customHeight="false" outlineLevel="0" collapsed="false">
      <c r="B651" s="624"/>
      <c r="C651" s="627"/>
      <c r="D651" s="624"/>
      <c r="E651" s="20"/>
    </row>
    <row r="652" customFormat="false" ht="12.75" hidden="false" customHeight="false" outlineLevel="0" collapsed="false">
      <c r="B652" s="624"/>
      <c r="C652" s="627"/>
      <c r="D652" s="624"/>
      <c r="E652" s="20"/>
    </row>
    <row r="653" customFormat="false" ht="12.75" hidden="false" customHeight="false" outlineLevel="0" collapsed="false">
      <c r="B653" s="624"/>
      <c r="C653" s="627"/>
      <c r="D653" s="624"/>
      <c r="E653" s="20"/>
    </row>
    <row r="654" customFormat="false" ht="12.75" hidden="false" customHeight="false" outlineLevel="0" collapsed="false">
      <c r="B654" s="624"/>
      <c r="C654" s="627"/>
      <c r="D654" s="624"/>
      <c r="E654" s="20"/>
    </row>
    <row r="655" customFormat="false" ht="12.75" hidden="false" customHeight="false" outlineLevel="0" collapsed="false">
      <c r="B655" s="624"/>
      <c r="C655" s="627"/>
      <c r="D655" s="624"/>
      <c r="E655" s="20"/>
    </row>
    <row r="656" customFormat="false" ht="12.75" hidden="false" customHeight="false" outlineLevel="0" collapsed="false">
      <c r="B656" s="624"/>
      <c r="C656" s="627"/>
      <c r="D656" s="624"/>
      <c r="E656" s="20"/>
    </row>
    <row r="657" customFormat="false" ht="12.75" hidden="false" customHeight="false" outlineLevel="0" collapsed="false">
      <c r="B657" s="624"/>
      <c r="C657" s="627"/>
      <c r="D657" s="624"/>
      <c r="E657" s="20"/>
    </row>
    <row r="658" customFormat="false" ht="12.75" hidden="false" customHeight="false" outlineLevel="0" collapsed="false">
      <c r="B658" s="624"/>
      <c r="C658" s="627"/>
      <c r="D658" s="624"/>
      <c r="E658" s="20"/>
    </row>
    <row r="659" customFormat="false" ht="12.75" hidden="false" customHeight="false" outlineLevel="0" collapsed="false">
      <c r="B659" s="624"/>
      <c r="C659" s="627"/>
      <c r="D659" s="624"/>
      <c r="E659" s="20"/>
    </row>
    <row r="660" customFormat="false" ht="12.75" hidden="false" customHeight="false" outlineLevel="0" collapsed="false">
      <c r="B660" s="624"/>
      <c r="C660" s="627"/>
      <c r="D660" s="624"/>
      <c r="E660" s="20"/>
    </row>
    <row r="661" customFormat="false" ht="12.75" hidden="false" customHeight="false" outlineLevel="0" collapsed="false">
      <c r="B661" s="624"/>
      <c r="C661" s="627"/>
      <c r="D661" s="624"/>
      <c r="E661" s="20"/>
    </row>
    <row r="662" customFormat="false" ht="12.75" hidden="false" customHeight="false" outlineLevel="0" collapsed="false">
      <c r="B662" s="624"/>
      <c r="C662" s="627"/>
      <c r="D662" s="624"/>
      <c r="E662" s="20"/>
    </row>
    <row r="663" customFormat="false" ht="12.75" hidden="false" customHeight="false" outlineLevel="0" collapsed="false">
      <c r="B663" s="624"/>
      <c r="C663" s="627"/>
      <c r="D663" s="624"/>
      <c r="E663" s="20"/>
    </row>
    <row r="664" customFormat="false" ht="12.75" hidden="false" customHeight="false" outlineLevel="0" collapsed="false">
      <c r="B664" s="624"/>
      <c r="C664" s="627"/>
      <c r="D664" s="624"/>
      <c r="E664" s="20"/>
    </row>
    <row r="665" customFormat="false" ht="12.75" hidden="false" customHeight="false" outlineLevel="0" collapsed="false">
      <c r="B665" s="624"/>
      <c r="C665" s="627"/>
      <c r="D665" s="624"/>
      <c r="E665" s="20"/>
    </row>
    <row r="666" customFormat="false" ht="12.75" hidden="false" customHeight="false" outlineLevel="0" collapsed="false">
      <c r="B666" s="624"/>
      <c r="C666" s="627"/>
      <c r="D666" s="624"/>
      <c r="E666" s="20"/>
    </row>
    <row r="667" customFormat="false" ht="12.75" hidden="false" customHeight="false" outlineLevel="0" collapsed="false">
      <c r="B667" s="624"/>
      <c r="C667" s="627"/>
      <c r="D667" s="624"/>
      <c r="E667" s="20"/>
    </row>
    <row r="668" customFormat="false" ht="12.75" hidden="false" customHeight="false" outlineLevel="0" collapsed="false">
      <c r="B668" s="624"/>
      <c r="C668" s="627"/>
      <c r="D668" s="624"/>
      <c r="E668" s="20"/>
    </row>
    <row r="669" customFormat="false" ht="12.75" hidden="false" customHeight="false" outlineLevel="0" collapsed="false">
      <c r="B669" s="624"/>
      <c r="C669" s="627"/>
      <c r="D669" s="624"/>
      <c r="E669" s="20"/>
    </row>
    <row r="670" customFormat="false" ht="12.75" hidden="false" customHeight="false" outlineLevel="0" collapsed="false">
      <c r="B670" s="624"/>
      <c r="C670" s="627"/>
      <c r="D670" s="624"/>
      <c r="E670" s="20"/>
    </row>
    <row r="671" customFormat="false" ht="12.75" hidden="false" customHeight="false" outlineLevel="0" collapsed="false">
      <c r="B671" s="624"/>
      <c r="C671" s="627"/>
      <c r="D671" s="624"/>
      <c r="E671" s="20"/>
    </row>
    <row r="672" customFormat="false" ht="12.75" hidden="false" customHeight="false" outlineLevel="0" collapsed="false">
      <c r="B672" s="624"/>
      <c r="C672" s="627"/>
      <c r="D672" s="624"/>
      <c r="E672" s="20"/>
    </row>
    <row r="673" customFormat="false" ht="12.75" hidden="false" customHeight="false" outlineLevel="0" collapsed="false">
      <c r="B673" s="624"/>
      <c r="C673" s="627"/>
      <c r="D673" s="624"/>
      <c r="E673" s="20"/>
    </row>
    <row r="674" customFormat="false" ht="12.75" hidden="false" customHeight="false" outlineLevel="0" collapsed="false">
      <c r="B674" s="624"/>
      <c r="C674" s="627"/>
      <c r="D674" s="624"/>
      <c r="E674" s="20"/>
    </row>
    <row r="675" customFormat="false" ht="12.75" hidden="false" customHeight="false" outlineLevel="0" collapsed="false">
      <c r="B675" s="624"/>
      <c r="C675" s="627"/>
      <c r="D675" s="624"/>
      <c r="E675" s="20"/>
    </row>
    <row r="676" customFormat="false" ht="12.75" hidden="false" customHeight="false" outlineLevel="0" collapsed="false">
      <c r="B676" s="624"/>
      <c r="C676" s="627"/>
      <c r="D676" s="624"/>
      <c r="E676" s="20"/>
    </row>
    <row r="677" customFormat="false" ht="12.75" hidden="false" customHeight="false" outlineLevel="0" collapsed="false">
      <c r="B677" s="624"/>
      <c r="C677" s="627"/>
      <c r="D677" s="624"/>
      <c r="E677" s="20"/>
    </row>
    <row r="678" customFormat="false" ht="12.75" hidden="false" customHeight="false" outlineLevel="0" collapsed="false">
      <c r="B678" s="624"/>
      <c r="C678" s="627"/>
      <c r="D678" s="624"/>
      <c r="E678" s="20"/>
    </row>
    <row r="679" customFormat="false" ht="12.75" hidden="false" customHeight="false" outlineLevel="0" collapsed="false">
      <c r="B679" s="624"/>
      <c r="C679" s="627"/>
      <c r="D679" s="624"/>
      <c r="E679" s="20"/>
    </row>
    <row r="680" customFormat="false" ht="12.75" hidden="false" customHeight="false" outlineLevel="0" collapsed="false">
      <c r="B680" s="624"/>
      <c r="C680" s="627"/>
      <c r="D680" s="624"/>
      <c r="E680" s="20"/>
    </row>
    <row r="681" customFormat="false" ht="12.75" hidden="false" customHeight="false" outlineLevel="0" collapsed="false">
      <c r="B681" s="624"/>
      <c r="C681" s="627"/>
      <c r="D681" s="624"/>
      <c r="E681" s="20"/>
    </row>
    <row r="682" customFormat="false" ht="12.75" hidden="false" customHeight="false" outlineLevel="0" collapsed="false">
      <c r="B682" s="624"/>
      <c r="C682" s="627"/>
      <c r="D682" s="624"/>
      <c r="E682" s="20"/>
    </row>
    <row r="683" customFormat="false" ht="12.75" hidden="false" customHeight="false" outlineLevel="0" collapsed="false">
      <c r="B683" s="624"/>
      <c r="C683" s="627"/>
      <c r="D683" s="624"/>
      <c r="E683" s="20"/>
    </row>
    <row r="684" customFormat="false" ht="12.75" hidden="false" customHeight="false" outlineLevel="0" collapsed="false">
      <c r="B684" s="624"/>
      <c r="C684" s="627"/>
      <c r="D684" s="624"/>
      <c r="E684" s="20"/>
    </row>
    <row r="685" customFormat="false" ht="12.75" hidden="false" customHeight="false" outlineLevel="0" collapsed="false">
      <c r="B685" s="624"/>
      <c r="C685" s="627"/>
      <c r="D685" s="624"/>
      <c r="E685" s="20"/>
    </row>
    <row r="686" customFormat="false" ht="12.75" hidden="false" customHeight="false" outlineLevel="0" collapsed="false">
      <c r="B686" s="624"/>
      <c r="C686" s="627"/>
      <c r="D686" s="624"/>
      <c r="E686" s="20"/>
    </row>
    <row r="687" customFormat="false" ht="12.75" hidden="false" customHeight="false" outlineLevel="0" collapsed="false">
      <c r="B687" s="624"/>
      <c r="C687" s="627"/>
      <c r="D687" s="624"/>
      <c r="E687" s="20"/>
    </row>
    <row r="688" customFormat="false" ht="12.75" hidden="false" customHeight="false" outlineLevel="0" collapsed="false">
      <c r="B688" s="624"/>
      <c r="C688" s="627"/>
      <c r="D688" s="624"/>
      <c r="E688" s="20"/>
    </row>
    <row r="689" customFormat="false" ht="12.75" hidden="false" customHeight="false" outlineLevel="0" collapsed="false">
      <c r="B689" s="624"/>
      <c r="C689" s="627"/>
      <c r="D689" s="624"/>
      <c r="E689" s="20"/>
    </row>
    <row r="690" customFormat="false" ht="12.75" hidden="false" customHeight="false" outlineLevel="0" collapsed="false">
      <c r="B690" s="624"/>
      <c r="C690" s="627"/>
      <c r="D690" s="624"/>
      <c r="E690" s="20"/>
    </row>
    <row r="691" customFormat="false" ht="12.75" hidden="false" customHeight="false" outlineLevel="0" collapsed="false">
      <c r="B691" s="624"/>
      <c r="C691" s="627"/>
      <c r="D691" s="624"/>
      <c r="E691" s="20"/>
    </row>
    <row r="692" customFormat="false" ht="12.75" hidden="false" customHeight="false" outlineLevel="0" collapsed="false">
      <c r="B692" s="624"/>
      <c r="C692" s="627"/>
      <c r="D692" s="624"/>
      <c r="E692" s="20"/>
    </row>
    <row r="693" customFormat="false" ht="12.75" hidden="false" customHeight="false" outlineLevel="0" collapsed="false">
      <c r="B693" s="624"/>
      <c r="C693" s="627"/>
      <c r="D693" s="624"/>
      <c r="E693" s="20"/>
    </row>
    <row r="694" customFormat="false" ht="12.75" hidden="false" customHeight="false" outlineLevel="0" collapsed="false">
      <c r="B694" s="624"/>
      <c r="C694" s="627"/>
      <c r="D694" s="624"/>
      <c r="E694" s="20"/>
    </row>
    <row r="695" customFormat="false" ht="12.75" hidden="false" customHeight="false" outlineLevel="0" collapsed="false">
      <c r="B695" s="624"/>
      <c r="C695" s="627"/>
      <c r="D695" s="624"/>
      <c r="E695" s="20"/>
    </row>
    <row r="696" customFormat="false" ht="12.75" hidden="false" customHeight="false" outlineLevel="0" collapsed="false">
      <c r="B696" s="624"/>
      <c r="C696" s="627"/>
      <c r="D696" s="624"/>
      <c r="E696" s="20"/>
    </row>
    <row r="697" customFormat="false" ht="12.75" hidden="false" customHeight="false" outlineLevel="0" collapsed="false">
      <c r="B697" s="624"/>
      <c r="C697" s="627"/>
      <c r="D697" s="624"/>
      <c r="E697" s="20"/>
    </row>
    <row r="698" customFormat="false" ht="12.75" hidden="false" customHeight="false" outlineLevel="0" collapsed="false">
      <c r="B698" s="624"/>
      <c r="C698" s="627"/>
      <c r="D698" s="624"/>
      <c r="E698" s="20"/>
    </row>
    <row r="699" customFormat="false" ht="12.75" hidden="false" customHeight="false" outlineLevel="0" collapsed="false">
      <c r="B699" s="624"/>
      <c r="C699" s="627"/>
      <c r="D699" s="624"/>
      <c r="E699" s="20"/>
    </row>
    <row r="700" customFormat="false" ht="12.75" hidden="false" customHeight="false" outlineLevel="0" collapsed="false">
      <c r="B700" s="624"/>
      <c r="C700" s="627"/>
      <c r="D700" s="624"/>
      <c r="E700" s="20"/>
    </row>
    <row r="701" customFormat="false" ht="12.75" hidden="false" customHeight="false" outlineLevel="0" collapsed="false">
      <c r="B701" s="624"/>
      <c r="C701" s="627"/>
      <c r="D701" s="624"/>
      <c r="E701" s="20"/>
    </row>
    <row r="702" customFormat="false" ht="12.75" hidden="false" customHeight="false" outlineLevel="0" collapsed="false">
      <c r="B702" s="624"/>
      <c r="C702" s="627"/>
      <c r="D702" s="624"/>
      <c r="E702" s="20"/>
    </row>
    <row r="703" customFormat="false" ht="12.75" hidden="false" customHeight="false" outlineLevel="0" collapsed="false">
      <c r="B703" s="624"/>
      <c r="C703" s="627"/>
      <c r="D703" s="624"/>
      <c r="E703" s="20"/>
    </row>
    <row r="704" customFormat="false" ht="12.75" hidden="false" customHeight="false" outlineLevel="0" collapsed="false">
      <c r="B704" s="624"/>
      <c r="C704" s="627"/>
      <c r="D704" s="624"/>
      <c r="E704" s="20"/>
    </row>
    <row r="705" customFormat="false" ht="12.75" hidden="false" customHeight="false" outlineLevel="0" collapsed="false">
      <c r="B705" s="624"/>
      <c r="C705" s="627"/>
      <c r="D705" s="624"/>
      <c r="E705" s="20"/>
    </row>
    <row r="706" customFormat="false" ht="12.75" hidden="false" customHeight="false" outlineLevel="0" collapsed="false">
      <c r="B706" s="624"/>
      <c r="C706" s="627"/>
      <c r="D706" s="624"/>
      <c r="E706" s="20"/>
    </row>
    <row r="707" customFormat="false" ht="12.75" hidden="false" customHeight="false" outlineLevel="0" collapsed="false">
      <c r="B707" s="624"/>
      <c r="C707" s="627"/>
      <c r="D707" s="624"/>
      <c r="E707" s="20"/>
    </row>
    <row r="708" customFormat="false" ht="12.75" hidden="false" customHeight="false" outlineLevel="0" collapsed="false">
      <c r="B708" s="624"/>
      <c r="C708" s="627"/>
      <c r="D708" s="624"/>
      <c r="E708" s="20"/>
    </row>
    <row r="709" customFormat="false" ht="12.75" hidden="false" customHeight="false" outlineLevel="0" collapsed="false">
      <c r="B709" s="624"/>
      <c r="C709" s="627"/>
      <c r="D709" s="624"/>
      <c r="E709" s="20"/>
    </row>
    <row r="710" customFormat="false" ht="12.75" hidden="false" customHeight="false" outlineLevel="0" collapsed="false">
      <c r="B710" s="624"/>
      <c r="C710" s="627"/>
      <c r="D710" s="624"/>
      <c r="E710" s="20"/>
    </row>
    <row r="711" customFormat="false" ht="12.75" hidden="false" customHeight="false" outlineLevel="0" collapsed="false">
      <c r="B711" s="624"/>
      <c r="C711" s="627"/>
      <c r="D711" s="624"/>
      <c r="E711" s="20"/>
    </row>
    <row r="712" customFormat="false" ht="12.75" hidden="false" customHeight="false" outlineLevel="0" collapsed="false">
      <c r="B712" s="624"/>
      <c r="C712" s="627"/>
      <c r="D712" s="624"/>
      <c r="E712" s="20"/>
    </row>
    <row r="713" customFormat="false" ht="12.75" hidden="false" customHeight="false" outlineLevel="0" collapsed="false">
      <c r="B713" s="624"/>
      <c r="C713" s="627"/>
      <c r="D713" s="624"/>
      <c r="E713" s="20"/>
    </row>
    <row r="714" customFormat="false" ht="12.75" hidden="false" customHeight="false" outlineLevel="0" collapsed="false">
      <c r="B714" s="624"/>
      <c r="C714" s="627"/>
      <c r="D714" s="624"/>
      <c r="E714" s="20"/>
    </row>
    <row r="715" customFormat="false" ht="12.75" hidden="false" customHeight="false" outlineLevel="0" collapsed="false">
      <c r="B715" s="624"/>
      <c r="C715" s="627"/>
      <c r="D715" s="624"/>
      <c r="E715" s="20"/>
    </row>
    <row r="716" customFormat="false" ht="12.75" hidden="false" customHeight="false" outlineLevel="0" collapsed="false">
      <c r="B716" s="624"/>
      <c r="C716" s="627"/>
      <c r="D716" s="624"/>
      <c r="E716" s="20"/>
    </row>
    <row r="717" customFormat="false" ht="12.75" hidden="false" customHeight="false" outlineLevel="0" collapsed="false">
      <c r="B717" s="624"/>
      <c r="C717" s="627"/>
      <c r="D717" s="624"/>
      <c r="E717" s="20"/>
    </row>
    <row r="718" customFormat="false" ht="12.75" hidden="false" customHeight="false" outlineLevel="0" collapsed="false">
      <c r="B718" s="624"/>
      <c r="C718" s="627"/>
      <c r="D718" s="624"/>
      <c r="E718" s="20"/>
    </row>
    <row r="719" customFormat="false" ht="12.75" hidden="false" customHeight="false" outlineLevel="0" collapsed="false">
      <c r="B719" s="624"/>
      <c r="C719" s="627"/>
      <c r="D719" s="624"/>
      <c r="E719" s="20"/>
    </row>
    <row r="720" customFormat="false" ht="12.75" hidden="false" customHeight="false" outlineLevel="0" collapsed="false">
      <c r="B720" s="624"/>
      <c r="C720" s="627"/>
      <c r="D720" s="624"/>
      <c r="E720" s="20"/>
    </row>
    <row r="721" customFormat="false" ht="12.75" hidden="false" customHeight="false" outlineLevel="0" collapsed="false">
      <c r="B721" s="624"/>
      <c r="C721" s="627"/>
      <c r="D721" s="624"/>
      <c r="E721" s="20"/>
    </row>
    <row r="722" customFormat="false" ht="12.75" hidden="false" customHeight="false" outlineLevel="0" collapsed="false">
      <c r="B722" s="624"/>
      <c r="C722" s="627"/>
      <c r="D722" s="624"/>
      <c r="E722" s="20"/>
    </row>
    <row r="723" customFormat="false" ht="12.75" hidden="false" customHeight="false" outlineLevel="0" collapsed="false">
      <c r="B723" s="624"/>
      <c r="C723" s="627"/>
      <c r="D723" s="624"/>
      <c r="E723" s="20"/>
    </row>
    <row r="724" customFormat="false" ht="12.75" hidden="false" customHeight="false" outlineLevel="0" collapsed="false">
      <c r="B724" s="624"/>
      <c r="C724" s="627"/>
      <c r="D724" s="624"/>
      <c r="E724" s="20"/>
    </row>
    <row r="725" customFormat="false" ht="12.75" hidden="false" customHeight="false" outlineLevel="0" collapsed="false">
      <c r="B725" s="624"/>
      <c r="C725" s="627"/>
      <c r="D725" s="624"/>
      <c r="E725" s="20"/>
    </row>
    <row r="726" customFormat="false" ht="12.75" hidden="false" customHeight="false" outlineLevel="0" collapsed="false">
      <c r="B726" s="624"/>
      <c r="C726" s="627"/>
      <c r="D726" s="624"/>
      <c r="E726" s="20"/>
    </row>
    <row r="727" customFormat="false" ht="12.75" hidden="false" customHeight="false" outlineLevel="0" collapsed="false">
      <c r="B727" s="624"/>
      <c r="C727" s="627"/>
      <c r="D727" s="624"/>
      <c r="E727" s="20"/>
    </row>
    <row r="728" customFormat="false" ht="12.75" hidden="false" customHeight="false" outlineLevel="0" collapsed="false">
      <c r="B728" s="624"/>
      <c r="C728" s="627"/>
      <c r="D728" s="624"/>
      <c r="E728" s="20"/>
    </row>
    <row r="729" customFormat="false" ht="12.75" hidden="false" customHeight="false" outlineLevel="0" collapsed="false">
      <c r="B729" s="624"/>
      <c r="C729" s="627"/>
      <c r="D729" s="624"/>
      <c r="E729" s="20"/>
    </row>
    <row r="730" customFormat="false" ht="12.75" hidden="false" customHeight="false" outlineLevel="0" collapsed="false">
      <c r="B730" s="624"/>
      <c r="C730" s="627"/>
      <c r="D730" s="624"/>
      <c r="E730" s="20"/>
    </row>
    <row r="731" customFormat="false" ht="12.75" hidden="false" customHeight="false" outlineLevel="0" collapsed="false">
      <c r="B731" s="624"/>
      <c r="C731" s="627"/>
      <c r="D731" s="624"/>
      <c r="E731" s="20"/>
    </row>
    <row r="732" customFormat="false" ht="12.75" hidden="false" customHeight="false" outlineLevel="0" collapsed="false">
      <c r="B732" s="624"/>
      <c r="C732" s="627"/>
      <c r="D732" s="624"/>
      <c r="E732" s="20"/>
    </row>
    <row r="733" customFormat="false" ht="12.75" hidden="false" customHeight="false" outlineLevel="0" collapsed="false">
      <c r="B733" s="624"/>
      <c r="C733" s="627"/>
      <c r="D733" s="624"/>
      <c r="E733" s="20"/>
    </row>
    <row r="734" customFormat="false" ht="12.75" hidden="false" customHeight="false" outlineLevel="0" collapsed="false">
      <c r="B734" s="624"/>
      <c r="C734" s="627"/>
      <c r="D734" s="624"/>
      <c r="E734" s="20"/>
    </row>
    <row r="735" customFormat="false" ht="12.75" hidden="false" customHeight="false" outlineLevel="0" collapsed="false">
      <c r="B735" s="624"/>
      <c r="C735" s="627"/>
      <c r="D735" s="624"/>
      <c r="E735" s="20"/>
    </row>
    <row r="736" customFormat="false" ht="12.75" hidden="false" customHeight="false" outlineLevel="0" collapsed="false">
      <c r="B736" s="624"/>
      <c r="C736" s="627"/>
      <c r="D736" s="624"/>
      <c r="E736" s="20"/>
    </row>
    <row r="737" customFormat="false" ht="12.75" hidden="false" customHeight="false" outlineLevel="0" collapsed="false">
      <c r="B737" s="624"/>
      <c r="C737" s="627"/>
      <c r="D737" s="624"/>
      <c r="E737" s="20"/>
    </row>
    <row r="738" customFormat="false" ht="12.75" hidden="false" customHeight="false" outlineLevel="0" collapsed="false">
      <c r="B738" s="624"/>
      <c r="C738" s="627"/>
      <c r="D738" s="624"/>
      <c r="E738" s="20"/>
    </row>
    <row r="739" customFormat="false" ht="12.75" hidden="false" customHeight="false" outlineLevel="0" collapsed="false">
      <c r="B739" s="624"/>
      <c r="C739" s="627"/>
      <c r="D739" s="624"/>
      <c r="E739" s="20"/>
    </row>
    <row r="740" customFormat="false" ht="12.75" hidden="false" customHeight="false" outlineLevel="0" collapsed="false">
      <c r="B740" s="624"/>
      <c r="C740" s="627"/>
      <c r="D740" s="624"/>
      <c r="E740" s="20"/>
    </row>
    <row r="741" customFormat="false" ht="12.75" hidden="false" customHeight="false" outlineLevel="0" collapsed="false">
      <c r="B741" s="624"/>
      <c r="C741" s="627"/>
      <c r="D741" s="624"/>
      <c r="E741" s="20"/>
    </row>
    <row r="742" customFormat="false" ht="12.75" hidden="false" customHeight="false" outlineLevel="0" collapsed="false">
      <c r="B742" s="624"/>
      <c r="C742" s="627"/>
      <c r="D742" s="624"/>
      <c r="E742" s="20"/>
    </row>
    <row r="743" customFormat="false" ht="12.75" hidden="false" customHeight="false" outlineLevel="0" collapsed="false">
      <c r="B743" s="624"/>
      <c r="C743" s="627"/>
      <c r="D743" s="624"/>
      <c r="E743" s="20"/>
    </row>
    <row r="744" customFormat="false" ht="12.75" hidden="false" customHeight="false" outlineLevel="0" collapsed="false">
      <c r="B744" s="624"/>
      <c r="C744" s="627"/>
      <c r="D744" s="624"/>
      <c r="E744" s="20"/>
    </row>
    <row r="745" customFormat="false" ht="12.75" hidden="false" customHeight="false" outlineLevel="0" collapsed="false">
      <c r="B745" s="624"/>
      <c r="C745" s="627"/>
      <c r="D745" s="624"/>
      <c r="E745" s="20"/>
    </row>
    <row r="746" customFormat="false" ht="12.75" hidden="false" customHeight="false" outlineLevel="0" collapsed="false">
      <c r="B746" s="624"/>
      <c r="C746" s="627"/>
      <c r="D746" s="624"/>
      <c r="E746" s="20"/>
    </row>
    <row r="747" customFormat="false" ht="12.75" hidden="false" customHeight="false" outlineLevel="0" collapsed="false">
      <c r="B747" s="624"/>
      <c r="C747" s="627"/>
      <c r="D747" s="624"/>
      <c r="E747" s="20"/>
    </row>
    <row r="748" customFormat="false" ht="12.75" hidden="false" customHeight="false" outlineLevel="0" collapsed="false">
      <c r="B748" s="624"/>
      <c r="C748" s="627"/>
      <c r="D748" s="624"/>
      <c r="E748" s="20"/>
    </row>
    <row r="749" customFormat="false" ht="12.75" hidden="false" customHeight="false" outlineLevel="0" collapsed="false">
      <c r="B749" s="624"/>
      <c r="C749" s="627"/>
      <c r="D749" s="624"/>
      <c r="E749" s="20"/>
    </row>
    <row r="750" customFormat="false" ht="12.75" hidden="false" customHeight="false" outlineLevel="0" collapsed="false">
      <c r="B750" s="624"/>
      <c r="C750" s="627"/>
      <c r="D750" s="624"/>
      <c r="E750" s="20"/>
    </row>
    <row r="751" customFormat="false" ht="12.75" hidden="false" customHeight="false" outlineLevel="0" collapsed="false">
      <c r="B751" s="624"/>
      <c r="C751" s="627"/>
      <c r="D751" s="624"/>
      <c r="E751" s="20"/>
    </row>
    <row r="752" customFormat="false" ht="12.75" hidden="false" customHeight="false" outlineLevel="0" collapsed="false">
      <c r="B752" s="624"/>
      <c r="C752" s="627"/>
      <c r="D752" s="624"/>
      <c r="E752" s="20"/>
    </row>
    <row r="753" customFormat="false" ht="12.75" hidden="false" customHeight="false" outlineLevel="0" collapsed="false">
      <c r="B753" s="624"/>
      <c r="C753" s="627"/>
      <c r="D753" s="624"/>
      <c r="E753" s="20"/>
    </row>
    <row r="754" customFormat="false" ht="12.75" hidden="false" customHeight="false" outlineLevel="0" collapsed="false">
      <c r="B754" s="624"/>
      <c r="C754" s="627"/>
      <c r="D754" s="624"/>
      <c r="E754" s="20"/>
    </row>
    <row r="755" customFormat="false" ht="12.75" hidden="false" customHeight="false" outlineLevel="0" collapsed="false">
      <c r="B755" s="624"/>
      <c r="C755" s="627"/>
      <c r="D755" s="624"/>
      <c r="E755" s="20"/>
    </row>
    <row r="756" customFormat="false" ht="12.75" hidden="false" customHeight="false" outlineLevel="0" collapsed="false">
      <c r="B756" s="624"/>
      <c r="C756" s="627"/>
      <c r="D756" s="624"/>
      <c r="E756" s="20"/>
    </row>
    <row r="757" customFormat="false" ht="12.75" hidden="false" customHeight="false" outlineLevel="0" collapsed="false">
      <c r="B757" s="624"/>
      <c r="C757" s="627"/>
      <c r="D757" s="624"/>
      <c r="E757" s="20"/>
    </row>
    <row r="758" customFormat="false" ht="12.75" hidden="false" customHeight="false" outlineLevel="0" collapsed="false">
      <c r="B758" s="624"/>
      <c r="C758" s="627"/>
      <c r="D758" s="624"/>
      <c r="E758" s="20"/>
    </row>
    <row r="759" customFormat="false" ht="12.75" hidden="false" customHeight="false" outlineLevel="0" collapsed="false">
      <c r="B759" s="624"/>
      <c r="C759" s="627"/>
      <c r="D759" s="624"/>
      <c r="E759" s="20"/>
    </row>
    <row r="760" customFormat="false" ht="12.75" hidden="false" customHeight="false" outlineLevel="0" collapsed="false">
      <c r="B760" s="624"/>
      <c r="C760" s="627"/>
      <c r="D760" s="624"/>
      <c r="E760" s="20"/>
    </row>
    <row r="761" customFormat="false" ht="12.75" hidden="false" customHeight="false" outlineLevel="0" collapsed="false">
      <c r="B761" s="624"/>
      <c r="C761" s="627"/>
      <c r="D761" s="624"/>
      <c r="E761" s="20"/>
    </row>
    <row r="762" customFormat="false" ht="12.75" hidden="false" customHeight="false" outlineLevel="0" collapsed="false">
      <c r="B762" s="624"/>
      <c r="C762" s="627"/>
      <c r="D762" s="624"/>
      <c r="E762" s="20"/>
    </row>
    <row r="763" customFormat="false" ht="12.75" hidden="false" customHeight="false" outlineLevel="0" collapsed="false">
      <c r="B763" s="624"/>
      <c r="C763" s="627"/>
      <c r="D763" s="624"/>
      <c r="E763" s="20"/>
    </row>
    <row r="764" customFormat="false" ht="12.75" hidden="false" customHeight="false" outlineLevel="0" collapsed="false">
      <c r="B764" s="624"/>
      <c r="C764" s="627"/>
      <c r="D764" s="624"/>
      <c r="E764" s="20"/>
    </row>
    <row r="765" customFormat="false" ht="12.75" hidden="false" customHeight="false" outlineLevel="0" collapsed="false">
      <c r="B765" s="624"/>
      <c r="C765" s="627"/>
      <c r="D765" s="624"/>
      <c r="E765" s="20"/>
    </row>
    <row r="766" customFormat="false" ht="12.75" hidden="false" customHeight="false" outlineLevel="0" collapsed="false">
      <c r="B766" s="624"/>
      <c r="C766" s="627"/>
      <c r="D766" s="624"/>
      <c r="E766" s="20"/>
    </row>
    <row r="767" customFormat="false" ht="12.75" hidden="false" customHeight="false" outlineLevel="0" collapsed="false">
      <c r="B767" s="624"/>
      <c r="C767" s="627"/>
      <c r="D767" s="624"/>
      <c r="E767" s="20"/>
    </row>
    <row r="768" customFormat="false" ht="12.75" hidden="false" customHeight="false" outlineLevel="0" collapsed="false">
      <c r="B768" s="624"/>
      <c r="C768" s="627"/>
      <c r="D768" s="624"/>
      <c r="E768" s="20"/>
    </row>
    <row r="769" customFormat="false" ht="12.75" hidden="false" customHeight="false" outlineLevel="0" collapsed="false">
      <c r="B769" s="624"/>
      <c r="C769" s="627"/>
      <c r="D769" s="624"/>
      <c r="E769" s="20"/>
    </row>
    <row r="770" customFormat="false" ht="12.75" hidden="false" customHeight="false" outlineLevel="0" collapsed="false">
      <c r="B770" s="624"/>
      <c r="C770" s="627"/>
      <c r="D770" s="624"/>
      <c r="E770" s="20"/>
    </row>
    <row r="771" customFormat="false" ht="12.75" hidden="false" customHeight="false" outlineLevel="0" collapsed="false">
      <c r="B771" s="624"/>
      <c r="C771" s="627"/>
      <c r="D771" s="624"/>
      <c r="E771" s="20"/>
    </row>
    <row r="772" customFormat="false" ht="12.75" hidden="false" customHeight="false" outlineLevel="0" collapsed="false">
      <c r="B772" s="624"/>
      <c r="C772" s="627"/>
      <c r="D772" s="624"/>
      <c r="E772" s="20"/>
    </row>
    <row r="773" customFormat="false" ht="12.75" hidden="false" customHeight="false" outlineLevel="0" collapsed="false">
      <c r="B773" s="624"/>
      <c r="C773" s="627"/>
      <c r="D773" s="624"/>
      <c r="E773" s="20"/>
    </row>
    <row r="774" customFormat="false" ht="12.75" hidden="false" customHeight="false" outlineLevel="0" collapsed="false">
      <c r="B774" s="624"/>
      <c r="C774" s="627"/>
      <c r="D774" s="624"/>
      <c r="E774" s="20"/>
    </row>
    <row r="775" customFormat="false" ht="12.75" hidden="false" customHeight="false" outlineLevel="0" collapsed="false">
      <c r="B775" s="624"/>
      <c r="C775" s="627"/>
      <c r="D775" s="624"/>
      <c r="E775" s="20"/>
    </row>
    <row r="776" customFormat="false" ht="12.75" hidden="false" customHeight="false" outlineLevel="0" collapsed="false">
      <c r="B776" s="624"/>
      <c r="C776" s="627"/>
      <c r="D776" s="624"/>
      <c r="E776" s="20"/>
    </row>
    <row r="777" customFormat="false" ht="12.75" hidden="false" customHeight="false" outlineLevel="0" collapsed="false">
      <c r="B777" s="624"/>
      <c r="C777" s="627"/>
      <c r="D777" s="624"/>
      <c r="E777" s="20"/>
    </row>
    <row r="778" customFormat="false" ht="12.75" hidden="false" customHeight="false" outlineLevel="0" collapsed="false">
      <c r="B778" s="624"/>
      <c r="C778" s="627"/>
      <c r="D778" s="624"/>
      <c r="E778" s="20"/>
    </row>
    <row r="779" customFormat="false" ht="12.75" hidden="false" customHeight="false" outlineLevel="0" collapsed="false">
      <c r="B779" s="624"/>
      <c r="C779" s="627"/>
      <c r="D779" s="624"/>
      <c r="E779" s="20"/>
    </row>
    <row r="780" customFormat="false" ht="12.75" hidden="false" customHeight="false" outlineLevel="0" collapsed="false">
      <c r="B780" s="624"/>
      <c r="C780" s="627"/>
      <c r="D780" s="624"/>
      <c r="E780" s="20"/>
    </row>
    <row r="781" customFormat="false" ht="12.75" hidden="false" customHeight="false" outlineLevel="0" collapsed="false">
      <c r="B781" s="624"/>
      <c r="C781" s="627"/>
      <c r="D781" s="624"/>
      <c r="E781" s="20"/>
    </row>
    <row r="782" customFormat="false" ht="12.75" hidden="false" customHeight="false" outlineLevel="0" collapsed="false">
      <c r="B782" s="624"/>
      <c r="C782" s="627"/>
      <c r="D782" s="624"/>
      <c r="E782" s="20"/>
    </row>
    <row r="783" customFormat="false" ht="12.75" hidden="false" customHeight="false" outlineLevel="0" collapsed="false">
      <c r="B783" s="624"/>
      <c r="C783" s="627"/>
      <c r="D783" s="624"/>
      <c r="E783" s="20"/>
    </row>
    <row r="784" customFormat="false" ht="12.75" hidden="false" customHeight="false" outlineLevel="0" collapsed="false">
      <c r="B784" s="624"/>
      <c r="C784" s="627"/>
      <c r="D784" s="624"/>
      <c r="E784" s="20"/>
    </row>
    <row r="785" customFormat="false" ht="12.75" hidden="false" customHeight="false" outlineLevel="0" collapsed="false">
      <c r="B785" s="624"/>
      <c r="C785" s="627"/>
      <c r="D785" s="624"/>
      <c r="E785" s="20"/>
    </row>
    <row r="786" customFormat="false" ht="12.75" hidden="false" customHeight="false" outlineLevel="0" collapsed="false">
      <c r="B786" s="624"/>
      <c r="C786" s="627"/>
      <c r="D786" s="624"/>
      <c r="E786" s="20"/>
    </row>
    <row r="787" customFormat="false" ht="12.75" hidden="false" customHeight="false" outlineLevel="0" collapsed="false">
      <c r="B787" s="624"/>
      <c r="C787" s="627"/>
      <c r="D787" s="624"/>
      <c r="E787" s="20"/>
    </row>
    <row r="788" customFormat="false" ht="12.75" hidden="false" customHeight="false" outlineLevel="0" collapsed="false">
      <c r="B788" s="624"/>
      <c r="C788" s="627"/>
      <c r="D788" s="624"/>
      <c r="E788" s="20"/>
    </row>
    <row r="789" customFormat="false" ht="12.75" hidden="false" customHeight="false" outlineLevel="0" collapsed="false">
      <c r="B789" s="624"/>
      <c r="C789" s="627"/>
      <c r="D789" s="624"/>
      <c r="E789" s="20"/>
    </row>
    <row r="790" customFormat="false" ht="12.75" hidden="false" customHeight="false" outlineLevel="0" collapsed="false">
      <c r="B790" s="624"/>
      <c r="C790" s="627"/>
      <c r="D790" s="624"/>
      <c r="E790" s="20"/>
    </row>
    <row r="791" customFormat="false" ht="12.75" hidden="false" customHeight="false" outlineLevel="0" collapsed="false">
      <c r="B791" s="624"/>
      <c r="C791" s="627"/>
      <c r="D791" s="624"/>
      <c r="E791" s="20"/>
    </row>
    <row r="792" customFormat="false" ht="12.75" hidden="false" customHeight="false" outlineLevel="0" collapsed="false">
      <c r="B792" s="624"/>
      <c r="C792" s="627"/>
      <c r="D792" s="624"/>
      <c r="E792" s="20"/>
    </row>
    <row r="793" customFormat="false" ht="12.75" hidden="false" customHeight="false" outlineLevel="0" collapsed="false">
      <c r="B793" s="624"/>
      <c r="C793" s="627"/>
      <c r="D793" s="624"/>
      <c r="E793" s="20"/>
    </row>
    <row r="794" customFormat="false" ht="12.75" hidden="false" customHeight="false" outlineLevel="0" collapsed="false">
      <c r="B794" s="624"/>
      <c r="C794" s="627"/>
      <c r="D794" s="624"/>
      <c r="E794" s="206"/>
    </row>
    <row r="795" customFormat="false" ht="12.75" hidden="false" customHeight="false" outlineLevel="0" collapsed="false">
      <c r="B795" s="624"/>
      <c r="C795" s="627"/>
      <c r="D795" s="624"/>
      <c r="E795" s="206"/>
    </row>
    <row r="796" customFormat="false" ht="12.75" hidden="false" customHeight="false" outlineLevel="0" collapsed="false">
      <c r="B796" s="624"/>
      <c r="C796" s="627"/>
      <c r="D796" s="624"/>
      <c r="E796" s="206"/>
    </row>
    <row r="797" customFormat="false" ht="12.75" hidden="false" customHeight="false" outlineLevel="0" collapsed="false">
      <c r="B797" s="624"/>
      <c r="C797" s="627"/>
      <c r="D797" s="624"/>
      <c r="E797" s="206"/>
    </row>
    <row r="798" customFormat="false" ht="12.75" hidden="false" customHeight="false" outlineLevel="0" collapsed="false">
      <c r="B798" s="624"/>
      <c r="C798" s="627"/>
      <c r="D798" s="624"/>
      <c r="E798" s="206"/>
    </row>
    <row r="799" customFormat="false" ht="12.75" hidden="false" customHeight="false" outlineLevel="0" collapsed="false">
      <c r="B799" s="624"/>
      <c r="C799" s="627"/>
      <c r="D799" s="624"/>
      <c r="E799" s="206"/>
    </row>
    <row r="800" customFormat="false" ht="12.75" hidden="false" customHeight="false" outlineLevel="0" collapsed="false">
      <c r="B800" s="624"/>
      <c r="C800" s="627"/>
      <c r="D800" s="624"/>
      <c r="E800" s="206"/>
    </row>
    <row r="801" customFormat="false" ht="12.75" hidden="false" customHeight="false" outlineLevel="0" collapsed="false">
      <c r="B801" s="624"/>
      <c r="C801" s="627"/>
      <c r="D801" s="624"/>
      <c r="E801" s="206"/>
    </row>
    <row r="802" customFormat="false" ht="12.75" hidden="false" customHeight="false" outlineLevel="0" collapsed="false">
      <c r="B802" s="624"/>
      <c r="C802" s="627"/>
      <c r="D802" s="624"/>
      <c r="E802" s="206"/>
    </row>
    <row r="803" customFormat="false" ht="12.75" hidden="false" customHeight="false" outlineLevel="0" collapsed="false">
      <c r="B803" s="624"/>
      <c r="C803" s="627"/>
      <c r="D803" s="624"/>
      <c r="E803" s="206"/>
    </row>
    <row r="804" customFormat="false" ht="12.75" hidden="false" customHeight="false" outlineLevel="0" collapsed="false">
      <c r="B804" s="624"/>
      <c r="C804" s="627"/>
      <c r="D804" s="624"/>
      <c r="E804" s="206"/>
    </row>
    <row r="805" customFormat="false" ht="12.75" hidden="false" customHeight="false" outlineLevel="0" collapsed="false">
      <c r="B805" s="624"/>
      <c r="C805" s="627"/>
      <c r="D805" s="624"/>
      <c r="E805" s="206"/>
    </row>
    <row r="806" customFormat="false" ht="12.75" hidden="false" customHeight="false" outlineLevel="0" collapsed="false">
      <c r="B806" s="624"/>
      <c r="C806" s="627"/>
      <c r="D806" s="624"/>
      <c r="E806" s="206"/>
    </row>
    <row r="807" customFormat="false" ht="12.75" hidden="false" customHeight="false" outlineLevel="0" collapsed="false">
      <c r="B807" s="624"/>
      <c r="C807" s="627"/>
      <c r="D807" s="624"/>
      <c r="E807" s="206"/>
    </row>
    <row r="808" customFormat="false" ht="12.75" hidden="false" customHeight="false" outlineLevel="0" collapsed="false">
      <c r="B808" s="624"/>
      <c r="C808" s="627"/>
      <c r="D808" s="624"/>
      <c r="E808" s="206"/>
    </row>
    <row r="809" customFormat="false" ht="12.75" hidden="false" customHeight="false" outlineLevel="0" collapsed="false">
      <c r="B809" s="624"/>
      <c r="C809" s="627"/>
      <c r="D809" s="624"/>
      <c r="E809" s="206"/>
    </row>
    <row r="810" customFormat="false" ht="12.75" hidden="false" customHeight="false" outlineLevel="0" collapsed="false">
      <c r="B810" s="624"/>
      <c r="C810" s="627"/>
      <c r="D810" s="624"/>
      <c r="E810" s="206"/>
    </row>
    <row r="811" customFormat="false" ht="12.75" hidden="false" customHeight="false" outlineLevel="0" collapsed="false">
      <c r="B811" s="624"/>
      <c r="C811" s="627"/>
      <c r="D811" s="624"/>
      <c r="E811" s="206"/>
    </row>
    <row r="812" customFormat="false" ht="12.75" hidden="false" customHeight="false" outlineLevel="0" collapsed="false">
      <c r="B812" s="624"/>
      <c r="C812" s="627"/>
      <c r="D812" s="624"/>
      <c r="E812" s="206"/>
    </row>
    <row r="813" customFormat="false" ht="12.75" hidden="false" customHeight="false" outlineLevel="0" collapsed="false">
      <c r="B813" s="624"/>
      <c r="C813" s="627"/>
      <c r="D813" s="624"/>
      <c r="E813" s="206"/>
    </row>
    <row r="814" customFormat="false" ht="12.75" hidden="false" customHeight="false" outlineLevel="0" collapsed="false">
      <c r="B814" s="624"/>
      <c r="C814" s="627"/>
      <c r="D814" s="624"/>
      <c r="E814" s="206"/>
    </row>
    <row r="815" customFormat="false" ht="12.75" hidden="false" customHeight="false" outlineLevel="0" collapsed="false">
      <c r="B815" s="624"/>
      <c r="C815" s="627"/>
      <c r="D815" s="624"/>
      <c r="E815" s="206"/>
    </row>
    <row r="816" customFormat="false" ht="12.75" hidden="false" customHeight="false" outlineLevel="0" collapsed="false">
      <c r="B816" s="624"/>
      <c r="C816" s="627"/>
      <c r="D816" s="624"/>
      <c r="E816" s="206"/>
    </row>
    <row r="817" customFormat="false" ht="12.75" hidden="false" customHeight="false" outlineLevel="0" collapsed="false">
      <c r="B817" s="624"/>
      <c r="C817" s="627"/>
      <c r="D817" s="624"/>
      <c r="E817" s="206"/>
    </row>
    <row r="818" customFormat="false" ht="12.75" hidden="false" customHeight="false" outlineLevel="0" collapsed="false">
      <c r="B818" s="624"/>
      <c r="C818" s="627"/>
      <c r="D818" s="624"/>
      <c r="E818" s="206"/>
    </row>
    <row r="819" customFormat="false" ht="12.75" hidden="false" customHeight="false" outlineLevel="0" collapsed="false">
      <c r="B819" s="624"/>
      <c r="C819" s="627"/>
      <c r="D819" s="624"/>
      <c r="E819" s="206"/>
    </row>
    <row r="820" customFormat="false" ht="12.75" hidden="false" customHeight="false" outlineLevel="0" collapsed="false">
      <c r="B820" s="624"/>
      <c r="C820" s="627"/>
      <c r="D820" s="624"/>
      <c r="E820" s="206"/>
    </row>
    <row r="821" customFormat="false" ht="12.75" hidden="false" customHeight="false" outlineLevel="0" collapsed="false">
      <c r="B821" s="624"/>
      <c r="C821" s="627"/>
      <c r="D821" s="624"/>
      <c r="E821" s="206"/>
    </row>
    <row r="822" customFormat="false" ht="12.75" hidden="false" customHeight="false" outlineLevel="0" collapsed="false">
      <c r="B822" s="624"/>
      <c r="C822" s="627"/>
      <c r="D822" s="624"/>
      <c r="E822" s="206"/>
    </row>
    <row r="823" customFormat="false" ht="12.75" hidden="false" customHeight="false" outlineLevel="0" collapsed="false">
      <c r="B823" s="624"/>
      <c r="C823" s="627"/>
      <c r="D823" s="624"/>
      <c r="E823" s="206"/>
    </row>
    <row r="824" customFormat="false" ht="12.75" hidden="false" customHeight="false" outlineLevel="0" collapsed="false">
      <c r="B824" s="624"/>
      <c r="C824" s="627"/>
      <c r="D824" s="624"/>
      <c r="E824" s="206"/>
    </row>
    <row r="825" customFormat="false" ht="12.75" hidden="false" customHeight="false" outlineLevel="0" collapsed="false">
      <c r="B825" s="624"/>
      <c r="C825" s="627"/>
      <c r="D825" s="624"/>
      <c r="E825" s="206"/>
    </row>
    <row r="826" customFormat="false" ht="12.75" hidden="false" customHeight="false" outlineLevel="0" collapsed="false">
      <c r="B826" s="624"/>
      <c r="C826" s="627"/>
      <c r="D826" s="624"/>
      <c r="E826" s="206"/>
    </row>
    <row r="827" customFormat="false" ht="12.75" hidden="false" customHeight="false" outlineLevel="0" collapsed="false">
      <c r="B827" s="624"/>
      <c r="C827" s="627"/>
      <c r="D827" s="624"/>
      <c r="E827" s="206"/>
    </row>
    <row r="828" customFormat="false" ht="12.75" hidden="false" customHeight="false" outlineLevel="0" collapsed="false">
      <c r="B828" s="624"/>
      <c r="C828" s="627"/>
      <c r="D828" s="624"/>
      <c r="E828" s="206"/>
    </row>
    <row r="829" customFormat="false" ht="12.75" hidden="false" customHeight="false" outlineLevel="0" collapsed="false">
      <c r="B829" s="624"/>
      <c r="C829" s="627"/>
      <c r="D829" s="624"/>
      <c r="E829" s="206"/>
    </row>
    <row r="830" customFormat="false" ht="12.75" hidden="false" customHeight="false" outlineLevel="0" collapsed="false">
      <c r="B830" s="624"/>
      <c r="C830" s="627"/>
      <c r="D830" s="624"/>
      <c r="E830" s="206"/>
    </row>
    <row r="831" customFormat="false" ht="12.75" hidden="false" customHeight="false" outlineLevel="0" collapsed="false">
      <c r="B831" s="624"/>
      <c r="C831" s="627"/>
      <c r="D831" s="624"/>
      <c r="E831" s="206"/>
    </row>
    <row r="832" customFormat="false" ht="12.75" hidden="false" customHeight="false" outlineLevel="0" collapsed="false">
      <c r="B832" s="624"/>
      <c r="C832" s="627"/>
      <c r="D832" s="624"/>
      <c r="E832" s="206"/>
    </row>
    <row r="833" customFormat="false" ht="12.75" hidden="false" customHeight="false" outlineLevel="0" collapsed="false">
      <c r="B833" s="624"/>
      <c r="C833" s="627"/>
      <c r="D833" s="624"/>
      <c r="E833" s="206"/>
    </row>
    <row r="834" customFormat="false" ht="12.75" hidden="false" customHeight="false" outlineLevel="0" collapsed="false">
      <c r="B834" s="624"/>
      <c r="C834" s="627"/>
      <c r="D834" s="624"/>
      <c r="E834" s="206"/>
    </row>
    <row r="835" customFormat="false" ht="12.75" hidden="false" customHeight="false" outlineLevel="0" collapsed="false">
      <c r="B835" s="624"/>
      <c r="C835" s="627"/>
      <c r="D835" s="624"/>
      <c r="E835" s="206"/>
    </row>
    <row r="836" customFormat="false" ht="12.75" hidden="false" customHeight="false" outlineLevel="0" collapsed="false">
      <c r="B836" s="624"/>
      <c r="C836" s="627"/>
      <c r="D836" s="624"/>
      <c r="E836" s="206"/>
    </row>
    <row r="837" customFormat="false" ht="12.75" hidden="false" customHeight="false" outlineLevel="0" collapsed="false">
      <c r="B837" s="624"/>
      <c r="C837" s="627"/>
      <c r="D837" s="624"/>
      <c r="E837" s="206"/>
    </row>
    <row r="838" customFormat="false" ht="12.75" hidden="false" customHeight="false" outlineLevel="0" collapsed="false">
      <c r="B838" s="624"/>
      <c r="C838" s="627"/>
      <c r="D838" s="624"/>
      <c r="E838" s="206"/>
    </row>
    <row r="839" customFormat="false" ht="12.75" hidden="false" customHeight="false" outlineLevel="0" collapsed="false">
      <c r="B839" s="624"/>
      <c r="C839" s="627"/>
      <c r="D839" s="624"/>
      <c r="E839" s="206"/>
    </row>
    <row r="840" customFormat="false" ht="12.75" hidden="false" customHeight="false" outlineLevel="0" collapsed="false">
      <c r="B840" s="624"/>
      <c r="C840" s="627"/>
      <c r="D840" s="624"/>
      <c r="E840" s="206"/>
    </row>
    <row r="841" customFormat="false" ht="12.75" hidden="false" customHeight="false" outlineLevel="0" collapsed="false">
      <c r="B841" s="624"/>
      <c r="C841" s="627"/>
      <c r="D841" s="624"/>
      <c r="E841" s="206"/>
    </row>
    <row r="842" customFormat="false" ht="12.75" hidden="false" customHeight="false" outlineLevel="0" collapsed="false">
      <c r="B842" s="624"/>
      <c r="C842" s="627"/>
      <c r="D842" s="624"/>
      <c r="E842" s="206"/>
    </row>
    <row r="843" customFormat="false" ht="12.75" hidden="false" customHeight="false" outlineLevel="0" collapsed="false">
      <c r="B843" s="624"/>
      <c r="C843" s="627"/>
      <c r="D843" s="624"/>
      <c r="E843" s="206"/>
    </row>
    <row r="844" customFormat="false" ht="12.75" hidden="false" customHeight="false" outlineLevel="0" collapsed="false">
      <c r="B844" s="624"/>
      <c r="C844" s="627"/>
      <c r="D844" s="624"/>
      <c r="E844" s="206"/>
    </row>
    <row r="845" customFormat="false" ht="12.75" hidden="false" customHeight="false" outlineLevel="0" collapsed="false">
      <c r="B845" s="624"/>
      <c r="C845" s="627"/>
      <c r="D845" s="624"/>
      <c r="E845" s="206"/>
    </row>
    <row r="846" customFormat="false" ht="12.75" hidden="false" customHeight="false" outlineLevel="0" collapsed="false">
      <c r="B846" s="624"/>
      <c r="C846" s="627"/>
      <c r="D846" s="624"/>
      <c r="E846" s="206"/>
    </row>
    <row r="847" customFormat="false" ht="12.75" hidden="false" customHeight="false" outlineLevel="0" collapsed="false">
      <c r="B847" s="624"/>
      <c r="C847" s="627"/>
      <c r="D847" s="624"/>
      <c r="E847" s="206"/>
    </row>
    <row r="848" customFormat="false" ht="12.75" hidden="false" customHeight="false" outlineLevel="0" collapsed="false">
      <c r="B848" s="624"/>
      <c r="C848" s="627"/>
      <c r="D848" s="624"/>
      <c r="E848" s="206"/>
    </row>
    <row r="849" customFormat="false" ht="12.75" hidden="false" customHeight="false" outlineLevel="0" collapsed="false">
      <c r="B849" s="624"/>
      <c r="C849" s="627"/>
      <c r="D849" s="624"/>
      <c r="E849" s="206"/>
    </row>
    <row r="850" customFormat="false" ht="12.75" hidden="false" customHeight="false" outlineLevel="0" collapsed="false">
      <c r="B850" s="624"/>
      <c r="C850" s="627"/>
      <c r="D850" s="624"/>
      <c r="E850" s="206"/>
    </row>
    <row r="851" customFormat="false" ht="12.75" hidden="false" customHeight="false" outlineLevel="0" collapsed="false">
      <c r="B851" s="624"/>
      <c r="C851" s="627"/>
      <c r="D851" s="624"/>
      <c r="E851" s="206"/>
    </row>
    <row r="852" customFormat="false" ht="12.75" hidden="false" customHeight="false" outlineLevel="0" collapsed="false">
      <c r="B852" s="624"/>
      <c r="C852" s="627"/>
      <c r="D852" s="624"/>
      <c r="E852" s="206"/>
    </row>
    <row r="853" customFormat="false" ht="12.75" hidden="false" customHeight="false" outlineLevel="0" collapsed="false">
      <c r="B853" s="624"/>
      <c r="C853" s="627"/>
      <c r="D853" s="624"/>
      <c r="E853" s="206"/>
    </row>
    <row r="854" customFormat="false" ht="12.75" hidden="false" customHeight="false" outlineLevel="0" collapsed="false">
      <c r="B854" s="624"/>
      <c r="C854" s="627"/>
      <c r="D854" s="624"/>
      <c r="E854" s="206"/>
    </row>
    <row r="855" customFormat="false" ht="12.75" hidden="false" customHeight="false" outlineLevel="0" collapsed="false">
      <c r="B855" s="624"/>
      <c r="C855" s="627"/>
      <c r="D855" s="624"/>
      <c r="E855" s="206"/>
    </row>
    <row r="856" customFormat="false" ht="12.75" hidden="false" customHeight="false" outlineLevel="0" collapsed="false">
      <c r="B856" s="624"/>
      <c r="C856" s="627"/>
      <c r="D856" s="624"/>
      <c r="E856" s="206"/>
    </row>
    <row r="857" customFormat="false" ht="12.75" hidden="false" customHeight="false" outlineLevel="0" collapsed="false">
      <c r="B857" s="624"/>
      <c r="C857" s="627"/>
      <c r="D857" s="624"/>
      <c r="E857" s="206"/>
    </row>
    <row r="858" customFormat="false" ht="12.75" hidden="false" customHeight="false" outlineLevel="0" collapsed="false">
      <c r="B858" s="624"/>
      <c r="C858" s="627"/>
      <c r="D858" s="624"/>
      <c r="E858" s="206"/>
    </row>
    <row r="859" customFormat="false" ht="12.75" hidden="false" customHeight="false" outlineLevel="0" collapsed="false">
      <c r="B859" s="624"/>
      <c r="C859" s="627"/>
      <c r="D859" s="624"/>
      <c r="E859" s="206"/>
    </row>
    <row r="860" customFormat="false" ht="12.75" hidden="false" customHeight="false" outlineLevel="0" collapsed="false">
      <c r="B860" s="624"/>
      <c r="C860" s="627"/>
      <c r="D860" s="624"/>
      <c r="E860" s="206"/>
    </row>
    <row r="861" customFormat="false" ht="12.75" hidden="false" customHeight="false" outlineLevel="0" collapsed="false">
      <c r="B861" s="624"/>
      <c r="C861" s="627"/>
      <c r="D861" s="624"/>
      <c r="E861" s="206"/>
    </row>
    <row r="862" customFormat="false" ht="12.75" hidden="false" customHeight="false" outlineLevel="0" collapsed="false">
      <c r="B862" s="624"/>
      <c r="C862" s="627"/>
      <c r="D862" s="624"/>
      <c r="E862" s="206"/>
    </row>
    <row r="863" customFormat="false" ht="12.75" hidden="false" customHeight="false" outlineLevel="0" collapsed="false">
      <c r="B863" s="624"/>
      <c r="C863" s="627"/>
      <c r="D863" s="624"/>
      <c r="E863" s="206"/>
    </row>
    <row r="864" customFormat="false" ht="12.75" hidden="false" customHeight="false" outlineLevel="0" collapsed="false">
      <c r="B864" s="624"/>
      <c r="C864" s="627"/>
      <c r="D864" s="624"/>
      <c r="E864" s="206"/>
    </row>
    <row r="865" customFormat="false" ht="12.75" hidden="false" customHeight="false" outlineLevel="0" collapsed="false">
      <c r="B865" s="624"/>
      <c r="C865" s="627"/>
      <c r="D865" s="624"/>
      <c r="E865" s="206"/>
    </row>
    <row r="866" customFormat="false" ht="12.75" hidden="false" customHeight="false" outlineLevel="0" collapsed="false">
      <c r="B866" s="624"/>
      <c r="C866" s="627"/>
      <c r="D866" s="624"/>
      <c r="E866" s="206"/>
    </row>
    <row r="867" customFormat="false" ht="12.75" hidden="false" customHeight="false" outlineLevel="0" collapsed="false">
      <c r="B867" s="624"/>
      <c r="C867" s="627"/>
      <c r="D867" s="624"/>
      <c r="E867" s="206"/>
    </row>
    <row r="868" customFormat="false" ht="12.75" hidden="false" customHeight="false" outlineLevel="0" collapsed="false">
      <c r="B868" s="624"/>
      <c r="C868" s="627"/>
      <c r="D868" s="624"/>
      <c r="E868" s="206"/>
    </row>
    <row r="869" customFormat="false" ht="12.75" hidden="false" customHeight="false" outlineLevel="0" collapsed="false">
      <c r="B869" s="624"/>
      <c r="C869" s="627"/>
      <c r="D869" s="624"/>
      <c r="E869" s="206"/>
    </row>
    <row r="870" customFormat="false" ht="12.75" hidden="false" customHeight="false" outlineLevel="0" collapsed="false">
      <c r="B870" s="624"/>
      <c r="C870" s="627"/>
      <c r="D870" s="624"/>
      <c r="E870" s="206"/>
    </row>
    <row r="871" customFormat="false" ht="12.75" hidden="false" customHeight="false" outlineLevel="0" collapsed="false">
      <c r="B871" s="624"/>
      <c r="C871" s="627"/>
      <c r="D871" s="624"/>
      <c r="E871" s="206"/>
    </row>
    <row r="872" customFormat="false" ht="12.75" hidden="false" customHeight="false" outlineLevel="0" collapsed="false">
      <c r="B872" s="624"/>
      <c r="C872" s="627"/>
      <c r="D872" s="624"/>
      <c r="E872" s="206"/>
    </row>
    <row r="873" customFormat="false" ht="12.75" hidden="false" customHeight="false" outlineLevel="0" collapsed="false">
      <c r="B873" s="624"/>
      <c r="C873" s="627"/>
      <c r="D873" s="624"/>
      <c r="E873" s="206"/>
    </row>
    <row r="874" customFormat="false" ht="12.75" hidden="false" customHeight="false" outlineLevel="0" collapsed="false">
      <c r="B874" s="624"/>
      <c r="C874" s="627"/>
      <c r="D874" s="624"/>
      <c r="E874" s="206"/>
    </row>
    <row r="875" customFormat="false" ht="12.75" hidden="false" customHeight="false" outlineLevel="0" collapsed="false">
      <c r="B875" s="624"/>
      <c r="C875" s="627"/>
      <c r="D875" s="624"/>
      <c r="E875" s="206"/>
    </row>
    <row r="876" customFormat="false" ht="12.75" hidden="false" customHeight="false" outlineLevel="0" collapsed="false">
      <c r="B876" s="624"/>
      <c r="C876" s="627"/>
      <c r="D876" s="624"/>
      <c r="E876" s="206"/>
    </row>
    <row r="877" customFormat="false" ht="12.75" hidden="false" customHeight="false" outlineLevel="0" collapsed="false">
      <c r="B877" s="624"/>
      <c r="C877" s="627"/>
      <c r="D877" s="624"/>
      <c r="E877" s="206"/>
    </row>
    <row r="878" customFormat="false" ht="12.75" hidden="false" customHeight="false" outlineLevel="0" collapsed="false">
      <c r="B878" s="624"/>
      <c r="C878" s="627"/>
      <c r="D878" s="624"/>
      <c r="E878" s="206"/>
    </row>
    <row r="879" customFormat="false" ht="12.75" hidden="false" customHeight="false" outlineLevel="0" collapsed="false">
      <c r="B879" s="624"/>
      <c r="C879" s="627"/>
      <c r="D879" s="624"/>
      <c r="E879" s="206"/>
    </row>
    <row r="880" customFormat="false" ht="12.75" hidden="false" customHeight="false" outlineLevel="0" collapsed="false">
      <c r="B880" s="624"/>
      <c r="C880" s="627"/>
      <c r="D880" s="624"/>
      <c r="E880" s="206"/>
    </row>
    <row r="881" customFormat="false" ht="12.75" hidden="false" customHeight="false" outlineLevel="0" collapsed="false">
      <c r="B881" s="624"/>
      <c r="C881" s="627"/>
      <c r="D881" s="624"/>
      <c r="E881" s="206"/>
    </row>
    <row r="882" customFormat="false" ht="12.75" hidden="false" customHeight="false" outlineLevel="0" collapsed="false">
      <c r="B882" s="624"/>
      <c r="C882" s="627"/>
      <c r="D882" s="624"/>
      <c r="E882" s="206"/>
    </row>
    <row r="883" customFormat="false" ht="12.75" hidden="false" customHeight="false" outlineLevel="0" collapsed="false">
      <c r="B883" s="624"/>
      <c r="C883" s="627"/>
      <c r="D883" s="624"/>
      <c r="E883" s="206"/>
    </row>
    <row r="884" customFormat="false" ht="12.75" hidden="false" customHeight="false" outlineLevel="0" collapsed="false">
      <c r="B884" s="624"/>
      <c r="C884" s="627"/>
      <c r="D884" s="624"/>
      <c r="E884" s="206"/>
    </row>
    <row r="885" customFormat="false" ht="12.75" hidden="false" customHeight="false" outlineLevel="0" collapsed="false">
      <c r="B885" s="624"/>
      <c r="C885" s="627"/>
      <c r="D885" s="624"/>
      <c r="E885" s="206"/>
    </row>
    <row r="886" customFormat="false" ht="12.75" hidden="false" customHeight="false" outlineLevel="0" collapsed="false">
      <c r="B886" s="624"/>
      <c r="C886" s="627"/>
      <c r="D886" s="624"/>
      <c r="E886" s="206"/>
    </row>
    <row r="887" customFormat="false" ht="12.75" hidden="false" customHeight="false" outlineLevel="0" collapsed="false">
      <c r="B887" s="624"/>
      <c r="C887" s="627"/>
      <c r="D887" s="624"/>
      <c r="E887" s="206"/>
    </row>
    <row r="888" customFormat="false" ht="12.75" hidden="false" customHeight="false" outlineLevel="0" collapsed="false">
      <c r="B888" s="624"/>
      <c r="C888" s="627"/>
      <c r="D888" s="624"/>
      <c r="E888" s="206"/>
    </row>
    <row r="889" customFormat="false" ht="12.75" hidden="false" customHeight="false" outlineLevel="0" collapsed="false">
      <c r="B889" s="624"/>
      <c r="C889" s="627"/>
      <c r="D889" s="624"/>
      <c r="E889" s="206"/>
    </row>
    <row r="890" customFormat="false" ht="12.75" hidden="false" customHeight="false" outlineLevel="0" collapsed="false">
      <c r="B890" s="624"/>
      <c r="C890" s="627"/>
      <c r="D890" s="624"/>
      <c r="E890" s="206"/>
    </row>
    <row r="891" customFormat="false" ht="12.75" hidden="false" customHeight="false" outlineLevel="0" collapsed="false">
      <c r="B891" s="624"/>
      <c r="C891" s="627"/>
      <c r="D891" s="624"/>
      <c r="E891" s="206"/>
    </row>
    <row r="892" customFormat="false" ht="12.75" hidden="false" customHeight="false" outlineLevel="0" collapsed="false">
      <c r="B892" s="624"/>
      <c r="C892" s="627"/>
      <c r="D892" s="624"/>
      <c r="E892" s="206"/>
    </row>
    <row r="893" customFormat="false" ht="12.75" hidden="false" customHeight="false" outlineLevel="0" collapsed="false">
      <c r="B893" s="624"/>
      <c r="C893" s="627"/>
      <c r="D893" s="624"/>
      <c r="E893" s="206"/>
    </row>
    <row r="894" customFormat="false" ht="12.75" hidden="false" customHeight="false" outlineLevel="0" collapsed="false">
      <c r="B894" s="624"/>
      <c r="C894" s="627"/>
      <c r="D894" s="624"/>
      <c r="E894" s="206"/>
    </row>
    <row r="895" customFormat="false" ht="12.75" hidden="false" customHeight="false" outlineLevel="0" collapsed="false">
      <c r="B895" s="624"/>
      <c r="C895" s="627"/>
      <c r="D895" s="624"/>
      <c r="E895" s="206"/>
    </row>
    <row r="896" customFormat="false" ht="12.75" hidden="false" customHeight="false" outlineLevel="0" collapsed="false">
      <c r="B896" s="624"/>
      <c r="C896" s="627"/>
      <c r="D896" s="624"/>
      <c r="E896" s="206"/>
    </row>
    <row r="897" customFormat="false" ht="12.75" hidden="false" customHeight="false" outlineLevel="0" collapsed="false">
      <c r="B897" s="624"/>
      <c r="C897" s="627"/>
      <c r="D897" s="624"/>
      <c r="E897" s="206"/>
    </row>
    <row r="898" customFormat="false" ht="12.75" hidden="false" customHeight="false" outlineLevel="0" collapsed="false">
      <c r="B898" s="624"/>
      <c r="C898" s="627"/>
      <c r="D898" s="624"/>
      <c r="E898" s="206"/>
    </row>
    <row r="899" customFormat="false" ht="12.75" hidden="false" customHeight="false" outlineLevel="0" collapsed="false">
      <c r="B899" s="624"/>
      <c r="C899" s="627"/>
      <c r="D899" s="624"/>
      <c r="E899" s="206"/>
    </row>
    <row r="900" customFormat="false" ht="12.75" hidden="false" customHeight="false" outlineLevel="0" collapsed="false">
      <c r="B900" s="624"/>
      <c r="C900" s="627"/>
      <c r="D900" s="624"/>
      <c r="E900" s="206"/>
    </row>
    <row r="901" customFormat="false" ht="12.75" hidden="false" customHeight="false" outlineLevel="0" collapsed="false">
      <c r="B901" s="624"/>
      <c r="C901" s="627"/>
      <c r="D901" s="624"/>
      <c r="E901" s="206"/>
    </row>
    <row r="902" customFormat="false" ht="12.75" hidden="false" customHeight="false" outlineLevel="0" collapsed="false">
      <c r="B902" s="624"/>
      <c r="C902" s="627"/>
      <c r="D902" s="624"/>
      <c r="E902" s="206"/>
    </row>
    <row r="903" customFormat="false" ht="12.75" hidden="false" customHeight="false" outlineLevel="0" collapsed="false">
      <c r="B903" s="624"/>
      <c r="C903" s="627"/>
      <c r="D903" s="624"/>
      <c r="E903" s="206"/>
    </row>
    <row r="904" customFormat="false" ht="12.75" hidden="false" customHeight="false" outlineLevel="0" collapsed="false">
      <c r="B904" s="624"/>
      <c r="C904" s="627"/>
      <c r="D904" s="624"/>
      <c r="E904" s="206"/>
    </row>
    <row r="905" customFormat="false" ht="12.75" hidden="false" customHeight="false" outlineLevel="0" collapsed="false">
      <c r="B905" s="624"/>
      <c r="C905" s="627"/>
      <c r="D905" s="624"/>
      <c r="E905" s="206"/>
    </row>
    <row r="906" customFormat="false" ht="12.75" hidden="false" customHeight="false" outlineLevel="0" collapsed="false">
      <c r="B906" s="624"/>
      <c r="C906" s="627"/>
      <c r="D906" s="624"/>
      <c r="E906" s="206"/>
    </row>
    <row r="907" customFormat="false" ht="12.75" hidden="false" customHeight="false" outlineLevel="0" collapsed="false">
      <c r="B907" s="624"/>
      <c r="C907" s="627"/>
      <c r="D907" s="624"/>
      <c r="E907" s="206"/>
    </row>
    <row r="908" customFormat="false" ht="12.75" hidden="false" customHeight="false" outlineLevel="0" collapsed="false">
      <c r="B908" s="624"/>
      <c r="C908" s="627"/>
      <c r="D908" s="624"/>
      <c r="E908" s="206"/>
    </row>
    <row r="909" customFormat="false" ht="12.75" hidden="false" customHeight="false" outlineLevel="0" collapsed="false">
      <c r="B909" s="624"/>
      <c r="C909" s="627"/>
      <c r="D909" s="624"/>
      <c r="E909" s="206"/>
    </row>
    <row r="910" customFormat="false" ht="12.75" hidden="false" customHeight="false" outlineLevel="0" collapsed="false">
      <c r="B910" s="624"/>
      <c r="C910" s="627"/>
      <c r="D910" s="624"/>
      <c r="E910" s="206"/>
    </row>
    <row r="911" customFormat="false" ht="12.75" hidden="false" customHeight="false" outlineLevel="0" collapsed="false">
      <c r="B911" s="624"/>
      <c r="C911" s="627"/>
      <c r="D911" s="624"/>
      <c r="E911" s="206"/>
    </row>
    <row r="912" customFormat="false" ht="12.75" hidden="false" customHeight="false" outlineLevel="0" collapsed="false">
      <c r="B912" s="624"/>
      <c r="C912" s="627"/>
      <c r="D912" s="624"/>
      <c r="E912" s="206"/>
    </row>
    <row r="913" customFormat="false" ht="12.75" hidden="false" customHeight="false" outlineLevel="0" collapsed="false">
      <c r="B913" s="624"/>
      <c r="C913" s="627"/>
      <c r="D913" s="624"/>
      <c r="E913" s="206"/>
    </row>
    <row r="914" customFormat="false" ht="12.75" hidden="false" customHeight="false" outlineLevel="0" collapsed="false">
      <c r="B914" s="624"/>
      <c r="C914" s="627"/>
      <c r="D914" s="624"/>
      <c r="E914" s="206"/>
    </row>
    <row r="915" customFormat="false" ht="12.75" hidden="false" customHeight="false" outlineLevel="0" collapsed="false">
      <c r="B915" s="624"/>
      <c r="C915" s="627"/>
      <c r="D915" s="624"/>
      <c r="E915" s="206"/>
    </row>
    <row r="916" customFormat="false" ht="12.75" hidden="false" customHeight="false" outlineLevel="0" collapsed="false">
      <c r="B916" s="624"/>
      <c r="C916" s="627"/>
      <c r="D916" s="624"/>
      <c r="E916" s="206"/>
    </row>
    <row r="917" customFormat="false" ht="12.75" hidden="false" customHeight="false" outlineLevel="0" collapsed="false">
      <c r="B917" s="624"/>
      <c r="C917" s="627"/>
      <c r="D917" s="624"/>
      <c r="E917" s="206"/>
    </row>
    <row r="918" customFormat="false" ht="12.75" hidden="false" customHeight="false" outlineLevel="0" collapsed="false">
      <c r="B918" s="624"/>
      <c r="C918" s="627"/>
      <c r="D918" s="624"/>
      <c r="E918" s="206"/>
    </row>
    <row r="919" customFormat="false" ht="12.75" hidden="false" customHeight="false" outlineLevel="0" collapsed="false">
      <c r="B919" s="624"/>
      <c r="C919" s="627"/>
      <c r="D919" s="624"/>
      <c r="E919" s="206"/>
    </row>
    <row r="920" customFormat="false" ht="12.75" hidden="false" customHeight="false" outlineLevel="0" collapsed="false">
      <c r="B920" s="624"/>
      <c r="C920" s="627"/>
      <c r="D920" s="624"/>
      <c r="E920" s="206"/>
    </row>
    <row r="921" customFormat="false" ht="12.75" hidden="false" customHeight="false" outlineLevel="0" collapsed="false">
      <c r="B921" s="624"/>
      <c r="C921" s="627"/>
      <c r="D921" s="624"/>
      <c r="E921" s="206"/>
    </row>
    <row r="922" customFormat="false" ht="12.75" hidden="false" customHeight="false" outlineLevel="0" collapsed="false">
      <c r="B922" s="624"/>
      <c r="C922" s="627"/>
      <c r="D922" s="624"/>
      <c r="E922" s="206"/>
    </row>
    <row r="923" customFormat="false" ht="12.75" hidden="false" customHeight="false" outlineLevel="0" collapsed="false">
      <c r="B923" s="624"/>
      <c r="C923" s="627"/>
      <c r="D923" s="624"/>
      <c r="E923" s="206"/>
    </row>
    <row r="924" customFormat="false" ht="12.75" hidden="false" customHeight="false" outlineLevel="0" collapsed="false">
      <c r="B924" s="624"/>
      <c r="C924" s="627"/>
      <c r="D924" s="624"/>
      <c r="E924" s="206"/>
    </row>
    <row r="925" customFormat="false" ht="12.75" hidden="false" customHeight="false" outlineLevel="0" collapsed="false">
      <c r="B925" s="624"/>
      <c r="C925" s="627"/>
      <c r="D925" s="624"/>
      <c r="E925" s="206"/>
    </row>
    <row r="926" customFormat="false" ht="12.75" hidden="false" customHeight="false" outlineLevel="0" collapsed="false">
      <c r="B926" s="624"/>
      <c r="C926" s="627"/>
      <c r="D926" s="624"/>
      <c r="E926" s="206"/>
    </row>
    <row r="927" customFormat="false" ht="12.75" hidden="false" customHeight="false" outlineLevel="0" collapsed="false">
      <c r="B927" s="624"/>
      <c r="C927" s="627"/>
      <c r="D927" s="624"/>
      <c r="E927" s="206"/>
    </row>
    <row r="928" customFormat="false" ht="12.75" hidden="false" customHeight="false" outlineLevel="0" collapsed="false">
      <c r="B928" s="624"/>
      <c r="C928" s="627"/>
      <c r="D928" s="624"/>
      <c r="E928" s="206"/>
    </row>
    <row r="929" customFormat="false" ht="12.75" hidden="false" customHeight="false" outlineLevel="0" collapsed="false">
      <c r="B929" s="624"/>
      <c r="C929" s="627"/>
      <c r="D929" s="624"/>
      <c r="E929" s="206"/>
    </row>
    <row r="930" customFormat="false" ht="12.75" hidden="false" customHeight="false" outlineLevel="0" collapsed="false">
      <c r="B930" s="624"/>
      <c r="C930" s="627"/>
      <c r="D930" s="624"/>
      <c r="E930" s="206"/>
    </row>
    <row r="931" customFormat="false" ht="12.75" hidden="false" customHeight="false" outlineLevel="0" collapsed="false">
      <c r="B931" s="624"/>
      <c r="C931" s="627"/>
      <c r="D931" s="624"/>
      <c r="E931" s="206"/>
    </row>
    <row r="932" customFormat="false" ht="12.75" hidden="false" customHeight="false" outlineLevel="0" collapsed="false">
      <c r="B932" s="624"/>
      <c r="C932" s="627"/>
      <c r="D932" s="624"/>
      <c r="E932" s="206"/>
    </row>
    <row r="933" customFormat="false" ht="12.75" hidden="false" customHeight="false" outlineLevel="0" collapsed="false">
      <c r="B933" s="624"/>
      <c r="C933" s="627"/>
      <c r="D933" s="624"/>
      <c r="E933" s="206"/>
    </row>
    <row r="934" customFormat="false" ht="12.75" hidden="false" customHeight="false" outlineLevel="0" collapsed="false">
      <c r="B934" s="624"/>
      <c r="C934" s="627"/>
      <c r="D934" s="624"/>
      <c r="E934" s="206"/>
    </row>
    <row r="935" customFormat="false" ht="12.75" hidden="false" customHeight="false" outlineLevel="0" collapsed="false">
      <c r="B935" s="624"/>
      <c r="C935" s="627"/>
      <c r="D935" s="624"/>
      <c r="E935" s="206"/>
    </row>
    <row r="936" customFormat="false" ht="12.75" hidden="false" customHeight="false" outlineLevel="0" collapsed="false">
      <c r="B936" s="624"/>
      <c r="C936" s="627"/>
      <c r="D936" s="624"/>
      <c r="E936" s="206"/>
    </row>
    <row r="937" customFormat="false" ht="12.75" hidden="false" customHeight="false" outlineLevel="0" collapsed="false">
      <c r="B937" s="624"/>
      <c r="C937" s="627"/>
      <c r="D937" s="624"/>
      <c r="E937" s="206"/>
    </row>
    <row r="938" customFormat="false" ht="12.75" hidden="false" customHeight="false" outlineLevel="0" collapsed="false">
      <c r="B938" s="624"/>
      <c r="C938" s="627"/>
      <c r="D938" s="624"/>
      <c r="E938" s="206"/>
    </row>
    <row r="939" customFormat="false" ht="12.75" hidden="false" customHeight="false" outlineLevel="0" collapsed="false">
      <c r="B939" s="624"/>
      <c r="C939" s="627"/>
      <c r="D939" s="624"/>
      <c r="E939" s="206"/>
    </row>
    <row r="940" customFormat="false" ht="12.75" hidden="false" customHeight="false" outlineLevel="0" collapsed="false">
      <c r="B940" s="624"/>
      <c r="C940" s="627"/>
      <c r="D940" s="624"/>
      <c r="E940" s="206"/>
    </row>
    <row r="941" customFormat="false" ht="12.75" hidden="false" customHeight="false" outlineLevel="0" collapsed="false">
      <c r="B941" s="624"/>
      <c r="C941" s="627"/>
      <c r="D941" s="624"/>
      <c r="E941" s="206"/>
    </row>
    <row r="942" customFormat="false" ht="12.75" hidden="false" customHeight="false" outlineLevel="0" collapsed="false">
      <c r="B942" s="624"/>
      <c r="C942" s="627"/>
      <c r="D942" s="624"/>
      <c r="E942" s="206"/>
    </row>
    <row r="943" customFormat="false" ht="12.75" hidden="false" customHeight="false" outlineLevel="0" collapsed="false">
      <c r="B943" s="624"/>
      <c r="C943" s="627"/>
      <c r="D943" s="624"/>
      <c r="E943" s="206"/>
    </row>
    <row r="944" customFormat="false" ht="12.75" hidden="false" customHeight="false" outlineLevel="0" collapsed="false">
      <c r="B944" s="624"/>
      <c r="C944" s="627"/>
      <c r="D944" s="624"/>
      <c r="E944" s="206"/>
    </row>
    <row r="945" customFormat="false" ht="12.75" hidden="false" customHeight="false" outlineLevel="0" collapsed="false">
      <c r="B945" s="624"/>
      <c r="C945" s="627"/>
      <c r="D945" s="624"/>
      <c r="E945" s="206"/>
    </row>
    <row r="946" customFormat="false" ht="12.75" hidden="false" customHeight="false" outlineLevel="0" collapsed="false">
      <c r="B946" s="624"/>
      <c r="C946" s="627"/>
      <c r="D946" s="624"/>
      <c r="E946" s="206"/>
    </row>
    <row r="947" customFormat="false" ht="12.75" hidden="false" customHeight="false" outlineLevel="0" collapsed="false">
      <c r="B947" s="624"/>
      <c r="C947" s="627"/>
      <c r="D947" s="624"/>
      <c r="E947" s="206"/>
    </row>
    <row r="948" customFormat="false" ht="12.75" hidden="false" customHeight="false" outlineLevel="0" collapsed="false">
      <c r="B948" s="624"/>
      <c r="C948" s="627"/>
      <c r="D948" s="624"/>
      <c r="E948" s="206"/>
    </row>
    <row r="949" customFormat="false" ht="12.75" hidden="false" customHeight="false" outlineLevel="0" collapsed="false">
      <c r="B949" s="624"/>
      <c r="C949" s="627"/>
      <c r="D949" s="624"/>
      <c r="E949" s="206"/>
    </row>
    <row r="950" customFormat="false" ht="12.75" hidden="false" customHeight="false" outlineLevel="0" collapsed="false">
      <c r="B950" s="624"/>
      <c r="C950" s="627"/>
      <c r="D950" s="624"/>
      <c r="E950" s="206"/>
    </row>
    <row r="951" customFormat="false" ht="12.75" hidden="false" customHeight="false" outlineLevel="0" collapsed="false">
      <c r="B951" s="624"/>
      <c r="C951" s="627"/>
      <c r="D951" s="624"/>
      <c r="E951" s="206"/>
    </row>
    <row r="952" customFormat="false" ht="12.75" hidden="false" customHeight="false" outlineLevel="0" collapsed="false">
      <c r="B952" s="624"/>
      <c r="C952" s="627"/>
      <c r="D952" s="624"/>
      <c r="E952" s="206"/>
    </row>
    <row r="953" customFormat="false" ht="12.75" hidden="false" customHeight="false" outlineLevel="0" collapsed="false">
      <c r="B953" s="624"/>
      <c r="C953" s="627"/>
      <c r="D953" s="624"/>
      <c r="E953" s="206"/>
    </row>
    <row r="954" customFormat="false" ht="12.75" hidden="false" customHeight="false" outlineLevel="0" collapsed="false">
      <c r="B954" s="624"/>
      <c r="C954" s="627"/>
      <c r="D954" s="624"/>
      <c r="E954" s="206"/>
    </row>
    <row r="955" customFormat="false" ht="12.75" hidden="false" customHeight="false" outlineLevel="0" collapsed="false">
      <c r="B955" s="624"/>
      <c r="C955" s="627"/>
      <c r="D955" s="624"/>
      <c r="E955" s="206"/>
    </row>
    <row r="956" customFormat="false" ht="12.75" hidden="false" customHeight="false" outlineLevel="0" collapsed="false">
      <c r="B956" s="624"/>
      <c r="C956" s="627"/>
      <c r="D956" s="624"/>
      <c r="E956" s="206"/>
    </row>
    <row r="957" customFormat="false" ht="12.75" hidden="false" customHeight="false" outlineLevel="0" collapsed="false">
      <c r="B957" s="624"/>
      <c r="C957" s="627"/>
      <c r="D957" s="624"/>
      <c r="E957" s="206"/>
    </row>
    <row r="958" customFormat="false" ht="12.75" hidden="false" customHeight="false" outlineLevel="0" collapsed="false">
      <c r="B958" s="624"/>
      <c r="C958" s="627"/>
      <c r="D958" s="624"/>
      <c r="E958" s="206"/>
    </row>
    <row r="959" customFormat="false" ht="12.75" hidden="false" customHeight="false" outlineLevel="0" collapsed="false">
      <c r="B959" s="624"/>
      <c r="C959" s="627"/>
      <c r="D959" s="624"/>
      <c r="E959" s="206"/>
    </row>
    <row r="960" customFormat="false" ht="12.75" hidden="false" customHeight="false" outlineLevel="0" collapsed="false">
      <c r="B960" s="624"/>
      <c r="C960" s="627"/>
      <c r="D960" s="624"/>
      <c r="E960" s="206"/>
    </row>
    <row r="961" customFormat="false" ht="12.75" hidden="false" customHeight="false" outlineLevel="0" collapsed="false">
      <c r="B961" s="624"/>
      <c r="C961" s="627"/>
      <c r="D961" s="624"/>
      <c r="E961" s="206"/>
    </row>
    <row r="962" customFormat="false" ht="12.75" hidden="false" customHeight="false" outlineLevel="0" collapsed="false">
      <c r="B962" s="624"/>
      <c r="C962" s="627"/>
      <c r="D962" s="624"/>
      <c r="E962" s="206"/>
    </row>
    <row r="963" customFormat="false" ht="12.75" hidden="false" customHeight="false" outlineLevel="0" collapsed="false">
      <c r="B963" s="624"/>
      <c r="C963" s="627"/>
      <c r="D963" s="624"/>
      <c r="E963" s="206"/>
    </row>
    <row r="964" customFormat="false" ht="12.75" hidden="false" customHeight="false" outlineLevel="0" collapsed="false">
      <c r="B964" s="624"/>
      <c r="C964" s="627"/>
      <c r="D964" s="624"/>
      <c r="E964" s="206"/>
    </row>
    <row r="965" customFormat="false" ht="12.75" hidden="false" customHeight="false" outlineLevel="0" collapsed="false">
      <c r="B965" s="624"/>
      <c r="C965" s="627"/>
      <c r="D965" s="624"/>
      <c r="E965" s="206"/>
    </row>
    <row r="966" customFormat="false" ht="12.75" hidden="false" customHeight="false" outlineLevel="0" collapsed="false">
      <c r="B966" s="624"/>
      <c r="C966" s="627"/>
      <c r="D966" s="624"/>
      <c r="E966" s="206"/>
    </row>
    <row r="967" customFormat="false" ht="12.75" hidden="false" customHeight="false" outlineLevel="0" collapsed="false">
      <c r="B967" s="624"/>
      <c r="C967" s="627"/>
      <c r="D967" s="624"/>
      <c r="E967" s="206"/>
    </row>
    <row r="968" customFormat="false" ht="12.75" hidden="false" customHeight="false" outlineLevel="0" collapsed="false">
      <c r="B968" s="624"/>
      <c r="C968" s="627"/>
      <c r="D968" s="624"/>
      <c r="E968" s="206"/>
    </row>
    <row r="969" customFormat="false" ht="12.75" hidden="false" customHeight="false" outlineLevel="0" collapsed="false">
      <c r="B969" s="624"/>
      <c r="C969" s="627"/>
      <c r="D969" s="624"/>
      <c r="E969" s="206"/>
    </row>
    <row r="970" customFormat="false" ht="12.75" hidden="false" customHeight="false" outlineLevel="0" collapsed="false">
      <c r="B970" s="624"/>
      <c r="C970" s="627"/>
      <c r="D970" s="624"/>
      <c r="E970" s="206"/>
    </row>
    <row r="971" customFormat="false" ht="12.75" hidden="false" customHeight="false" outlineLevel="0" collapsed="false">
      <c r="B971" s="624"/>
      <c r="C971" s="627"/>
      <c r="D971" s="624"/>
      <c r="E971" s="206"/>
    </row>
    <row r="972" customFormat="false" ht="12.75" hidden="false" customHeight="false" outlineLevel="0" collapsed="false">
      <c r="B972" s="624"/>
      <c r="C972" s="627"/>
      <c r="D972" s="624"/>
      <c r="E972" s="206"/>
    </row>
    <row r="973" customFormat="false" ht="12.75" hidden="false" customHeight="false" outlineLevel="0" collapsed="false">
      <c r="B973" s="624"/>
      <c r="C973" s="627"/>
      <c r="D973" s="624"/>
      <c r="E973" s="206"/>
    </row>
    <row r="974" customFormat="false" ht="12.75" hidden="false" customHeight="false" outlineLevel="0" collapsed="false">
      <c r="B974" s="624"/>
      <c r="C974" s="627"/>
      <c r="D974" s="624"/>
      <c r="E974" s="206"/>
    </row>
    <row r="975" customFormat="false" ht="12.75" hidden="false" customHeight="false" outlineLevel="0" collapsed="false">
      <c r="B975" s="624"/>
      <c r="C975" s="627"/>
      <c r="D975" s="624"/>
      <c r="E975" s="206"/>
    </row>
    <row r="976" customFormat="false" ht="12.75" hidden="false" customHeight="false" outlineLevel="0" collapsed="false">
      <c r="B976" s="624"/>
      <c r="C976" s="627"/>
      <c r="D976" s="624"/>
      <c r="E976" s="206"/>
    </row>
    <row r="977" customFormat="false" ht="12.75" hidden="false" customHeight="false" outlineLevel="0" collapsed="false">
      <c r="B977" s="624"/>
      <c r="C977" s="627"/>
      <c r="D977" s="624"/>
      <c r="E977" s="206"/>
    </row>
    <row r="978" customFormat="false" ht="12.75" hidden="false" customHeight="false" outlineLevel="0" collapsed="false">
      <c r="B978" s="624"/>
      <c r="C978" s="627"/>
      <c r="D978" s="624"/>
      <c r="E978" s="206"/>
    </row>
    <row r="979" customFormat="false" ht="12.75" hidden="false" customHeight="false" outlineLevel="0" collapsed="false">
      <c r="B979" s="624"/>
      <c r="C979" s="627"/>
      <c r="D979" s="624"/>
      <c r="E979" s="206"/>
    </row>
    <row r="980" customFormat="false" ht="12.75" hidden="false" customHeight="false" outlineLevel="0" collapsed="false">
      <c r="B980" s="624"/>
      <c r="C980" s="627"/>
      <c r="D980" s="624"/>
      <c r="E980" s="206"/>
    </row>
    <row r="981" customFormat="false" ht="12.75" hidden="false" customHeight="false" outlineLevel="0" collapsed="false">
      <c r="B981" s="624"/>
      <c r="C981" s="627"/>
      <c r="D981" s="624"/>
      <c r="E981" s="206"/>
    </row>
    <row r="982" customFormat="false" ht="12.75" hidden="false" customHeight="false" outlineLevel="0" collapsed="false">
      <c r="B982" s="624"/>
      <c r="C982" s="627"/>
      <c r="D982" s="624"/>
      <c r="E982" s="206"/>
    </row>
    <row r="983" customFormat="false" ht="12.75" hidden="false" customHeight="false" outlineLevel="0" collapsed="false">
      <c r="B983" s="624"/>
      <c r="C983" s="627"/>
      <c r="D983" s="624"/>
      <c r="E983" s="206"/>
    </row>
    <row r="984" customFormat="false" ht="12.75" hidden="false" customHeight="false" outlineLevel="0" collapsed="false">
      <c r="B984" s="624"/>
      <c r="C984" s="627"/>
      <c r="D984" s="624"/>
      <c r="E984" s="206"/>
    </row>
    <row r="985" customFormat="false" ht="12.75" hidden="false" customHeight="false" outlineLevel="0" collapsed="false">
      <c r="B985" s="624"/>
      <c r="C985" s="627"/>
      <c r="D985" s="624"/>
      <c r="E985" s="206"/>
    </row>
    <row r="986" customFormat="false" ht="12.75" hidden="false" customHeight="false" outlineLevel="0" collapsed="false">
      <c r="B986" s="624"/>
      <c r="C986" s="627"/>
      <c r="D986" s="624"/>
      <c r="E986" s="206"/>
    </row>
    <row r="987" customFormat="false" ht="12.75" hidden="false" customHeight="false" outlineLevel="0" collapsed="false">
      <c r="B987" s="624"/>
      <c r="C987" s="627"/>
      <c r="D987" s="624"/>
      <c r="E987" s="206"/>
    </row>
    <row r="988" customFormat="false" ht="12.75" hidden="false" customHeight="false" outlineLevel="0" collapsed="false">
      <c r="B988" s="624"/>
      <c r="C988" s="627"/>
      <c r="D988" s="624"/>
      <c r="E988" s="206"/>
    </row>
    <row r="989" customFormat="false" ht="12.75" hidden="false" customHeight="false" outlineLevel="0" collapsed="false">
      <c r="B989" s="624"/>
      <c r="C989" s="627"/>
      <c r="D989" s="624"/>
      <c r="E989" s="206"/>
    </row>
    <row r="990" customFormat="false" ht="12.75" hidden="false" customHeight="false" outlineLevel="0" collapsed="false">
      <c r="B990" s="624"/>
      <c r="C990" s="627"/>
      <c r="D990" s="624"/>
      <c r="E990" s="206"/>
    </row>
    <row r="991" customFormat="false" ht="12.75" hidden="false" customHeight="false" outlineLevel="0" collapsed="false">
      <c r="B991" s="624"/>
      <c r="C991" s="627"/>
      <c r="D991" s="624"/>
      <c r="E991" s="206"/>
    </row>
    <row r="992" customFormat="false" ht="12.75" hidden="false" customHeight="false" outlineLevel="0" collapsed="false">
      <c r="B992" s="624"/>
      <c r="C992" s="627"/>
      <c r="D992" s="624"/>
      <c r="E992" s="206"/>
    </row>
    <row r="993" customFormat="false" ht="12.75" hidden="false" customHeight="false" outlineLevel="0" collapsed="false">
      <c r="B993" s="624"/>
      <c r="C993" s="627"/>
      <c r="D993" s="624"/>
      <c r="E993" s="206"/>
    </row>
    <row r="994" customFormat="false" ht="12.75" hidden="false" customHeight="false" outlineLevel="0" collapsed="false">
      <c r="B994" s="624"/>
      <c r="C994" s="627"/>
      <c r="D994" s="624"/>
      <c r="E994" s="206"/>
    </row>
    <row r="995" customFormat="false" ht="12.75" hidden="false" customHeight="false" outlineLevel="0" collapsed="false">
      <c r="B995" s="624"/>
      <c r="C995" s="627"/>
      <c r="D995" s="624"/>
      <c r="E995" s="206"/>
    </row>
    <row r="996" customFormat="false" ht="12.75" hidden="false" customHeight="false" outlineLevel="0" collapsed="false">
      <c r="B996" s="624"/>
      <c r="C996" s="627"/>
      <c r="D996" s="624"/>
      <c r="E996" s="206"/>
    </row>
    <row r="997" customFormat="false" ht="12.75" hidden="false" customHeight="false" outlineLevel="0" collapsed="false">
      <c r="B997" s="624"/>
      <c r="C997" s="627"/>
      <c r="D997" s="624"/>
      <c r="E997" s="206"/>
    </row>
    <row r="998" customFormat="false" ht="12.75" hidden="false" customHeight="false" outlineLevel="0" collapsed="false">
      <c r="B998" s="624"/>
      <c r="C998" s="627"/>
      <c r="D998" s="624"/>
      <c r="E998" s="206"/>
    </row>
    <row r="999" customFormat="false" ht="12.75" hidden="false" customHeight="false" outlineLevel="0" collapsed="false">
      <c r="B999" s="624"/>
      <c r="C999" s="627"/>
      <c r="D999" s="624"/>
      <c r="E999" s="206"/>
    </row>
    <row r="1000" customFormat="false" ht="12.75" hidden="false" customHeight="false" outlineLevel="0" collapsed="false">
      <c r="B1000" s="624"/>
      <c r="C1000" s="627"/>
      <c r="D1000" s="624"/>
      <c r="E1000" s="206"/>
    </row>
    <row r="1001" customFormat="false" ht="12.75" hidden="false" customHeight="false" outlineLevel="0" collapsed="false">
      <c r="B1001" s="624"/>
      <c r="C1001" s="627"/>
      <c r="D1001" s="624"/>
      <c r="E1001" s="206"/>
    </row>
    <row r="1002" customFormat="false" ht="12.75" hidden="false" customHeight="false" outlineLevel="0" collapsed="false">
      <c r="B1002" s="624"/>
      <c r="C1002" s="627"/>
      <c r="D1002" s="624"/>
      <c r="E1002" s="206"/>
    </row>
    <row r="1003" customFormat="false" ht="12.75" hidden="false" customHeight="false" outlineLevel="0" collapsed="false">
      <c r="B1003" s="624"/>
      <c r="C1003" s="627"/>
      <c r="D1003" s="624"/>
      <c r="E1003" s="206"/>
    </row>
    <row r="1004" customFormat="false" ht="12.75" hidden="false" customHeight="false" outlineLevel="0" collapsed="false">
      <c r="B1004" s="624"/>
      <c r="C1004" s="627"/>
      <c r="D1004" s="624"/>
      <c r="E1004" s="206"/>
    </row>
    <row r="1005" customFormat="false" ht="12.75" hidden="false" customHeight="false" outlineLevel="0" collapsed="false">
      <c r="B1005" s="624"/>
      <c r="C1005" s="627"/>
      <c r="D1005" s="624"/>
      <c r="E1005" s="206"/>
    </row>
    <row r="1006" customFormat="false" ht="12.75" hidden="false" customHeight="false" outlineLevel="0" collapsed="false">
      <c r="B1006" s="624"/>
      <c r="C1006" s="627"/>
      <c r="D1006" s="624"/>
      <c r="E1006" s="206"/>
    </row>
    <row r="1007" customFormat="false" ht="12.75" hidden="false" customHeight="false" outlineLevel="0" collapsed="false">
      <c r="B1007" s="624"/>
      <c r="C1007" s="627"/>
      <c r="D1007" s="624"/>
      <c r="E1007" s="206"/>
    </row>
    <row r="1008" customFormat="false" ht="12.75" hidden="false" customHeight="false" outlineLevel="0" collapsed="false">
      <c r="B1008" s="624"/>
      <c r="C1008" s="627"/>
      <c r="D1008" s="624"/>
      <c r="E1008" s="206"/>
    </row>
    <row r="1009" customFormat="false" ht="12.75" hidden="false" customHeight="false" outlineLevel="0" collapsed="false">
      <c r="B1009" s="624"/>
      <c r="C1009" s="627"/>
      <c r="D1009" s="624"/>
      <c r="E1009" s="206"/>
    </row>
    <row r="1010" customFormat="false" ht="12.75" hidden="false" customHeight="false" outlineLevel="0" collapsed="false">
      <c r="B1010" s="624"/>
      <c r="C1010" s="627"/>
      <c r="D1010" s="624"/>
      <c r="E1010" s="206"/>
    </row>
    <row r="1011" customFormat="false" ht="12.75" hidden="false" customHeight="false" outlineLevel="0" collapsed="false">
      <c r="B1011" s="624"/>
      <c r="C1011" s="627"/>
      <c r="D1011" s="624"/>
      <c r="E1011" s="206"/>
    </row>
    <row r="1012" customFormat="false" ht="12.75" hidden="false" customHeight="false" outlineLevel="0" collapsed="false">
      <c r="B1012" s="624"/>
      <c r="C1012" s="627"/>
      <c r="D1012" s="624"/>
      <c r="E1012" s="206"/>
    </row>
    <row r="1013" customFormat="false" ht="12.75" hidden="false" customHeight="false" outlineLevel="0" collapsed="false">
      <c r="B1013" s="624"/>
      <c r="C1013" s="627"/>
      <c r="D1013" s="624"/>
      <c r="E1013" s="206"/>
    </row>
    <row r="1014" customFormat="false" ht="12.75" hidden="false" customHeight="false" outlineLevel="0" collapsed="false">
      <c r="B1014" s="624"/>
      <c r="C1014" s="627"/>
      <c r="D1014" s="624"/>
      <c r="E1014" s="206"/>
    </row>
    <row r="1015" customFormat="false" ht="12.75" hidden="false" customHeight="false" outlineLevel="0" collapsed="false">
      <c r="B1015" s="624"/>
      <c r="C1015" s="627"/>
      <c r="D1015" s="624"/>
      <c r="E1015" s="206"/>
    </row>
    <row r="1016" customFormat="false" ht="12.75" hidden="false" customHeight="false" outlineLevel="0" collapsed="false">
      <c r="B1016" s="624"/>
      <c r="C1016" s="627"/>
      <c r="D1016" s="624"/>
      <c r="E1016" s="206"/>
    </row>
    <row r="1017" customFormat="false" ht="12.75" hidden="false" customHeight="false" outlineLevel="0" collapsed="false">
      <c r="B1017" s="624"/>
      <c r="C1017" s="627"/>
      <c r="D1017" s="624"/>
      <c r="E1017" s="206"/>
    </row>
    <row r="1018" customFormat="false" ht="12.75" hidden="false" customHeight="false" outlineLevel="0" collapsed="false">
      <c r="B1018" s="624"/>
      <c r="C1018" s="627"/>
      <c r="D1018" s="624"/>
      <c r="E1018" s="206"/>
    </row>
    <row r="1019" customFormat="false" ht="12.75" hidden="false" customHeight="false" outlineLevel="0" collapsed="false">
      <c r="B1019" s="624"/>
      <c r="C1019" s="627"/>
      <c r="D1019" s="624"/>
      <c r="E1019" s="206"/>
    </row>
    <row r="1020" customFormat="false" ht="12.75" hidden="false" customHeight="false" outlineLevel="0" collapsed="false">
      <c r="B1020" s="624"/>
      <c r="C1020" s="627"/>
      <c r="D1020" s="624"/>
      <c r="E1020" s="206"/>
    </row>
    <row r="1021" customFormat="false" ht="12.75" hidden="false" customHeight="false" outlineLevel="0" collapsed="false">
      <c r="B1021" s="624"/>
      <c r="C1021" s="627"/>
      <c r="D1021" s="624"/>
      <c r="E1021" s="206"/>
    </row>
    <row r="1022" customFormat="false" ht="12.75" hidden="false" customHeight="false" outlineLevel="0" collapsed="false">
      <c r="B1022" s="624"/>
      <c r="C1022" s="627"/>
      <c r="D1022" s="624"/>
      <c r="E1022" s="206"/>
    </row>
    <row r="1023" customFormat="false" ht="12.75" hidden="false" customHeight="false" outlineLevel="0" collapsed="false">
      <c r="B1023" s="624"/>
      <c r="C1023" s="627"/>
      <c r="D1023" s="624"/>
      <c r="E1023" s="206"/>
    </row>
    <row r="1024" customFormat="false" ht="12.75" hidden="false" customHeight="false" outlineLevel="0" collapsed="false">
      <c r="B1024" s="624"/>
      <c r="C1024" s="627"/>
      <c r="D1024" s="624"/>
      <c r="E1024" s="206"/>
    </row>
    <row r="1025" customFormat="false" ht="12.75" hidden="false" customHeight="false" outlineLevel="0" collapsed="false">
      <c r="B1025" s="624"/>
      <c r="C1025" s="627"/>
      <c r="D1025" s="624"/>
      <c r="E1025" s="206"/>
    </row>
    <row r="1026" customFormat="false" ht="12.75" hidden="false" customHeight="false" outlineLevel="0" collapsed="false">
      <c r="B1026" s="624"/>
      <c r="C1026" s="627"/>
      <c r="D1026" s="624"/>
      <c r="E1026" s="206"/>
    </row>
    <row r="1027" customFormat="false" ht="12.75" hidden="false" customHeight="false" outlineLevel="0" collapsed="false">
      <c r="B1027" s="624"/>
      <c r="C1027" s="627"/>
      <c r="D1027" s="624"/>
      <c r="E1027" s="206"/>
    </row>
    <row r="1028" customFormat="false" ht="12.75" hidden="false" customHeight="false" outlineLevel="0" collapsed="false">
      <c r="B1028" s="624"/>
      <c r="C1028" s="627"/>
      <c r="D1028" s="624"/>
      <c r="E1028" s="206"/>
    </row>
    <row r="1029" customFormat="false" ht="12.75" hidden="false" customHeight="false" outlineLevel="0" collapsed="false">
      <c r="B1029" s="624"/>
      <c r="C1029" s="627"/>
      <c r="D1029" s="624"/>
      <c r="E1029" s="206"/>
    </row>
    <row r="1030" customFormat="false" ht="12.75" hidden="false" customHeight="false" outlineLevel="0" collapsed="false">
      <c r="B1030" s="624"/>
      <c r="C1030" s="627"/>
      <c r="D1030" s="624"/>
      <c r="E1030" s="206"/>
    </row>
    <row r="1031" customFormat="false" ht="12.75" hidden="false" customHeight="false" outlineLevel="0" collapsed="false">
      <c r="B1031" s="624"/>
      <c r="C1031" s="627"/>
      <c r="D1031" s="624"/>
      <c r="E1031" s="206"/>
    </row>
    <row r="1032" customFormat="false" ht="12.75" hidden="false" customHeight="false" outlineLevel="0" collapsed="false">
      <c r="B1032" s="624"/>
      <c r="C1032" s="627"/>
      <c r="D1032" s="624"/>
      <c r="E1032" s="206"/>
    </row>
    <row r="1033" customFormat="false" ht="12.75" hidden="false" customHeight="false" outlineLevel="0" collapsed="false">
      <c r="B1033" s="624"/>
      <c r="C1033" s="627"/>
      <c r="D1033" s="624"/>
      <c r="E1033" s="206"/>
    </row>
    <row r="1034" customFormat="false" ht="12.75" hidden="false" customHeight="false" outlineLevel="0" collapsed="false">
      <c r="B1034" s="624"/>
      <c r="C1034" s="627"/>
      <c r="D1034" s="624"/>
      <c r="E1034" s="206"/>
    </row>
    <row r="1035" customFormat="false" ht="12.75" hidden="false" customHeight="false" outlineLevel="0" collapsed="false">
      <c r="B1035" s="624"/>
      <c r="C1035" s="627"/>
      <c r="D1035" s="624"/>
      <c r="E1035" s="206"/>
    </row>
    <row r="1036" customFormat="false" ht="12.75" hidden="false" customHeight="false" outlineLevel="0" collapsed="false">
      <c r="B1036" s="624"/>
      <c r="C1036" s="627"/>
      <c r="D1036" s="624"/>
      <c r="E1036" s="206"/>
    </row>
    <row r="1037" customFormat="false" ht="12.75" hidden="false" customHeight="false" outlineLevel="0" collapsed="false">
      <c r="B1037" s="624"/>
      <c r="C1037" s="627"/>
      <c r="D1037" s="624"/>
      <c r="E1037" s="206"/>
    </row>
    <row r="1038" customFormat="false" ht="12.75" hidden="false" customHeight="false" outlineLevel="0" collapsed="false">
      <c r="B1038" s="624"/>
      <c r="C1038" s="627"/>
      <c r="D1038" s="624"/>
      <c r="E1038" s="206"/>
    </row>
    <row r="1039" customFormat="false" ht="12.75" hidden="false" customHeight="false" outlineLevel="0" collapsed="false">
      <c r="B1039" s="624"/>
      <c r="C1039" s="627"/>
      <c r="D1039" s="624"/>
      <c r="E1039" s="206"/>
    </row>
    <row r="1040" customFormat="false" ht="12.75" hidden="false" customHeight="false" outlineLevel="0" collapsed="false">
      <c r="B1040" s="624"/>
      <c r="C1040" s="627"/>
      <c r="D1040" s="624"/>
      <c r="E1040" s="206"/>
    </row>
    <row r="1041" customFormat="false" ht="12.75" hidden="false" customHeight="false" outlineLevel="0" collapsed="false">
      <c r="B1041" s="624"/>
      <c r="C1041" s="627"/>
      <c r="D1041" s="624"/>
      <c r="E1041" s="206"/>
    </row>
    <row r="1042" customFormat="false" ht="12.75" hidden="false" customHeight="false" outlineLevel="0" collapsed="false">
      <c r="B1042" s="624"/>
      <c r="C1042" s="627"/>
      <c r="D1042" s="624"/>
      <c r="E1042" s="206"/>
    </row>
    <row r="1043" customFormat="false" ht="12.75" hidden="false" customHeight="false" outlineLevel="0" collapsed="false">
      <c r="B1043" s="624"/>
      <c r="C1043" s="627"/>
      <c r="D1043" s="624"/>
      <c r="E1043" s="206"/>
    </row>
    <row r="1044" customFormat="false" ht="12.75" hidden="false" customHeight="false" outlineLevel="0" collapsed="false">
      <c r="B1044" s="624"/>
      <c r="C1044" s="627"/>
      <c r="D1044" s="624"/>
      <c r="E1044" s="206"/>
    </row>
    <row r="1045" customFormat="false" ht="12.75" hidden="false" customHeight="false" outlineLevel="0" collapsed="false">
      <c r="B1045" s="624"/>
      <c r="C1045" s="627"/>
      <c r="D1045" s="624"/>
      <c r="E1045" s="206"/>
    </row>
    <row r="1046" customFormat="false" ht="12.75" hidden="false" customHeight="false" outlineLevel="0" collapsed="false">
      <c r="B1046" s="624"/>
      <c r="C1046" s="627"/>
      <c r="D1046" s="624"/>
      <c r="E1046" s="206"/>
    </row>
    <row r="1047" customFormat="false" ht="12.75" hidden="false" customHeight="false" outlineLevel="0" collapsed="false">
      <c r="B1047" s="624"/>
      <c r="C1047" s="627"/>
      <c r="D1047" s="624"/>
      <c r="E1047" s="206"/>
    </row>
    <row r="1048" customFormat="false" ht="12.75" hidden="false" customHeight="false" outlineLevel="0" collapsed="false">
      <c r="B1048" s="624"/>
      <c r="C1048" s="627"/>
      <c r="D1048" s="624"/>
      <c r="E1048" s="206"/>
    </row>
    <row r="1049" customFormat="false" ht="12.75" hidden="false" customHeight="false" outlineLevel="0" collapsed="false">
      <c r="B1049" s="624"/>
      <c r="C1049" s="627"/>
      <c r="D1049" s="624"/>
      <c r="E1049" s="206"/>
    </row>
    <row r="1050" customFormat="false" ht="12.75" hidden="false" customHeight="false" outlineLevel="0" collapsed="false">
      <c r="B1050" s="624"/>
      <c r="C1050" s="627"/>
      <c r="D1050" s="624"/>
      <c r="E1050" s="206"/>
    </row>
    <row r="1051" customFormat="false" ht="12.75" hidden="false" customHeight="false" outlineLevel="0" collapsed="false">
      <c r="B1051" s="624"/>
      <c r="C1051" s="627"/>
      <c r="D1051" s="624"/>
      <c r="E1051" s="206"/>
    </row>
    <row r="1052" customFormat="false" ht="12.75" hidden="false" customHeight="false" outlineLevel="0" collapsed="false">
      <c r="B1052" s="624"/>
      <c r="C1052" s="627"/>
      <c r="D1052" s="624"/>
      <c r="E1052" s="206"/>
    </row>
    <row r="1053" customFormat="false" ht="12.75" hidden="false" customHeight="false" outlineLevel="0" collapsed="false">
      <c r="B1053" s="624"/>
      <c r="C1053" s="627"/>
      <c r="D1053" s="624"/>
      <c r="E1053" s="206"/>
    </row>
    <row r="1054" customFormat="false" ht="12.75" hidden="false" customHeight="false" outlineLevel="0" collapsed="false">
      <c r="B1054" s="624"/>
      <c r="C1054" s="627"/>
      <c r="D1054" s="624"/>
      <c r="E1054" s="206"/>
    </row>
    <row r="1055" customFormat="false" ht="12.75" hidden="false" customHeight="false" outlineLevel="0" collapsed="false">
      <c r="B1055" s="624"/>
      <c r="C1055" s="627"/>
      <c r="D1055" s="624"/>
      <c r="E1055" s="206"/>
    </row>
    <row r="1056" customFormat="false" ht="12.75" hidden="false" customHeight="false" outlineLevel="0" collapsed="false">
      <c r="B1056" s="624"/>
      <c r="C1056" s="627"/>
      <c r="D1056" s="624"/>
      <c r="E1056" s="206"/>
    </row>
    <row r="1057" customFormat="false" ht="12.75" hidden="false" customHeight="false" outlineLevel="0" collapsed="false">
      <c r="B1057" s="624"/>
      <c r="C1057" s="627"/>
      <c r="D1057" s="624"/>
      <c r="E1057" s="206"/>
    </row>
    <row r="1058" customFormat="false" ht="12.75" hidden="false" customHeight="false" outlineLevel="0" collapsed="false">
      <c r="B1058" s="624"/>
      <c r="C1058" s="627"/>
      <c r="D1058" s="624"/>
      <c r="E1058" s="206"/>
    </row>
    <row r="1059" customFormat="false" ht="12.75" hidden="false" customHeight="false" outlineLevel="0" collapsed="false">
      <c r="B1059" s="624"/>
      <c r="C1059" s="627"/>
      <c r="D1059" s="624"/>
      <c r="E1059" s="206"/>
    </row>
    <row r="1060" customFormat="false" ht="12.75" hidden="false" customHeight="false" outlineLevel="0" collapsed="false">
      <c r="B1060" s="624"/>
      <c r="C1060" s="627"/>
      <c r="D1060" s="624"/>
      <c r="E1060" s="206"/>
    </row>
    <row r="1061" customFormat="false" ht="12.75" hidden="false" customHeight="false" outlineLevel="0" collapsed="false">
      <c r="B1061" s="624"/>
      <c r="C1061" s="627"/>
      <c r="D1061" s="624"/>
      <c r="E1061" s="206"/>
    </row>
    <row r="1062" customFormat="false" ht="12.75" hidden="false" customHeight="false" outlineLevel="0" collapsed="false">
      <c r="B1062" s="624"/>
      <c r="C1062" s="627"/>
      <c r="D1062" s="624"/>
      <c r="E1062" s="206"/>
    </row>
    <row r="1063" customFormat="false" ht="12.75" hidden="false" customHeight="false" outlineLevel="0" collapsed="false">
      <c r="B1063" s="624"/>
      <c r="C1063" s="627"/>
      <c r="D1063" s="624"/>
      <c r="E1063" s="206"/>
    </row>
    <row r="1064" customFormat="false" ht="12.75" hidden="false" customHeight="false" outlineLevel="0" collapsed="false">
      <c r="B1064" s="624"/>
      <c r="C1064" s="627"/>
      <c r="D1064" s="624"/>
      <c r="E1064" s="206"/>
    </row>
    <row r="1065" customFormat="false" ht="12.75" hidden="false" customHeight="false" outlineLevel="0" collapsed="false">
      <c r="B1065" s="624"/>
      <c r="C1065" s="627"/>
      <c r="D1065" s="624"/>
      <c r="E1065" s="206"/>
    </row>
    <row r="1066" customFormat="false" ht="12.75" hidden="false" customHeight="false" outlineLevel="0" collapsed="false">
      <c r="B1066" s="624"/>
      <c r="C1066" s="627"/>
      <c r="D1066" s="624"/>
      <c r="E1066" s="206"/>
    </row>
    <row r="1067" customFormat="false" ht="12.75" hidden="false" customHeight="false" outlineLevel="0" collapsed="false">
      <c r="B1067" s="624"/>
      <c r="C1067" s="627"/>
      <c r="D1067" s="624"/>
      <c r="E1067" s="206"/>
    </row>
    <row r="1068" customFormat="false" ht="12.75" hidden="false" customHeight="false" outlineLevel="0" collapsed="false">
      <c r="B1068" s="624"/>
      <c r="C1068" s="627"/>
      <c r="D1068" s="624"/>
      <c r="E1068" s="206"/>
    </row>
    <row r="1069" customFormat="false" ht="12.75" hidden="false" customHeight="false" outlineLevel="0" collapsed="false">
      <c r="B1069" s="624"/>
      <c r="C1069" s="627"/>
      <c r="D1069" s="624"/>
      <c r="E1069" s="206"/>
    </row>
    <row r="1070" customFormat="false" ht="12.75" hidden="false" customHeight="false" outlineLevel="0" collapsed="false">
      <c r="B1070" s="624"/>
      <c r="C1070" s="627"/>
      <c r="D1070" s="624"/>
      <c r="E1070" s="206"/>
    </row>
    <row r="1071" customFormat="false" ht="12.75" hidden="false" customHeight="false" outlineLevel="0" collapsed="false">
      <c r="B1071" s="624"/>
      <c r="C1071" s="627"/>
      <c r="D1071" s="624"/>
      <c r="E1071" s="206"/>
    </row>
    <row r="1072" customFormat="false" ht="12.75" hidden="false" customHeight="false" outlineLevel="0" collapsed="false">
      <c r="B1072" s="624"/>
      <c r="C1072" s="627"/>
      <c r="D1072" s="624"/>
      <c r="E1072" s="206"/>
    </row>
    <row r="1073" customFormat="false" ht="12.75" hidden="false" customHeight="false" outlineLevel="0" collapsed="false">
      <c r="B1073" s="624"/>
      <c r="C1073" s="627"/>
      <c r="D1073" s="624"/>
      <c r="E1073" s="206"/>
    </row>
    <row r="1074" customFormat="false" ht="12.75" hidden="false" customHeight="false" outlineLevel="0" collapsed="false">
      <c r="B1074" s="624"/>
      <c r="C1074" s="627"/>
      <c r="D1074" s="624"/>
      <c r="E1074" s="206"/>
    </row>
    <row r="1075" customFormat="false" ht="12.75" hidden="false" customHeight="false" outlineLevel="0" collapsed="false">
      <c r="B1075" s="624"/>
      <c r="C1075" s="627"/>
      <c r="D1075" s="624"/>
      <c r="E1075" s="206"/>
    </row>
    <row r="1076" customFormat="false" ht="12.75" hidden="false" customHeight="false" outlineLevel="0" collapsed="false">
      <c r="B1076" s="624"/>
      <c r="C1076" s="627"/>
      <c r="D1076" s="624"/>
      <c r="E1076" s="206"/>
    </row>
    <row r="1077" customFormat="false" ht="12.75" hidden="false" customHeight="false" outlineLevel="0" collapsed="false">
      <c r="B1077" s="624"/>
      <c r="C1077" s="627"/>
      <c r="D1077" s="624"/>
      <c r="E1077" s="206"/>
    </row>
    <row r="1078" customFormat="false" ht="12.75" hidden="false" customHeight="false" outlineLevel="0" collapsed="false">
      <c r="B1078" s="624"/>
      <c r="C1078" s="627"/>
      <c r="D1078" s="624"/>
      <c r="E1078" s="206"/>
    </row>
    <row r="1079" customFormat="false" ht="12.75" hidden="false" customHeight="false" outlineLevel="0" collapsed="false">
      <c r="B1079" s="624"/>
      <c r="C1079" s="627"/>
      <c r="D1079" s="624"/>
      <c r="E1079" s="206"/>
    </row>
    <row r="1080" customFormat="false" ht="12.75" hidden="false" customHeight="false" outlineLevel="0" collapsed="false">
      <c r="B1080" s="624"/>
      <c r="C1080" s="627"/>
      <c r="D1080" s="624"/>
      <c r="E1080" s="206"/>
    </row>
    <row r="1081" customFormat="false" ht="12.75" hidden="false" customHeight="false" outlineLevel="0" collapsed="false">
      <c r="B1081" s="624"/>
      <c r="C1081" s="627"/>
      <c r="D1081" s="624"/>
      <c r="E1081" s="206"/>
    </row>
    <row r="1082" customFormat="false" ht="12.75" hidden="false" customHeight="false" outlineLevel="0" collapsed="false">
      <c r="B1082" s="624"/>
      <c r="C1082" s="627"/>
      <c r="D1082" s="624"/>
      <c r="E1082" s="206"/>
    </row>
    <row r="1083" customFormat="false" ht="12.75" hidden="false" customHeight="false" outlineLevel="0" collapsed="false">
      <c r="B1083" s="624"/>
      <c r="C1083" s="627"/>
      <c r="D1083" s="624"/>
      <c r="E1083" s="206"/>
    </row>
    <row r="1084" customFormat="false" ht="12.75" hidden="false" customHeight="false" outlineLevel="0" collapsed="false">
      <c r="B1084" s="624"/>
      <c r="C1084" s="627"/>
      <c r="D1084" s="624"/>
      <c r="E1084" s="206"/>
    </row>
    <row r="1085" customFormat="false" ht="12.75" hidden="false" customHeight="false" outlineLevel="0" collapsed="false">
      <c r="B1085" s="624"/>
      <c r="C1085" s="627"/>
      <c r="D1085" s="624"/>
      <c r="E1085" s="206"/>
    </row>
    <row r="1086" customFormat="false" ht="12.75" hidden="false" customHeight="false" outlineLevel="0" collapsed="false">
      <c r="B1086" s="624"/>
      <c r="C1086" s="627"/>
      <c r="D1086" s="624"/>
      <c r="E1086" s="206"/>
    </row>
    <row r="1087" customFormat="false" ht="12.75" hidden="false" customHeight="false" outlineLevel="0" collapsed="false">
      <c r="B1087" s="624"/>
      <c r="C1087" s="627"/>
      <c r="D1087" s="624"/>
      <c r="E1087" s="206"/>
    </row>
    <row r="1088" customFormat="false" ht="12.75" hidden="false" customHeight="false" outlineLevel="0" collapsed="false">
      <c r="B1088" s="624"/>
      <c r="C1088" s="627"/>
      <c r="D1088" s="624"/>
      <c r="E1088" s="206"/>
    </row>
    <row r="1089" customFormat="false" ht="12.75" hidden="false" customHeight="false" outlineLevel="0" collapsed="false">
      <c r="B1089" s="624"/>
      <c r="C1089" s="627"/>
      <c r="D1089" s="624"/>
      <c r="E1089" s="206"/>
    </row>
    <row r="1090" customFormat="false" ht="12.75" hidden="false" customHeight="false" outlineLevel="0" collapsed="false">
      <c r="B1090" s="624"/>
      <c r="C1090" s="627"/>
      <c r="D1090" s="624"/>
      <c r="E1090" s="206"/>
    </row>
    <row r="1091" customFormat="false" ht="12.75" hidden="false" customHeight="false" outlineLevel="0" collapsed="false">
      <c r="B1091" s="624"/>
      <c r="C1091" s="627"/>
      <c r="D1091" s="624"/>
      <c r="E1091" s="206"/>
    </row>
    <row r="1092" customFormat="false" ht="12.75" hidden="false" customHeight="false" outlineLevel="0" collapsed="false">
      <c r="B1092" s="624"/>
      <c r="C1092" s="627"/>
      <c r="D1092" s="624"/>
      <c r="E1092" s="206"/>
    </row>
    <row r="1093" customFormat="false" ht="12.75" hidden="false" customHeight="false" outlineLevel="0" collapsed="false">
      <c r="B1093" s="624"/>
      <c r="C1093" s="627"/>
      <c r="D1093" s="624"/>
      <c r="E1093" s="206"/>
    </row>
    <row r="1094" customFormat="false" ht="12.75" hidden="false" customHeight="false" outlineLevel="0" collapsed="false">
      <c r="B1094" s="624"/>
      <c r="C1094" s="627"/>
      <c r="D1094" s="624"/>
      <c r="E1094" s="206"/>
    </row>
    <row r="1095" customFormat="false" ht="12.75" hidden="false" customHeight="false" outlineLevel="0" collapsed="false">
      <c r="B1095" s="624"/>
      <c r="C1095" s="627"/>
      <c r="D1095" s="624"/>
      <c r="E1095" s="206"/>
    </row>
    <row r="1096" customFormat="false" ht="12.75" hidden="false" customHeight="false" outlineLevel="0" collapsed="false">
      <c r="B1096" s="624"/>
      <c r="C1096" s="627"/>
      <c r="D1096" s="624"/>
      <c r="E1096" s="206"/>
    </row>
    <row r="1097" customFormat="false" ht="12.75" hidden="false" customHeight="false" outlineLevel="0" collapsed="false">
      <c r="B1097" s="624"/>
      <c r="C1097" s="627"/>
      <c r="D1097" s="624"/>
      <c r="E1097" s="206"/>
    </row>
    <row r="1098" customFormat="false" ht="12.75" hidden="false" customHeight="false" outlineLevel="0" collapsed="false">
      <c r="B1098" s="624"/>
      <c r="C1098" s="627"/>
      <c r="D1098" s="624"/>
      <c r="E1098" s="206"/>
    </row>
    <row r="1099" customFormat="false" ht="12.75" hidden="false" customHeight="false" outlineLevel="0" collapsed="false">
      <c r="B1099" s="624"/>
      <c r="C1099" s="627"/>
      <c r="D1099" s="624"/>
      <c r="E1099" s="206"/>
    </row>
    <row r="1100" customFormat="false" ht="12.75" hidden="false" customHeight="false" outlineLevel="0" collapsed="false">
      <c r="B1100" s="624"/>
      <c r="C1100" s="627"/>
      <c r="D1100" s="624"/>
      <c r="E1100" s="206"/>
    </row>
    <row r="1101" customFormat="false" ht="12.75" hidden="false" customHeight="false" outlineLevel="0" collapsed="false">
      <c r="B1101" s="624"/>
      <c r="C1101" s="627"/>
      <c r="D1101" s="624"/>
      <c r="E1101" s="206"/>
    </row>
    <row r="1102" customFormat="false" ht="12.75" hidden="false" customHeight="false" outlineLevel="0" collapsed="false">
      <c r="B1102" s="624"/>
      <c r="C1102" s="627"/>
      <c r="D1102" s="624"/>
      <c r="E1102" s="206"/>
    </row>
    <row r="1103" customFormat="false" ht="12.75" hidden="false" customHeight="false" outlineLevel="0" collapsed="false">
      <c r="B1103" s="624"/>
      <c r="C1103" s="627"/>
      <c r="D1103" s="624"/>
      <c r="E1103" s="206"/>
    </row>
    <row r="1104" customFormat="false" ht="12.75" hidden="false" customHeight="false" outlineLevel="0" collapsed="false">
      <c r="B1104" s="624"/>
      <c r="C1104" s="627"/>
      <c r="D1104" s="624"/>
      <c r="E1104" s="206"/>
    </row>
    <row r="1105" customFormat="false" ht="12.75" hidden="false" customHeight="false" outlineLevel="0" collapsed="false">
      <c r="B1105" s="624"/>
      <c r="C1105" s="627"/>
      <c r="D1105" s="624"/>
      <c r="E1105" s="206"/>
    </row>
    <row r="1106" customFormat="false" ht="12.75" hidden="false" customHeight="false" outlineLevel="0" collapsed="false">
      <c r="B1106" s="624"/>
      <c r="C1106" s="627"/>
      <c r="D1106" s="624"/>
      <c r="E1106" s="206"/>
    </row>
    <row r="1107" customFormat="false" ht="12.75" hidden="false" customHeight="false" outlineLevel="0" collapsed="false">
      <c r="B1107" s="624"/>
      <c r="C1107" s="627"/>
      <c r="D1107" s="624"/>
      <c r="E1107" s="206"/>
    </row>
    <row r="1108" customFormat="false" ht="12.75" hidden="false" customHeight="false" outlineLevel="0" collapsed="false">
      <c r="B1108" s="624"/>
      <c r="C1108" s="627"/>
      <c r="D1108" s="624"/>
      <c r="E1108" s="206"/>
    </row>
    <row r="1109" customFormat="false" ht="12.75" hidden="false" customHeight="false" outlineLevel="0" collapsed="false">
      <c r="B1109" s="624"/>
      <c r="C1109" s="627"/>
      <c r="D1109" s="624"/>
      <c r="E1109" s="206"/>
    </row>
    <row r="1110" customFormat="false" ht="12.75" hidden="false" customHeight="false" outlineLevel="0" collapsed="false">
      <c r="B1110" s="624"/>
      <c r="C1110" s="627"/>
      <c r="D1110" s="624"/>
      <c r="E1110" s="206"/>
    </row>
    <row r="1111" customFormat="false" ht="12.75" hidden="false" customHeight="false" outlineLevel="0" collapsed="false">
      <c r="B1111" s="624"/>
      <c r="C1111" s="627"/>
      <c r="D1111" s="624"/>
      <c r="E1111" s="206"/>
    </row>
    <row r="1112" customFormat="false" ht="12.75" hidden="false" customHeight="false" outlineLevel="0" collapsed="false">
      <c r="B1112" s="624"/>
      <c r="C1112" s="627"/>
      <c r="D1112" s="624"/>
      <c r="E1112" s="206"/>
    </row>
    <row r="1113" customFormat="false" ht="12.75" hidden="false" customHeight="false" outlineLevel="0" collapsed="false">
      <c r="B1113" s="624"/>
      <c r="C1113" s="627"/>
      <c r="D1113" s="624"/>
      <c r="E1113" s="206"/>
    </row>
    <row r="1114" customFormat="false" ht="12.75" hidden="false" customHeight="false" outlineLevel="0" collapsed="false">
      <c r="B1114" s="624"/>
      <c r="C1114" s="627"/>
      <c r="D1114" s="624"/>
      <c r="E1114" s="206"/>
    </row>
    <row r="1115" customFormat="false" ht="12.75" hidden="false" customHeight="false" outlineLevel="0" collapsed="false">
      <c r="B1115" s="624"/>
      <c r="C1115" s="627"/>
      <c r="D1115" s="624"/>
      <c r="E1115" s="206"/>
    </row>
    <row r="1116" customFormat="false" ht="12.75" hidden="false" customHeight="false" outlineLevel="0" collapsed="false">
      <c r="B1116" s="624"/>
      <c r="C1116" s="627"/>
      <c r="D1116" s="624"/>
      <c r="E1116" s="206"/>
    </row>
    <row r="1117" customFormat="false" ht="12.75" hidden="false" customHeight="false" outlineLevel="0" collapsed="false">
      <c r="B1117" s="624"/>
      <c r="C1117" s="627"/>
      <c r="D1117" s="624"/>
      <c r="E1117" s="206"/>
    </row>
    <row r="1118" customFormat="false" ht="12.75" hidden="false" customHeight="false" outlineLevel="0" collapsed="false">
      <c r="B1118" s="624"/>
      <c r="C1118" s="627"/>
      <c r="D1118" s="624"/>
      <c r="E1118" s="206"/>
    </row>
    <row r="1119" customFormat="false" ht="12.75" hidden="false" customHeight="false" outlineLevel="0" collapsed="false">
      <c r="B1119" s="624"/>
      <c r="C1119" s="627"/>
      <c r="D1119" s="624"/>
      <c r="E1119" s="206"/>
    </row>
    <row r="1120" customFormat="false" ht="12.75" hidden="false" customHeight="false" outlineLevel="0" collapsed="false">
      <c r="B1120" s="624"/>
      <c r="C1120" s="627"/>
      <c r="D1120" s="624"/>
      <c r="E1120" s="206"/>
    </row>
    <row r="1121" customFormat="false" ht="12.75" hidden="false" customHeight="false" outlineLevel="0" collapsed="false">
      <c r="B1121" s="624"/>
      <c r="C1121" s="627"/>
      <c r="D1121" s="624"/>
      <c r="E1121" s="206"/>
    </row>
    <row r="1122" customFormat="false" ht="12.75" hidden="false" customHeight="false" outlineLevel="0" collapsed="false">
      <c r="B1122" s="624"/>
      <c r="C1122" s="627"/>
      <c r="D1122" s="624"/>
      <c r="E1122" s="206"/>
    </row>
    <row r="1123" customFormat="false" ht="12.75" hidden="false" customHeight="false" outlineLevel="0" collapsed="false">
      <c r="B1123" s="624"/>
      <c r="C1123" s="627"/>
      <c r="D1123" s="624"/>
      <c r="E1123" s="206"/>
    </row>
    <row r="1124" customFormat="false" ht="12.75" hidden="false" customHeight="false" outlineLevel="0" collapsed="false">
      <c r="B1124" s="624"/>
      <c r="C1124" s="627"/>
      <c r="D1124" s="624"/>
      <c r="E1124" s="206"/>
    </row>
    <row r="1125" customFormat="false" ht="12.75" hidden="false" customHeight="false" outlineLevel="0" collapsed="false">
      <c r="B1125" s="624"/>
      <c r="C1125" s="627"/>
      <c r="D1125" s="624"/>
      <c r="E1125" s="206"/>
    </row>
    <row r="1126" customFormat="false" ht="12.75" hidden="false" customHeight="false" outlineLevel="0" collapsed="false">
      <c r="B1126" s="624"/>
      <c r="C1126" s="627"/>
      <c r="D1126" s="624"/>
      <c r="E1126" s="206"/>
    </row>
    <row r="1127" customFormat="false" ht="12.75" hidden="false" customHeight="false" outlineLevel="0" collapsed="false">
      <c r="B1127" s="624"/>
      <c r="C1127" s="627"/>
      <c r="D1127" s="624"/>
      <c r="E1127" s="206"/>
    </row>
    <row r="1128" customFormat="false" ht="12.75" hidden="false" customHeight="false" outlineLevel="0" collapsed="false">
      <c r="B1128" s="624"/>
      <c r="C1128" s="627"/>
      <c r="D1128" s="624"/>
      <c r="E1128" s="206"/>
    </row>
    <row r="1129" customFormat="false" ht="12.75" hidden="false" customHeight="false" outlineLevel="0" collapsed="false">
      <c r="B1129" s="624"/>
      <c r="C1129" s="627"/>
      <c r="D1129" s="624"/>
      <c r="E1129" s="206"/>
    </row>
    <row r="1130" customFormat="false" ht="12.75" hidden="false" customHeight="false" outlineLevel="0" collapsed="false">
      <c r="B1130" s="624"/>
      <c r="C1130" s="627"/>
      <c r="D1130" s="624"/>
      <c r="E1130" s="206"/>
    </row>
    <row r="1131" customFormat="false" ht="12.75" hidden="false" customHeight="false" outlineLevel="0" collapsed="false">
      <c r="B1131" s="624"/>
      <c r="C1131" s="627"/>
      <c r="D1131" s="624"/>
      <c r="E1131" s="206"/>
    </row>
    <row r="1132" customFormat="false" ht="12.75" hidden="false" customHeight="false" outlineLevel="0" collapsed="false">
      <c r="B1132" s="624"/>
      <c r="C1132" s="627"/>
      <c r="D1132" s="624"/>
      <c r="E1132" s="206"/>
    </row>
    <row r="1133" customFormat="false" ht="12.75" hidden="false" customHeight="false" outlineLevel="0" collapsed="false">
      <c r="B1133" s="624"/>
      <c r="C1133" s="627"/>
      <c r="D1133" s="624"/>
      <c r="E1133" s="206"/>
    </row>
    <row r="1134" customFormat="false" ht="12.75" hidden="false" customHeight="false" outlineLevel="0" collapsed="false">
      <c r="B1134" s="624"/>
      <c r="C1134" s="627"/>
      <c r="D1134" s="624"/>
      <c r="E1134" s="206"/>
    </row>
    <row r="1135" customFormat="false" ht="12.75" hidden="false" customHeight="false" outlineLevel="0" collapsed="false">
      <c r="B1135" s="624"/>
      <c r="C1135" s="627"/>
      <c r="D1135" s="624"/>
      <c r="E1135" s="206"/>
    </row>
    <row r="1136" customFormat="false" ht="12.75" hidden="false" customHeight="false" outlineLevel="0" collapsed="false">
      <c r="B1136" s="624"/>
      <c r="C1136" s="627"/>
      <c r="D1136" s="624"/>
      <c r="E1136" s="206"/>
    </row>
    <row r="1137" customFormat="false" ht="12.75" hidden="false" customHeight="false" outlineLevel="0" collapsed="false">
      <c r="B1137" s="624"/>
      <c r="C1137" s="627"/>
      <c r="D1137" s="624"/>
      <c r="E1137" s="206"/>
    </row>
    <row r="1138" customFormat="false" ht="12.75" hidden="false" customHeight="false" outlineLevel="0" collapsed="false">
      <c r="B1138" s="624"/>
      <c r="C1138" s="627"/>
      <c r="D1138" s="624"/>
      <c r="E1138" s="206"/>
    </row>
    <row r="1139" customFormat="false" ht="12.75" hidden="false" customHeight="false" outlineLevel="0" collapsed="false">
      <c r="B1139" s="624"/>
      <c r="C1139" s="627"/>
      <c r="D1139" s="624"/>
      <c r="E1139" s="206"/>
    </row>
    <row r="1140" customFormat="false" ht="12.75" hidden="false" customHeight="false" outlineLevel="0" collapsed="false">
      <c r="B1140" s="624"/>
      <c r="C1140" s="627"/>
      <c r="D1140" s="624"/>
      <c r="E1140" s="206"/>
    </row>
    <row r="1141" customFormat="false" ht="12.75" hidden="false" customHeight="false" outlineLevel="0" collapsed="false">
      <c r="B1141" s="624"/>
      <c r="C1141" s="627"/>
      <c r="D1141" s="624"/>
      <c r="E1141" s="206"/>
    </row>
    <row r="1142" customFormat="false" ht="12.75" hidden="false" customHeight="false" outlineLevel="0" collapsed="false">
      <c r="B1142" s="624"/>
      <c r="C1142" s="627"/>
      <c r="D1142" s="624"/>
      <c r="E1142" s="206"/>
    </row>
    <row r="1143" customFormat="false" ht="12.75" hidden="false" customHeight="false" outlineLevel="0" collapsed="false">
      <c r="B1143" s="624"/>
      <c r="C1143" s="627"/>
      <c r="D1143" s="624"/>
      <c r="E1143" s="206"/>
    </row>
    <row r="1144" customFormat="false" ht="12.75" hidden="false" customHeight="false" outlineLevel="0" collapsed="false">
      <c r="B1144" s="624"/>
      <c r="C1144" s="627"/>
      <c r="D1144" s="624"/>
      <c r="E1144" s="206"/>
    </row>
    <row r="1145" customFormat="false" ht="12.75" hidden="false" customHeight="false" outlineLevel="0" collapsed="false">
      <c r="B1145" s="624"/>
      <c r="C1145" s="627"/>
      <c r="D1145" s="624"/>
      <c r="E1145" s="206"/>
    </row>
    <row r="1146" customFormat="false" ht="12.75" hidden="false" customHeight="false" outlineLevel="0" collapsed="false">
      <c r="B1146" s="624"/>
      <c r="C1146" s="627"/>
      <c r="D1146" s="624"/>
      <c r="E1146" s="206"/>
    </row>
    <row r="1147" customFormat="false" ht="12.75" hidden="false" customHeight="false" outlineLevel="0" collapsed="false">
      <c r="B1147" s="624"/>
      <c r="C1147" s="627"/>
      <c r="D1147" s="624"/>
      <c r="E1147" s="206"/>
    </row>
    <row r="1148" customFormat="false" ht="12.75" hidden="false" customHeight="false" outlineLevel="0" collapsed="false">
      <c r="B1148" s="624"/>
      <c r="C1148" s="627"/>
      <c r="D1148" s="624"/>
      <c r="E1148" s="206"/>
    </row>
    <row r="1149" customFormat="false" ht="12.75" hidden="false" customHeight="false" outlineLevel="0" collapsed="false">
      <c r="B1149" s="624"/>
      <c r="C1149" s="627"/>
      <c r="D1149" s="624"/>
      <c r="E1149" s="206"/>
    </row>
    <row r="1150" customFormat="false" ht="12.75" hidden="false" customHeight="false" outlineLevel="0" collapsed="false">
      <c r="B1150" s="624"/>
      <c r="C1150" s="627"/>
      <c r="D1150" s="624"/>
      <c r="E1150" s="206"/>
    </row>
    <row r="1151" customFormat="false" ht="12.75" hidden="false" customHeight="false" outlineLevel="0" collapsed="false">
      <c r="B1151" s="624"/>
      <c r="C1151" s="627"/>
      <c r="D1151" s="624"/>
      <c r="E1151" s="206"/>
    </row>
    <row r="1152" customFormat="false" ht="12.75" hidden="false" customHeight="false" outlineLevel="0" collapsed="false">
      <c r="B1152" s="624"/>
      <c r="C1152" s="627"/>
      <c r="D1152" s="624"/>
      <c r="E1152" s="206"/>
    </row>
    <row r="1153" customFormat="false" ht="12.75" hidden="false" customHeight="false" outlineLevel="0" collapsed="false">
      <c r="B1153" s="624"/>
      <c r="C1153" s="627"/>
      <c r="D1153" s="624"/>
      <c r="E1153" s="206"/>
    </row>
    <row r="1154" customFormat="false" ht="12.75" hidden="false" customHeight="false" outlineLevel="0" collapsed="false">
      <c r="B1154" s="624"/>
      <c r="C1154" s="627"/>
      <c r="D1154" s="624"/>
      <c r="E1154" s="206"/>
    </row>
    <row r="1155" customFormat="false" ht="12.75" hidden="false" customHeight="false" outlineLevel="0" collapsed="false">
      <c r="B1155" s="624"/>
      <c r="C1155" s="627"/>
      <c r="D1155" s="624"/>
      <c r="E1155" s="206"/>
    </row>
    <row r="1156" customFormat="false" ht="12.75" hidden="false" customHeight="false" outlineLevel="0" collapsed="false">
      <c r="B1156" s="624"/>
      <c r="C1156" s="627"/>
      <c r="D1156" s="624"/>
      <c r="E1156" s="206"/>
    </row>
    <row r="1157" customFormat="false" ht="12.75" hidden="false" customHeight="false" outlineLevel="0" collapsed="false">
      <c r="B1157" s="624"/>
      <c r="C1157" s="627"/>
      <c r="D1157" s="624"/>
      <c r="E1157" s="206"/>
    </row>
    <row r="1158" customFormat="false" ht="12.75" hidden="false" customHeight="false" outlineLevel="0" collapsed="false">
      <c r="B1158" s="624"/>
      <c r="C1158" s="627"/>
      <c r="D1158" s="624"/>
      <c r="E1158" s="206"/>
    </row>
    <row r="1159" customFormat="false" ht="12.75" hidden="false" customHeight="false" outlineLevel="0" collapsed="false">
      <c r="B1159" s="624"/>
      <c r="C1159" s="627"/>
      <c r="D1159" s="624"/>
      <c r="E1159" s="206"/>
    </row>
    <row r="1160" customFormat="false" ht="12.75" hidden="false" customHeight="false" outlineLevel="0" collapsed="false">
      <c r="B1160" s="624"/>
      <c r="C1160" s="627"/>
      <c r="D1160" s="624"/>
      <c r="E1160" s="206"/>
    </row>
    <row r="1161" customFormat="false" ht="12.75" hidden="false" customHeight="false" outlineLevel="0" collapsed="false">
      <c r="B1161" s="624"/>
      <c r="C1161" s="627"/>
      <c r="D1161" s="624"/>
      <c r="E1161" s="206"/>
    </row>
    <row r="1162" customFormat="false" ht="12.75" hidden="false" customHeight="false" outlineLevel="0" collapsed="false">
      <c r="B1162" s="624"/>
      <c r="C1162" s="627"/>
      <c r="D1162" s="624"/>
      <c r="E1162" s="206"/>
    </row>
    <row r="1163" customFormat="false" ht="12.75" hidden="false" customHeight="false" outlineLevel="0" collapsed="false">
      <c r="B1163" s="624"/>
      <c r="C1163" s="627"/>
      <c r="D1163" s="624"/>
      <c r="E1163" s="206"/>
    </row>
    <row r="1164" customFormat="false" ht="12.75" hidden="false" customHeight="false" outlineLevel="0" collapsed="false">
      <c r="B1164" s="624"/>
      <c r="C1164" s="627"/>
      <c r="D1164" s="624"/>
      <c r="E1164" s="206"/>
    </row>
    <row r="1165" customFormat="false" ht="12.75" hidden="false" customHeight="false" outlineLevel="0" collapsed="false">
      <c r="B1165" s="624"/>
      <c r="C1165" s="627"/>
      <c r="D1165" s="624"/>
      <c r="E1165" s="206"/>
    </row>
    <row r="1166" customFormat="false" ht="12.75" hidden="false" customHeight="false" outlineLevel="0" collapsed="false">
      <c r="B1166" s="624"/>
      <c r="C1166" s="627"/>
      <c r="D1166" s="624"/>
      <c r="E1166" s="206"/>
    </row>
    <row r="1167" customFormat="false" ht="12.75" hidden="false" customHeight="false" outlineLevel="0" collapsed="false">
      <c r="B1167" s="624"/>
      <c r="C1167" s="627"/>
      <c r="D1167" s="624"/>
      <c r="E1167" s="206"/>
    </row>
    <row r="1168" customFormat="false" ht="12.75" hidden="false" customHeight="false" outlineLevel="0" collapsed="false">
      <c r="B1168" s="624"/>
      <c r="C1168" s="627"/>
      <c r="D1168" s="624"/>
      <c r="E1168" s="206"/>
    </row>
    <row r="1169" customFormat="false" ht="12.75" hidden="false" customHeight="false" outlineLevel="0" collapsed="false">
      <c r="B1169" s="624"/>
      <c r="C1169" s="627"/>
      <c r="D1169" s="624"/>
      <c r="E1169" s="206"/>
    </row>
    <row r="1170" customFormat="false" ht="12.75" hidden="false" customHeight="false" outlineLevel="0" collapsed="false">
      <c r="B1170" s="624"/>
      <c r="C1170" s="627"/>
      <c r="D1170" s="624"/>
      <c r="E1170" s="206"/>
    </row>
    <row r="1171" customFormat="false" ht="12.75" hidden="false" customHeight="false" outlineLevel="0" collapsed="false">
      <c r="B1171" s="624"/>
      <c r="C1171" s="627"/>
      <c r="D1171" s="624"/>
      <c r="E1171" s="206"/>
    </row>
    <row r="1172" customFormat="false" ht="12.75" hidden="false" customHeight="false" outlineLevel="0" collapsed="false">
      <c r="B1172" s="624"/>
      <c r="C1172" s="627"/>
      <c r="D1172" s="624"/>
      <c r="E1172" s="206"/>
    </row>
    <row r="1173" customFormat="false" ht="12.75" hidden="false" customHeight="false" outlineLevel="0" collapsed="false">
      <c r="B1173" s="624"/>
      <c r="C1173" s="627"/>
      <c r="D1173" s="624"/>
      <c r="E1173" s="206"/>
    </row>
    <row r="1174" customFormat="false" ht="12.75" hidden="false" customHeight="false" outlineLevel="0" collapsed="false">
      <c r="B1174" s="624"/>
      <c r="C1174" s="627"/>
      <c r="D1174" s="624"/>
      <c r="E1174" s="206"/>
    </row>
    <row r="1175" customFormat="false" ht="12.75" hidden="false" customHeight="false" outlineLevel="0" collapsed="false">
      <c r="B1175" s="624"/>
      <c r="C1175" s="627"/>
      <c r="D1175" s="624"/>
      <c r="E1175" s="206"/>
    </row>
    <row r="1176" customFormat="false" ht="12.75" hidden="false" customHeight="false" outlineLevel="0" collapsed="false">
      <c r="B1176" s="624"/>
      <c r="C1176" s="627"/>
      <c r="D1176" s="624"/>
      <c r="E1176" s="206"/>
    </row>
    <row r="1177" customFormat="false" ht="12.75" hidden="false" customHeight="false" outlineLevel="0" collapsed="false">
      <c r="B1177" s="624"/>
      <c r="C1177" s="627"/>
      <c r="D1177" s="624"/>
      <c r="E1177" s="206"/>
    </row>
    <row r="1178" customFormat="false" ht="12.75" hidden="false" customHeight="false" outlineLevel="0" collapsed="false">
      <c r="B1178" s="624"/>
      <c r="C1178" s="627"/>
      <c r="D1178" s="624"/>
      <c r="E1178" s="206"/>
    </row>
    <row r="1179" customFormat="false" ht="12.75" hidden="false" customHeight="false" outlineLevel="0" collapsed="false">
      <c r="B1179" s="624"/>
      <c r="C1179" s="627"/>
      <c r="D1179" s="624"/>
      <c r="E1179" s="206"/>
    </row>
    <row r="1180" customFormat="false" ht="12.75" hidden="false" customHeight="false" outlineLevel="0" collapsed="false">
      <c r="B1180" s="624"/>
      <c r="C1180" s="627"/>
      <c r="D1180" s="624"/>
      <c r="E1180" s="206"/>
    </row>
    <row r="1181" customFormat="false" ht="12.75" hidden="false" customHeight="false" outlineLevel="0" collapsed="false">
      <c r="B1181" s="624"/>
      <c r="C1181" s="627"/>
      <c r="D1181" s="624"/>
      <c r="E1181" s="206"/>
    </row>
    <row r="1182" customFormat="false" ht="12.75" hidden="false" customHeight="false" outlineLevel="0" collapsed="false">
      <c r="B1182" s="624"/>
      <c r="C1182" s="627"/>
      <c r="D1182" s="624"/>
      <c r="E1182" s="206"/>
    </row>
    <row r="1183" customFormat="false" ht="12.75" hidden="false" customHeight="false" outlineLevel="0" collapsed="false">
      <c r="B1183" s="624"/>
      <c r="C1183" s="627"/>
      <c r="D1183" s="624"/>
      <c r="E1183" s="206"/>
    </row>
    <row r="1184" customFormat="false" ht="12.75" hidden="false" customHeight="false" outlineLevel="0" collapsed="false">
      <c r="B1184" s="624"/>
      <c r="C1184" s="627"/>
      <c r="D1184" s="624"/>
      <c r="E1184" s="206"/>
    </row>
    <row r="1185" customFormat="false" ht="12.75" hidden="false" customHeight="false" outlineLevel="0" collapsed="false">
      <c r="B1185" s="624"/>
      <c r="C1185" s="627"/>
      <c r="D1185" s="624"/>
      <c r="E1185" s="206"/>
    </row>
    <row r="1186" customFormat="false" ht="12.75" hidden="false" customHeight="false" outlineLevel="0" collapsed="false">
      <c r="B1186" s="624"/>
      <c r="C1186" s="627"/>
      <c r="D1186" s="624"/>
      <c r="E1186" s="206"/>
    </row>
    <row r="1187" customFormat="false" ht="12.75" hidden="false" customHeight="false" outlineLevel="0" collapsed="false">
      <c r="B1187" s="624"/>
      <c r="C1187" s="627"/>
      <c r="D1187" s="624"/>
      <c r="E1187" s="206"/>
    </row>
    <row r="1188" customFormat="false" ht="12.75" hidden="false" customHeight="false" outlineLevel="0" collapsed="false">
      <c r="B1188" s="624"/>
      <c r="C1188" s="627"/>
      <c r="D1188" s="624"/>
      <c r="E1188" s="206"/>
    </row>
    <row r="1189" customFormat="false" ht="12.75" hidden="false" customHeight="false" outlineLevel="0" collapsed="false">
      <c r="B1189" s="624"/>
      <c r="C1189" s="627"/>
      <c r="D1189" s="624"/>
      <c r="E1189" s="206"/>
    </row>
    <row r="1190" customFormat="false" ht="12.75" hidden="false" customHeight="false" outlineLevel="0" collapsed="false">
      <c r="B1190" s="624"/>
      <c r="C1190" s="627"/>
      <c r="D1190" s="624"/>
      <c r="E1190" s="206"/>
    </row>
    <row r="1191" customFormat="false" ht="12.75" hidden="false" customHeight="false" outlineLevel="0" collapsed="false">
      <c r="B1191" s="624"/>
      <c r="C1191" s="627"/>
      <c r="D1191" s="624"/>
      <c r="E1191" s="206"/>
    </row>
    <row r="1192" customFormat="false" ht="12.75" hidden="false" customHeight="false" outlineLevel="0" collapsed="false">
      <c r="B1192" s="624"/>
      <c r="C1192" s="627"/>
      <c r="D1192" s="624"/>
      <c r="E1192" s="206"/>
    </row>
    <row r="1193" customFormat="false" ht="12.75" hidden="false" customHeight="false" outlineLevel="0" collapsed="false">
      <c r="B1193" s="624"/>
      <c r="C1193" s="627"/>
      <c r="D1193" s="624"/>
      <c r="E1193" s="206"/>
    </row>
    <row r="1194" customFormat="false" ht="12.75" hidden="false" customHeight="false" outlineLevel="0" collapsed="false">
      <c r="B1194" s="624"/>
      <c r="C1194" s="627"/>
      <c r="D1194" s="624"/>
      <c r="E1194" s="206"/>
    </row>
    <row r="1195" customFormat="false" ht="12.75" hidden="false" customHeight="false" outlineLevel="0" collapsed="false">
      <c r="B1195" s="624"/>
      <c r="C1195" s="627"/>
      <c r="D1195" s="624"/>
      <c r="E1195" s="206"/>
    </row>
    <row r="1196" customFormat="false" ht="12.75" hidden="false" customHeight="false" outlineLevel="0" collapsed="false">
      <c r="B1196" s="624"/>
      <c r="C1196" s="627"/>
      <c r="D1196" s="624"/>
      <c r="E1196" s="206"/>
    </row>
    <row r="1197" customFormat="false" ht="12.75" hidden="false" customHeight="false" outlineLevel="0" collapsed="false">
      <c r="B1197" s="624"/>
      <c r="C1197" s="627"/>
      <c r="D1197" s="624"/>
      <c r="E1197" s="206"/>
    </row>
    <row r="1198" customFormat="false" ht="12.75" hidden="false" customHeight="false" outlineLevel="0" collapsed="false">
      <c r="B1198" s="624"/>
      <c r="C1198" s="627"/>
      <c r="D1198" s="624"/>
      <c r="E1198" s="206"/>
    </row>
    <row r="1199" customFormat="false" ht="12.75" hidden="false" customHeight="false" outlineLevel="0" collapsed="false">
      <c r="B1199" s="624"/>
      <c r="C1199" s="627"/>
      <c r="D1199" s="624"/>
      <c r="E1199" s="206"/>
    </row>
    <row r="1200" customFormat="false" ht="12.75" hidden="false" customHeight="false" outlineLevel="0" collapsed="false">
      <c r="B1200" s="624"/>
      <c r="C1200" s="627"/>
      <c r="D1200" s="624"/>
      <c r="E1200" s="206"/>
    </row>
    <row r="1201" customFormat="false" ht="12.75" hidden="false" customHeight="false" outlineLevel="0" collapsed="false">
      <c r="B1201" s="624"/>
      <c r="C1201" s="627"/>
      <c r="D1201" s="624"/>
      <c r="E1201" s="206"/>
    </row>
    <row r="1202" customFormat="false" ht="12.75" hidden="false" customHeight="false" outlineLevel="0" collapsed="false">
      <c r="B1202" s="624"/>
      <c r="C1202" s="627"/>
      <c r="D1202" s="624"/>
      <c r="E1202" s="206"/>
    </row>
    <row r="1203" customFormat="false" ht="12.75" hidden="false" customHeight="false" outlineLevel="0" collapsed="false">
      <c r="B1203" s="624"/>
      <c r="C1203" s="627"/>
      <c r="D1203" s="624"/>
      <c r="E1203" s="206"/>
    </row>
    <row r="1204" customFormat="false" ht="12.75" hidden="false" customHeight="false" outlineLevel="0" collapsed="false">
      <c r="B1204" s="624"/>
      <c r="C1204" s="627"/>
      <c r="D1204" s="624"/>
      <c r="E1204" s="206"/>
    </row>
    <row r="1205" customFormat="false" ht="12.75" hidden="false" customHeight="false" outlineLevel="0" collapsed="false">
      <c r="B1205" s="624"/>
      <c r="C1205" s="627"/>
      <c r="D1205" s="624"/>
      <c r="E1205" s="206"/>
    </row>
    <row r="1206" customFormat="false" ht="12.75" hidden="false" customHeight="false" outlineLevel="0" collapsed="false">
      <c r="B1206" s="624"/>
      <c r="C1206" s="627"/>
      <c r="D1206" s="624"/>
      <c r="E1206" s="206"/>
    </row>
    <row r="1207" customFormat="false" ht="12.75" hidden="false" customHeight="false" outlineLevel="0" collapsed="false">
      <c r="B1207" s="624"/>
      <c r="C1207" s="627"/>
      <c r="D1207" s="624"/>
      <c r="E1207" s="206"/>
    </row>
    <row r="1208" customFormat="false" ht="12.75" hidden="false" customHeight="false" outlineLevel="0" collapsed="false">
      <c r="B1208" s="624"/>
      <c r="C1208" s="627"/>
      <c r="D1208" s="624"/>
      <c r="E1208" s="206"/>
    </row>
    <row r="1209" customFormat="false" ht="12.75" hidden="false" customHeight="false" outlineLevel="0" collapsed="false">
      <c r="B1209" s="624"/>
      <c r="C1209" s="627"/>
      <c r="D1209" s="624"/>
      <c r="E1209" s="206"/>
    </row>
    <row r="1210" customFormat="false" ht="12.75" hidden="false" customHeight="false" outlineLevel="0" collapsed="false">
      <c r="B1210" s="624"/>
      <c r="C1210" s="627"/>
      <c r="D1210" s="624"/>
      <c r="E1210" s="206"/>
    </row>
    <row r="1211" customFormat="false" ht="12.75" hidden="false" customHeight="false" outlineLevel="0" collapsed="false">
      <c r="B1211" s="624"/>
      <c r="C1211" s="627"/>
      <c r="D1211" s="624"/>
      <c r="E1211" s="206"/>
    </row>
    <row r="1212" customFormat="false" ht="12.75" hidden="false" customHeight="false" outlineLevel="0" collapsed="false">
      <c r="B1212" s="624"/>
      <c r="C1212" s="627"/>
      <c r="D1212" s="624"/>
      <c r="E1212" s="206"/>
    </row>
    <row r="1213" customFormat="false" ht="12.75" hidden="false" customHeight="false" outlineLevel="0" collapsed="false">
      <c r="B1213" s="624"/>
      <c r="C1213" s="627"/>
      <c r="D1213" s="624"/>
      <c r="E1213" s="206"/>
    </row>
    <row r="1214" customFormat="false" ht="12.75" hidden="false" customHeight="false" outlineLevel="0" collapsed="false">
      <c r="B1214" s="624"/>
      <c r="C1214" s="627"/>
      <c r="D1214" s="624"/>
      <c r="E1214" s="206"/>
    </row>
    <row r="1215" customFormat="false" ht="12.75" hidden="false" customHeight="false" outlineLevel="0" collapsed="false">
      <c r="B1215" s="624"/>
      <c r="C1215" s="627"/>
      <c r="D1215" s="624"/>
      <c r="E1215" s="206"/>
    </row>
    <row r="1216" customFormat="false" ht="12.75" hidden="false" customHeight="false" outlineLevel="0" collapsed="false">
      <c r="B1216" s="624"/>
      <c r="C1216" s="627"/>
      <c r="D1216" s="624"/>
      <c r="E1216" s="206"/>
    </row>
    <row r="1217" customFormat="false" ht="12.75" hidden="false" customHeight="false" outlineLevel="0" collapsed="false">
      <c r="B1217" s="624"/>
      <c r="C1217" s="627"/>
      <c r="D1217" s="624"/>
      <c r="E1217" s="206"/>
    </row>
    <row r="1218" customFormat="false" ht="12.75" hidden="false" customHeight="false" outlineLevel="0" collapsed="false">
      <c r="B1218" s="624"/>
      <c r="C1218" s="627"/>
      <c r="D1218" s="624"/>
      <c r="E1218" s="206"/>
    </row>
    <row r="1219" customFormat="false" ht="12.75" hidden="false" customHeight="false" outlineLevel="0" collapsed="false">
      <c r="B1219" s="624"/>
      <c r="C1219" s="627"/>
      <c r="D1219" s="624"/>
      <c r="E1219" s="206"/>
    </row>
    <row r="1220" customFormat="false" ht="12.75" hidden="false" customHeight="false" outlineLevel="0" collapsed="false">
      <c r="B1220" s="624"/>
      <c r="C1220" s="627"/>
      <c r="D1220" s="624"/>
      <c r="E1220" s="206"/>
    </row>
    <row r="1221" customFormat="false" ht="12.75" hidden="false" customHeight="false" outlineLevel="0" collapsed="false">
      <c r="B1221" s="624"/>
      <c r="C1221" s="627"/>
      <c r="D1221" s="624"/>
      <c r="E1221" s="206"/>
    </row>
    <row r="1222" customFormat="false" ht="12.75" hidden="false" customHeight="false" outlineLevel="0" collapsed="false">
      <c r="B1222" s="624"/>
      <c r="C1222" s="627"/>
      <c r="D1222" s="624"/>
      <c r="E1222" s="206"/>
    </row>
    <row r="1223" customFormat="false" ht="12.75" hidden="false" customHeight="false" outlineLevel="0" collapsed="false">
      <c r="B1223" s="624"/>
      <c r="C1223" s="627"/>
      <c r="D1223" s="624"/>
      <c r="E1223" s="206"/>
    </row>
    <row r="1224" customFormat="false" ht="12.75" hidden="false" customHeight="false" outlineLevel="0" collapsed="false">
      <c r="B1224" s="624"/>
      <c r="C1224" s="627"/>
      <c r="D1224" s="624"/>
      <c r="E1224" s="206"/>
    </row>
    <row r="1225" customFormat="false" ht="12.75" hidden="false" customHeight="false" outlineLevel="0" collapsed="false">
      <c r="B1225" s="624"/>
      <c r="C1225" s="627"/>
      <c r="D1225" s="624"/>
      <c r="E1225" s="206"/>
    </row>
    <row r="1226" customFormat="false" ht="12.75" hidden="false" customHeight="false" outlineLevel="0" collapsed="false">
      <c r="B1226" s="624"/>
      <c r="C1226" s="627"/>
      <c r="D1226" s="624"/>
      <c r="E1226" s="206"/>
    </row>
    <row r="1227" customFormat="false" ht="12.75" hidden="false" customHeight="false" outlineLevel="0" collapsed="false">
      <c r="B1227" s="624"/>
      <c r="C1227" s="627"/>
      <c r="D1227" s="624"/>
      <c r="E1227" s="206"/>
    </row>
    <row r="1228" customFormat="false" ht="12.75" hidden="false" customHeight="false" outlineLevel="0" collapsed="false">
      <c r="B1228" s="624"/>
      <c r="C1228" s="627"/>
      <c r="D1228" s="624"/>
      <c r="E1228" s="206"/>
    </row>
    <row r="1229" customFormat="false" ht="12.75" hidden="false" customHeight="false" outlineLevel="0" collapsed="false">
      <c r="B1229" s="624"/>
      <c r="C1229" s="627"/>
      <c r="D1229" s="624"/>
      <c r="E1229" s="206"/>
    </row>
    <row r="1230" customFormat="false" ht="12.75" hidden="false" customHeight="false" outlineLevel="0" collapsed="false">
      <c r="B1230" s="624"/>
      <c r="C1230" s="627"/>
      <c r="D1230" s="624"/>
      <c r="E1230" s="206"/>
    </row>
    <row r="1231" customFormat="false" ht="12.75" hidden="false" customHeight="false" outlineLevel="0" collapsed="false">
      <c r="B1231" s="624"/>
      <c r="C1231" s="627"/>
      <c r="D1231" s="624"/>
      <c r="E1231" s="206"/>
    </row>
    <row r="1232" customFormat="false" ht="12.75" hidden="false" customHeight="false" outlineLevel="0" collapsed="false">
      <c r="B1232" s="624"/>
      <c r="C1232" s="627"/>
      <c r="D1232" s="624"/>
      <c r="E1232" s="206"/>
    </row>
    <row r="1233" customFormat="false" ht="12.75" hidden="false" customHeight="false" outlineLevel="0" collapsed="false">
      <c r="B1233" s="624"/>
      <c r="C1233" s="627"/>
      <c r="D1233" s="624"/>
      <c r="E1233" s="206"/>
    </row>
    <row r="1234" customFormat="false" ht="12.75" hidden="false" customHeight="false" outlineLevel="0" collapsed="false">
      <c r="B1234" s="624"/>
      <c r="C1234" s="627"/>
      <c r="D1234" s="624"/>
      <c r="E1234" s="206"/>
    </row>
    <row r="1235" customFormat="false" ht="12.75" hidden="false" customHeight="false" outlineLevel="0" collapsed="false">
      <c r="B1235" s="624"/>
      <c r="C1235" s="627"/>
      <c r="D1235" s="624"/>
      <c r="E1235" s="206"/>
    </row>
    <row r="1236" customFormat="false" ht="12.75" hidden="false" customHeight="false" outlineLevel="0" collapsed="false">
      <c r="B1236" s="624"/>
      <c r="C1236" s="627"/>
      <c r="D1236" s="624"/>
      <c r="E1236" s="206"/>
    </row>
    <row r="1237" customFormat="false" ht="12.75" hidden="false" customHeight="false" outlineLevel="0" collapsed="false">
      <c r="B1237" s="624"/>
      <c r="C1237" s="627"/>
      <c r="D1237" s="624"/>
      <c r="E1237" s="206"/>
    </row>
    <row r="1238" customFormat="false" ht="12.75" hidden="false" customHeight="false" outlineLevel="0" collapsed="false">
      <c r="B1238" s="624"/>
      <c r="C1238" s="627"/>
      <c r="D1238" s="624"/>
      <c r="E1238" s="206"/>
    </row>
    <row r="1239" customFormat="false" ht="12.75" hidden="false" customHeight="false" outlineLevel="0" collapsed="false">
      <c r="B1239" s="624"/>
      <c r="C1239" s="627"/>
      <c r="D1239" s="624"/>
      <c r="E1239" s="206"/>
    </row>
    <row r="1240" customFormat="false" ht="12.75" hidden="false" customHeight="false" outlineLevel="0" collapsed="false">
      <c r="B1240" s="624"/>
      <c r="C1240" s="627"/>
      <c r="D1240" s="624"/>
      <c r="E1240" s="206"/>
    </row>
    <row r="1241" customFormat="false" ht="12.75" hidden="false" customHeight="false" outlineLevel="0" collapsed="false">
      <c r="B1241" s="624"/>
      <c r="C1241" s="627"/>
      <c r="D1241" s="624"/>
      <c r="E1241" s="206"/>
    </row>
    <row r="1242" customFormat="false" ht="12.75" hidden="false" customHeight="false" outlineLevel="0" collapsed="false">
      <c r="B1242" s="624"/>
      <c r="C1242" s="627"/>
      <c r="D1242" s="624"/>
      <c r="E1242" s="206"/>
    </row>
    <row r="1243" customFormat="false" ht="12.75" hidden="false" customHeight="false" outlineLevel="0" collapsed="false">
      <c r="B1243" s="624"/>
      <c r="C1243" s="627"/>
      <c r="D1243" s="624"/>
      <c r="E1243" s="206"/>
    </row>
    <row r="1244" customFormat="false" ht="12.75" hidden="false" customHeight="false" outlineLevel="0" collapsed="false">
      <c r="B1244" s="624"/>
      <c r="C1244" s="627"/>
      <c r="D1244" s="624"/>
      <c r="E1244" s="206"/>
    </row>
    <row r="1245" customFormat="false" ht="12.75" hidden="false" customHeight="false" outlineLevel="0" collapsed="false">
      <c r="B1245" s="624"/>
      <c r="C1245" s="627"/>
      <c r="D1245" s="624"/>
      <c r="E1245" s="206"/>
    </row>
    <row r="1246" customFormat="false" ht="12.75" hidden="false" customHeight="false" outlineLevel="0" collapsed="false">
      <c r="B1246" s="624"/>
      <c r="C1246" s="627"/>
      <c r="D1246" s="624"/>
      <c r="E1246" s="206"/>
    </row>
    <row r="1247" customFormat="false" ht="12.75" hidden="false" customHeight="false" outlineLevel="0" collapsed="false">
      <c r="B1247" s="624"/>
      <c r="C1247" s="627"/>
      <c r="D1247" s="624"/>
      <c r="E1247" s="206"/>
    </row>
    <row r="1248" customFormat="false" ht="12.75" hidden="false" customHeight="false" outlineLevel="0" collapsed="false">
      <c r="B1248" s="624"/>
      <c r="C1248" s="627"/>
      <c r="D1248" s="624"/>
      <c r="E1248" s="206"/>
    </row>
    <row r="1249" customFormat="false" ht="12.75" hidden="false" customHeight="false" outlineLevel="0" collapsed="false">
      <c r="B1249" s="624"/>
      <c r="C1249" s="627"/>
      <c r="D1249" s="624"/>
      <c r="E1249" s="206"/>
    </row>
    <row r="1250" customFormat="false" ht="12.75" hidden="false" customHeight="false" outlineLevel="0" collapsed="false">
      <c r="B1250" s="624"/>
      <c r="C1250" s="627"/>
      <c r="D1250" s="624"/>
      <c r="E1250" s="206"/>
    </row>
    <row r="1251" customFormat="false" ht="12.75" hidden="false" customHeight="false" outlineLevel="0" collapsed="false">
      <c r="B1251" s="624"/>
      <c r="C1251" s="627"/>
      <c r="D1251" s="624"/>
      <c r="E1251" s="206"/>
    </row>
    <row r="1252" customFormat="false" ht="12.75" hidden="false" customHeight="false" outlineLevel="0" collapsed="false">
      <c r="B1252" s="624"/>
      <c r="C1252" s="627"/>
      <c r="D1252" s="624"/>
      <c r="E1252" s="206"/>
    </row>
    <row r="1253" customFormat="false" ht="12.75" hidden="false" customHeight="false" outlineLevel="0" collapsed="false">
      <c r="B1253" s="624"/>
      <c r="C1253" s="627"/>
      <c r="D1253" s="624"/>
      <c r="E1253" s="206"/>
    </row>
    <row r="1254" customFormat="false" ht="12.75" hidden="false" customHeight="false" outlineLevel="0" collapsed="false">
      <c r="B1254" s="624"/>
      <c r="C1254" s="627"/>
      <c r="D1254" s="624"/>
      <c r="E1254" s="206"/>
    </row>
    <row r="1255" customFormat="false" ht="12.75" hidden="false" customHeight="false" outlineLevel="0" collapsed="false">
      <c r="B1255" s="624"/>
      <c r="C1255" s="627"/>
      <c r="D1255" s="624"/>
      <c r="E1255" s="206"/>
    </row>
    <row r="1256" customFormat="false" ht="12.75" hidden="false" customHeight="false" outlineLevel="0" collapsed="false">
      <c r="B1256" s="624"/>
      <c r="C1256" s="627"/>
      <c r="D1256" s="624"/>
      <c r="E1256" s="206"/>
    </row>
    <row r="1257" customFormat="false" ht="12.75" hidden="false" customHeight="false" outlineLevel="0" collapsed="false">
      <c r="B1257" s="624"/>
      <c r="C1257" s="627"/>
      <c r="D1257" s="624"/>
      <c r="E1257" s="206"/>
    </row>
    <row r="1258" customFormat="false" ht="12.75" hidden="false" customHeight="false" outlineLevel="0" collapsed="false">
      <c r="B1258" s="624"/>
      <c r="C1258" s="627"/>
      <c r="D1258" s="624"/>
      <c r="E1258" s="206"/>
    </row>
    <row r="1259" customFormat="false" ht="12.75" hidden="false" customHeight="false" outlineLevel="0" collapsed="false">
      <c r="B1259" s="624"/>
      <c r="C1259" s="627"/>
      <c r="D1259" s="624"/>
      <c r="E1259" s="206"/>
    </row>
    <row r="1260" customFormat="false" ht="12.75" hidden="false" customHeight="false" outlineLevel="0" collapsed="false">
      <c r="B1260" s="624"/>
      <c r="C1260" s="627"/>
      <c r="D1260" s="624"/>
      <c r="E1260" s="206"/>
    </row>
    <row r="1261" customFormat="false" ht="12.75" hidden="false" customHeight="false" outlineLevel="0" collapsed="false">
      <c r="B1261" s="624"/>
      <c r="C1261" s="627"/>
      <c r="D1261" s="624"/>
      <c r="E1261" s="206"/>
    </row>
    <row r="1262" customFormat="false" ht="12.75" hidden="false" customHeight="false" outlineLevel="0" collapsed="false">
      <c r="B1262" s="624"/>
      <c r="C1262" s="627"/>
      <c r="D1262" s="624"/>
      <c r="E1262" s="206"/>
    </row>
    <row r="1263" customFormat="false" ht="12.75" hidden="false" customHeight="false" outlineLevel="0" collapsed="false">
      <c r="B1263" s="624"/>
      <c r="C1263" s="627"/>
      <c r="D1263" s="624"/>
      <c r="E1263" s="206"/>
    </row>
    <row r="1264" customFormat="false" ht="12.75" hidden="false" customHeight="false" outlineLevel="0" collapsed="false">
      <c r="B1264" s="624"/>
      <c r="C1264" s="627"/>
      <c r="D1264" s="624"/>
      <c r="E1264" s="206"/>
    </row>
    <row r="1265" customFormat="false" ht="12.75" hidden="false" customHeight="false" outlineLevel="0" collapsed="false">
      <c r="B1265" s="624"/>
      <c r="C1265" s="627"/>
      <c r="D1265" s="624"/>
      <c r="E1265" s="206"/>
    </row>
    <row r="1266" customFormat="false" ht="12.75" hidden="false" customHeight="false" outlineLevel="0" collapsed="false">
      <c r="B1266" s="624"/>
      <c r="C1266" s="627"/>
      <c r="D1266" s="624"/>
      <c r="E1266" s="206"/>
    </row>
    <row r="1267" customFormat="false" ht="12.75" hidden="false" customHeight="false" outlineLevel="0" collapsed="false">
      <c r="B1267" s="624"/>
      <c r="C1267" s="627"/>
      <c r="D1267" s="624"/>
      <c r="E1267" s="206"/>
    </row>
    <row r="1268" customFormat="false" ht="12.75" hidden="false" customHeight="false" outlineLevel="0" collapsed="false">
      <c r="B1268" s="624"/>
      <c r="C1268" s="627"/>
      <c r="D1268" s="624"/>
      <c r="E1268" s="206"/>
    </row>
    <row r="1269" customFormat="false" ht="12.75" hidden="false" customHeight="false" outlineLevel="0" collapsed="false">
      <c r="B1269" s="624"/>
      <c r="C1269" s="627"/>
      <c r="D1269" s="624"/>
      <c r="E1269" s="206"/>
    </row>
    <row r="1270" customFormat="false" ht="12.75" hidden="false" customHeight="false" outlineLevel="0" collapsed="false">
      <c r="B1270" s="624"/>
      <c r="C1270" s="627"/>
      <c r="D1270" s="624"/>
      <c r="E1270" s="206"/>
    </row>
    <row r="1271" customFormat="false" ht="12.75" hidden="false" customHeight="false" outlineLevel="0" collapsed="false">
      <c r="B1271" s="624"/>
      <c r="C1271" s="627"/>
      <c r="D1271" s="624"/>
      <c r="E1271" s="206"/>
    </row>
    <row r="1272" customFormat="false" ht="12.75" hidden="false" customHeight="false" outlineLevel="0" collapsed="false">
      <c r="B1272" s="624"/>
      <c r="C1272" s="627"/>
      <c r="D1272" s="624"/>
      <c r="E1272" s="206"/>
    </row>
    <row r="1273" customFormat="false" ht="12.75" hidden="false" customHeight="false" outlineLevel="0" collapsed="false">
      <c r="B1273" s="624"/>
      <c r="C1273" s="627"/>
      <c r="D1273" s="624"/>
      <c r="E1273" s="206"/>
    </row>
    <row r="1274" customFormat="false" ht="12.75" hidden="false" customHeight="false" outlineLevel="0" collapsed="false">
      <c r="B1274" s="624"/>
      <c r="C1274" s="627"/>
      <c r="D1274" s="624"/>
      <c r="E1274" s="206"/>
    </row>
    <row r="1275" customFormat="false" ht="12.75" hidden="false" customHeight="false" outlineLevel="0" collapsed="false">
      <c r="B1275" s="624"/>
      <c r="C1275" s="627"/>
      <c r="D1275" s="624"/>
      <c r="E1275" s="206"/>
    </row>
    <row r="1276" customFormat="false" ht="12.75" hidden="false" customHeight="false" outlineLevel="0" collapsed="false">
      <c r="B1276" s="624"/>
      <c r="C1276" s="627"/>
      <c r="D1276" s="624"/>
      <c r="E1276" s="206"/>
    </row>
    <row r="1277" customFormat="false" ht="12.75" hidden="false" customHeight="false" outlineLevel="0" collapsed="false">
      <c r="B1277" s="624"/>
      <c r="C1277" s="627"/>
      <c r="D1277" s="624"/>
      <c r="E1277" s="206"/>
    </row>
    <row r="1278" customFormat="false" ht="12.75" hidden="false" customHeight="false" outlineLevel="0" collapsed="false">
      <c r="B1278" s="624"/>
      <c r="C1278" s="627"/>
      <c r="D1278" s="624"/>
      <c r="E1278" s="206"/>
    </row>
    <row r="1279" customFormat="false" ht="12.75" hidden="false" customHeight="false" outlineLevel="0" collapsed="false">
      <c r="B1279" s="624"/>
      <c r="C1279" s="627"/>
      <c r="D1279" s="624"/>
      <c r="E1279" s="206"/>
    </row>
    <row r="1280" customFormat="false" ht="12.75" hidden="false" customHeight="false" outlineLevel="0" collapsed="false">
      <c r="B1280" s="624"/>
      <c r="C1280" s="627"/>
      <c r="D1280" s="624"/>
      <c r="E1280" s="206"/>
    </row>
    <row r="1281" customFormat="false" ht="12.75" hidden="false" customHeight="false" outlineLevel="0" collapsed="false">
      <c r="B1281" s="624"/>
      <c r="C1281" s="627"/>
      <c r="D1281" s="624"/>
      <c r="E1281" s="206"/>
    </row>
    <row r="1282" customFormat="false" ht="12.75" hidden="false" customHeight="false" outlineLevel="0" collapsed="false">
      <c r="B1282" s="624"/>
      <c r="C1282" s="627"/>
      <c r="D1282" s="624"/>
      <c r="E1282" s="206"/>
    </row>
    <row r="1283" customFormat="false" ht="12.75" hidden="false" customHeight="false" outlineLevel="0" collapsed="false">
      <c r="B1283" s="624"/>
      <c r="C1283" s="627"/>
      <c r="D1283" s="624"/>
      <c r="E1283" s="206"/>
    </row>
    <row r="1284" customFormat="false" ht="12.75" hidden="false" customHeight="false" outlineLevel="0" collapsed="false">
      <c r="B1284" s="624"/>
      <c r="C1284" s="627"/>
      <c r="D1284" s="624"/>
      <c r="E1284" s="206"/>
    </row>
    <row r="1285" customFormat="false" ht="12.75" hidden="false" customHeight="false" outlineLevel="0" collapsed="false">
      <c r="B1285" s="624"/>
      <c r="C1285" s="627"/>
      <c r="D1285" s="624"/>
      <c r="E1285" s="206"/>
    </row>
    <row r="1286" customFormat="false" ht="12.75" hidden="false" customHeight="false" outlineLevel="0" collapsed="false">
      <c r="B1286" s="624"/>
      <c r="C1286" s="627"/>
      <c r="D1286" s="624"/>
      <c r="E1286" s="206"/>
    </row>
    <row r="1287" customFormat="false" ht="12.75" hidden="false" customHeight="false" outlineLevel="0" collapsed="false">
      <c r="B1287" s="624"/>
      <c r="C1287" s="627"/>
      <c r="D1287" s="624"/>
      <c r="E1287" s="206"/>
    </row>
    <row r="1288" customFormat="false" ht="12.75" hidden="false" customHeight="false" outlineLevel="0" collapsed="false">
      <c r="B1288" s="624"/>
      <c r="C1288" s="627"/>
      <c r="D1288" s="624"/>
      <c r="E1288" s="206"/>
    </row>
    <row r="1289" customFormat="false" ht="12.75" hidden="false" customHeight="false" outlineLevel="0" collapsed="false">
      <c r="B1289" s="624"/>
      <c r="C1289" s="627"/>
      <c r="D1289" s="624"/>
      <c r="E1289" s="206"/>
    </row>
    <row r="1290" customFormat="false" ht="12.75" hidden="false" customHeight="false" outlineLevel="0" collapsed="false">
      <c r="B1290" s="624"/>
      <c r="C1290" s="627"/>
      <c r="D1290" s="624"/>
      <c r="E1290" s="206"/>
    </row>
    <row r="1291" customFormat="false" ht="12.75" hidden="false" customHeight="false" outlineLevel="0" collapsed="false">
      <c r="B1291" s="624"/>
      <c r="C1291" s="627"/>
      <c r="D1291" s="624"/>
      <c r="E1291" s="206"/>
    </row>
    <row r="1292" customFormat="false" ht="12.75" hidden="false" customHeight="false" outlineLevel="0" collapsed="false">
      <c r="B1292" s="624"/>
      <c r="C1292" s="627"/>
      <c r="D1292" s="624"/>
      <c r="E1292" s="206"/>
    </row>
    <row r="1293" customFormat="false" ht="12.75" hidden="false" customHeight="false" outlineLevel="0" collapsed="false">
      <c r="B1293" s="624"/>
      <c r="C1293" s="627"/>
      <c r="D1293" s="624"/>
      <c r="E1293" s="206"/>
    </row>
    <row r="1294" customFormat="false" ht="12.75" hidden="false" customHeight="false" outlineLevel="0" collapsed="false">
      <c r="B1294" s="624"/>
      <c r="C1294" s="627"/>
      <c r="D1294" s="624"/>
      <c r="E1294" s="206"/>
    </row>
    <row r="1295" customFormat="false" ht="12.75" hidden="false" customHeight="false" outlineLevel="0" collapsed="false">
      <c r="B1295" s="624"/>
      <c r="C1295" s="627"/>
      <c r="D1295" s="624"/>
      <c r="E1295" s="206"/>
    </row>
    <row r="1296" customFormat="false" ht="12.75" hidden="false" customHeight="false" outlineLevel="0" collapsed="false">
      <c r="B1296" s="624"/>
      <c r="C1296" s="627"/>
      <c r="D1296" s="624"/>
      <c r="E1296" s="206"/>
    </row>
    <row r="1297" customFormat="false" ht="12.75" hidden="false" customHeight="false" outlineLevel="0" collapsed="false">
      <c r="B1297" s="624"/>
      <c r="C1297" s="627"/>
      <c r="D1297" s="624"/>
      <c r="E1297" s="206"/>
    </row>
    <row r="1298" customFormat="false" ht="12.75" hidden="false" customHeight="false" outlineLevel="0" collapsed="false">
      <c r="B1298" s="624"/>
      <c r="C1298" s="627"/>
      <c r="D1298" s="624"/>
      <c r="E1298" s="206"/>
    </row>
    <row r="1299" customFormat="false" ht="12.75" hidden="false" customHeight="false" outlineLevel="0" collapsed="false">
      <c r="B1299" s="624"/>
      <c r="C1299" s="627"/>
      <c r="D1299" s="624"/>
      <c r="E1299" s="206"/>
    </row>
    <row r="1300" customFormat="false" ht="12.75" hidden="false" customHeight="false" outlineLevel="0" collapsed="false">
      <c r="B1300" s="624"/>
      <c r="C1300" s="627"/>
      <c r="D1300" s="624"/>
      <c r="E1300" s="206"/>
    </row>
    <row r="1301" customFormat="false" ht="12.75" hidden="false" customHeight="false" outlineLevel="0" collapsed="false">
      <c r="B1301" s="624"/>
      <c r="C1301" s="627"/>
      <c r="D1301" s="624"/>
      <c r="E1301" s="206"/>
    </row>
    <row r="1302" customFormat="false" ht="12.75" hidden="false" customHeight="false" outlineLevel="0" collapsed="false">
      <c r="B1302" s="624"/>
      <c r="C1302" s="627"/>
      <c r="D1302" s="624"/>
      <c r="E1302" s="206"/>
    </row>
    <row r="1303" customFormat="false" ht="12.75" hidden="false" customHeight="false" outlineLevel="0" collapsed="false">
      <c r="B1303" s="624"/>
      <c r="C1303" s="627"/>
      <c r="D1303" s="624"/>
      <c r="E1303" s="206"/>
    </row>
    <row r="1304" customFormat="false" ht="12.75" hidden="false" customHeight="false" outlineLevel="0" collapsed="false">
      <c r="B1304" s="624"/>
      <c r="C1304" s="627"/>
      <c r="D1304" s="624"/>
      <c r="E1304" s="206"/>
    </row>
    <row r="1305" customFormat="false" ht="12.75" hidden="false" customHeight="false" outlineLevel="0" collapsed="false">
      <c r="B1305" s="624"/>
      <c r="C1305" s="627"/>
      <c r="D1305" s="624"/>
      <c r="E1305" s="206"/>
    </row>
    <row r="1306" customFormat="false" ht="12.75" hidden="false" customHeight="false" outlineLevel="0" collapsed="false">
      <c r="B1306" s="624"/>
      <c r="C1306" s="627"/>
      <c r="D1306" s="624"/>
      <c r="E1306" s="206"/>
    </row>
    <row r="1307" customFormat="false" ht="12.75" hidden="false" customHeight="false" outlineLevel="0" collapsed="false">
      <c r="B1307" s="624"/>
      <c r="C1307" s="627"/>
      <c r="D1307" s="624"/>
      <c r="E1307" s="206"/>
    </row>
    <row r="1308" customFormat="false" ht="12.75" hidden="false" customHeight="false" outlineLevel="0" collapsed="false">
      <c r="B1308" s="624"/>
      <c r="C1308" s="627"/>
      <c r="D1308" s="624"/>
      <c r="E1308" s="206"/>
    </row>
    <row r="1309" customFormat="false" ht="12.75" hidden="false" customHeight="false" outlineLevel="0" collapsed="false">
      <c r="B1309" s="624"/>
      <c r="C1309" s="627"/>
      <c r="D1309" s="624"/>
      <c r="E1309" s="206"/>
    </row>
    <row r="1310" customFormat="false" ht="12.75" hidden="false" customHeight="false" outlineLevel="0" collapsed="false">
      <c r="B1310" s="624"/>
      <c r="C1310" s="627"/>
      <c r="D1310" s="624"/>
      <c r="E1310" s="206"/>
    </row>
    <row r="1311" customFormat="false" ht="12.75" hidden="false" customHeight="false" outlineLevel="0" collapsed="false">
      <c r="B1311" s="624"/>
      <c r="C1311" s="627"/>
      <c r="D1311" s="624"/>
      <c r="E1311" s="206"/>
    </row>
    <row r="1312" customFormat="false" ht="12.75" hidden="false" customHeight="false" outlineLevel="0" collapsed="false">
      <c r="B1312" s="624"/>
      <c r="C1312" s="627"/>
      <c r="D1312" s="624"/>
      <c r="E1312" s="206"/>
    </row>
    <row r="1313" customFormat="false" ht="12.75" hidden="false" customHeight="false" outlineLevel="0" collapsed="false">
      <c r="B1313" s="624"/>
      <c r="C1313" s="627"/>
      <c r="D1313" s="624"/>
      <c r="E1313" s="206"/>
    </row>
    <row r="1314" customFormat="false" ht="12.75" hidden="false" customHeight="false" outlineLevel="0" collapsed="false">
      <c r="B1314" s="624"/>
      <c r="C1314" s="627"/>
      <c r="D1314" s="624"/>
      <c r="E1314" s="206"/>
    </row>
    <row r="1315" customFormat="false" ht="12.75" hidden="false" customHeight="false" outlineLevel="0" collapsed="false">
      <c r="B1315" s="624"/>
      <c r="C1315" s="627"/>
      <c r="D1315" s="624"/>
      <c r="E1315" s="206"/>
    </row>
    <row r="1316" customFormat="false" ht="12.75" hidden="false" customHeight="false" outlineLevel="0" collapsed="false">
      <c r="B1316" s="624"/>
      <c r="C1316" s="627"/>
      <c r="D1316" s="624"/>
      <c r="E1316" s="206"/>
    </row>
    <row r="1317" customFormat="false" ht="12.75" hidden="false" customHeight="false" outlineLevel="0" collapsed="false">
      <c r="B1317" s="624"/>
      <c r="C1317" s="627"/>
      <c r="D1317" s="624"/>
      <c r="E1317" s="206"/>
    </row>
    <row r="1318" customFormat="false" ht="12.75" hidden="false" customHeight="false" outlineLevel="0" collapsed="false">
      <c r="B1318" s="624"/>
      <c r="C1318" s="627"/>
      <c r="D1318" s="624"/>
      <c r="E1318" s="206"/>
    </row>
    <row r="1319" customFormat="false" ht="12.75" hidden="false" customHeight="false" outlineLevel="0" collapsed="false">
      <c r="B1319" s="624"/>
      <c r="C1319" s="627"/>
      <c r="D1319" s="624"/>
      <c r="E1319" s="206"/>
    </row>
    <row r="1320" customFormat="false" ht="12.75" hidden="false" customHeight="false" outlineLevel="0" collapsed="false">
      <c r="B1320" s="624"/>
      <c r="C1320" s="627"/>
      <c r="D1320" s="624"/>
      <c r="E1320" s="206"/>
    </row>
    <row r="1321" customFormat="false" ht="12.75" hidden="false" customHeight="false" outlineLevel="0" collapsed="false">
      <c r="B1321" s="624"/>
      <c r="C1321" s="627"/>
      <c r="D1321" s="624"/>
      <c r="E1321" s="206"/>
    </row>
    <row r="1322" customFormat="false" ht="12.75" hidden="false" customHeight="false" outlineLevel="0" collapsed="false">
      <c r="B1322" s="624"/>
      <c r="C1322" s="627"/>
      <c r="D1322" s="624"/>
      <c r="E1322" s="206"/>
    </row>
    <row r="1323" customFormat="false" ht="12.75" hidden="false" customHeight="false" outlineLevel="0" collapsed="false">
      <c r="B1323" s="624"/>
      <c r="C1323" s="627"/>
      <c r="D1323" s="624"/>
      <c r="E1323" s="206"/>
    </row>
    <row r="1324" customFormat="false" ht="12.75" hidden="false" customHeight="false" outlineLevel="0" collapsed="false">
      <c r="B1324" s="624"/>
      <c r="C1324" s="627"/>
      <c r="D1324" s="624"/>
      <c r="E1324" s="206"/>
    </row>
    <row r="1325" customFormat="false" ht="12.75" hidden="false" customHeight="false" outlineLevel="0" collapsed="false">
      <c r="B1325" s="624"/>
      <c r="C1325" s="627"/>
      <c r="D1325" s="624"/>
      <c r="E1325" s="206"/>
    </row>
    <row r="1326" customFormat="false" ht="12.75" hidden="false" customHeight="false" outlineLevel="0" collapsed="false">
      <c r="B1326" s="624"/>
      <c r="C1326" s="627"/>
      <c r="D1326" s="624"/>
      <c r="E1326" s="206"/>
    </row>
    <row r="1327" customFormat="false" ht="12.75" hidden="false" customHeight="false" outlineLevel="0" collapsed="false">
      <c r="B1327" s="624"/>
      <c r="C1327" s="627"/>
      <c r="D1327" s="624"/>
      <c r="E1327" s="206"/>
    </row>
    <row r="1328" customFormat="false" ht="12.75" hidden="false" customHeight="false" outlineLevel="0" collapsed="false">
      <c r="B1328" s="624"/>
      <c r="C1328" s="627"/>
      <c r="D1328" s="624"/>
      <c r="E1328" s="206"/>
    </row>
    <row r="1329" customFormat="false" ht="12.75" hidden="false" customHeight="false" outlineLevel="0" collapsed="false">
      <c r="B1329" s="624"/>
      <c r="C1329" s="627"/>
      <c r="D1329" s="624"/>
      <c r="E1329" s="206"/>
    </row>
    <row r="1330" customFormat="false" ht="12.75" hidden="false" customHeight="false" outlineLevel="0" collapsed="false">
      <c r="B1330" s="624"/>
      <c r="C1330" s="627"/>
      <c r="D1330" s="624"/>
      <c r="E1330" s="206"/>
    </row>
    <row r="1331" customFormat="false" ht="12.75" hidden="false" customHeight="false" outlineLevel="0" collapsed="false">
      <c r="B1331" s="624"/>
      <c r="C1331" s="627"/>
      <c r="D1331" s="624"/>
      <c r="E1331" s="206"/>
    </row>
    <row r="1332" customFormat="false" ht="12.75" hidden="false" customHeight="false" outlineLevel="0" collapsed="false">
      <c r="B1332" s="624"/>
      <c r="C1332" s="627"/>
      <c r="D1332" s="624"/>
      <c r="E1332" s="206"/>
    </row>
    <row r="1333" customFormat="false" ht="12.75" hidden="false" customHeight="false" outlineLevel="0" collapsed="false">
      <c r="B1333" s="624"/>
      <c r="C1333" s="627"/>
      <c r="D1333" s="624"/>
      <c r="E1333" s="206"/>
    </row>
    <row r="1334" customFormat="false" ht="12.75" hidden="false" customHeight="false" outlineLevel="0" collapsed="false">
      <c r="B1334" s="624"/>
      <c r="C1334" s="627"/>
      <c r="D1334" s="624"/>
      <c r="E1334" s="206"/>
    </row>
    <row r="1335" customFormat="false" ht="12.75" hidden="false" customHeight="false" outlineLevel="0" collapsed="false">
      <c r="B1335" s="624"/>
      <c r="C1335" s="627"/>
      <c r="D1335" s="624"/>
      <c r="E1335" s="206"/>
    </row>
    <row r="1336" customFormat="false" ht="12.75" hidden="false" customHeight="false" outlineLevel="0" collapsed="false">
      <c r="B1336" s="624"/>
      <c r="C1336" s="627"/>
      <c r="D1336" s="624"/>
      <c r="E1336" s="206"/>
    </row>
    <row r="1337" customFormat="false" ht="12.75" hidden="false" customHeight="false" outlineLevel="0" collapsed="false">
      <c r="B1337" s="624"/>
      <c r="C1337" s="627"/>
      <c r="D1337" s="624"/>
      <c r="E1337" s="20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&amp;L&amp;D&amp;CPage___&amp;R&amp;F
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70"/>
  <sheetViews>
    <sheetView showFormulas="false" showGridLines="true" showRowColHeaders="true" showZeros="true" rightToLeft="false" tabSelected="false" showOutlineSymbols="true" defaultGridColor="true" view="normal" topLeftCell="A15" colorId="64" zoomScale="75" zoomScaleNormal="75" zoomScalePageLayoutView="100" workbookViewId="0">
      <selection pane="topLeft" activeCell="C47" activeCellId="0" sqref="C4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66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7" t="str">
        <f aca="false">Scope!$A$1</f>
        <v>AES Corp, Dallas, TX (640 MW)</v>
      </c>
      <c r="B1" s="117"/>
      <c r="C1" s="117"/>
      <c r="D1" s="667"/>
      <c r="E1" s="667"/>
      <c r="F1" s="667"/>
      <c r="G1" s="667"/>
      <c r="H1" s="66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7"/>
      <c r="B2" s="117"/>
      <c r="C2" s="117"/>
      <c r="D2" s="667"/>
      <c r="E2" s="667"/>
      <c r="F2" s="667"/>
      <c r="G2" s="667"/>
      <c r="H2" s="66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68" t="s">
        <v>12</v>
      </c>
      <c r="B3" s="668"/>
      <c r="C3" s="668"/>
      <c r="D3" s="667"/>
      <c r="E3" s="667"/>
      <c r="F3" s="667"/>
      <c r="G3" s="667"/>
      <c r="H3" s="667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7"/>
      <c r="B4" s="207"/>
      <c r="C4" s="7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7"/>
      <c r="B5" s="669" t="s">
        <v>1278</v>
      </c>
      <c r="C5" s="670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7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71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72" t="s">
        <v>1279</v>
      </c>
      <c r="B8" s="673"/>
      <c r="C8" s="674" t="s">
        <v>1140</v>
      </c>
      <c r="D8" s="675" t="s">
        <v>1141</v>
      </c>
      <c r="E8" s="674" t="s">
        <v>1280</v>
      </c>
      <c r="F8" s="502"/>
      <c r="G8" s="676"/>
      <c r="H8" s="67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77"/>
      <c r="B9" s="157"/>
      <c r="C9" s="678"/>
      <c r="D9" s="679"/>
      <c r="E9" s="680"/>
      <c r="F9" s="681"/>
      <c r="G9" s="681"/>
      <c r="H9" s="68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394"/>
      <c r="B10" s="157"/>
      <c r="C10" s="680"/>
      <c r="D10" s="682"/>
      <c r="E10" s="680"/>
      <c r="F10" s="681"/>
      <c r="G10" s="681"/>
      <c r="H10" s="68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682" t="str">
        <f aca="false">UPPER('GTDB(7EA)'!A17)</f>
        <v>COMBUSTION LINERS</v>
      </c>
      <c r="B11" s="157"/>
      <c r="C11" s="683" t="n">
        <f aca="false">'GTDB(7EA)'!E17*1000*E11</f>
        <v>0</v>
      </c>
      <c r="D11" s="684" t="n">
        <v>0</v>
      </c>
      <c r="E11" s="685"/>
      <c r="F11" s="686"/>
      <c r="G11" s="687"/>
      <c r="H11" s="68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682" t="str">
        <f aca="false">UPPER('GTDB(7EA)'!A18)</f>
        <v>TRANSITION PIECES</v>
      </c>
      <c r="B12" s="157"/>
      <c r="C12" s="683" t="n">
        <f aca="false">'GTDB(7EA)'!E18*1000*E12</f>
        <v>0</v>
      </c>
      <c r="D12" s="684" t="n">
        <v>0</v>
      </c>
      <c r="E12" s="685"/>
      <c r="F12" s="686"/>
      <c r="G12" s="687"/>
      <c r="H12" s="68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682" t="str">
        <f aca="false">UPPER('GTDB(7EA)'!A19)</f>
        <v>FUEL NOZZLES</v>
      </c>
      <c r="B13" s="157"/>
      <c r="C13" s="683" t="n">
        <f aca="false">'GTDB(7EA)'!E19*1000*E13</f>
        <v>0</v>
      </c>
      <c r="D13" s="684" t="n">
        <v>0</v>
      </c>
      <c r="E13" s="685"/>
      <c r="F13" s="686"/>
      <c r="G13" s="687"/>
      <c r="H13" s="68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682" t="str">
        <f aca="false">UPPER('GTDB(7EA)'!A20)</f>
        <v>STAGE 1 NOZZLES</v>
      </c>
      <c r="B14" s="157"/>
      <c r="C14" s="683" t="n">
        <f aca="false">'GTDB(7EA)'!E20*1000*E14</f>
        <v>0</v>
      </c>
      <c r="D14" s="684" t="n">
        <v>0</v>
      </c>
      <c r="E14" s="685"/>
      <c r="F14" s="686"/>
      <c r="G14" s="687"/>
      <c r="H14" s="68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682" t="str">
        <f aca="false">UPPER('GTDB(7EA)'!A21)</f>
        <v>STAGE 2 NOZZLES</v>
      </c>
      <c r="B15" s="157"/>
      <c r="C15" s="683" t="n">
        <f aca="false">'GTDB(7EA)'!E21*1000*E15</f>
        <v>0</v>
      </c>
      <c r="D15" s="684" t="n">
        <v>0</v>
      </c>
      <c r="E15" s="685"/>
      <c r="F15" s="686"/>
      <c r="G15" s="687"/>
      <c r="H15" s="68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682" t="str">
        <f aca="false">UPPER('GTDB(7EA)'!A22)</f>
        <v>STAGE 3 NOZZLES</v>
      </c>
      <c r="B16" s="157"/>
      <c r="C16" s="683" t="n">
        <f aca="false">'GTDB(7EA)'!E22*1000*E16</f>
        <v>0</v>
      </c>
      <c r="D16" s="684" t="n">
        <v>0</v>
      </c>
      <c r="E16" s="685"/>
      <c r="F16" s="686"/>
      <c r="G16" s="687"/>
      <c r="H16" s="68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682" t="str">
        <f aca="false">UPPER('GTDB(7EA)'!A23)</f>
        <v>STAGE 1 BUCKETS</v>
      </c>
      <c r="B17" s="157"/>
      <c r="C17" s="683" t="n">
        <f aca="false">'GTDB(7EA)'!E23*1000*E17</f>
        <v>0</v>
      </c>
      <c r="D17" s="684" t="n">
        <v>0</v>
      </c>
      <c r="E17" s="685"/>
      <c r="F17" s="686"/>
      <c r="G17" s="687"/>
      <c r="H17" s="68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682" t="str">
        <f aca="false">UPPER('GTDB(7EA)'!A24)</f>
        <v>STAGE 2 BUCKETS</v>
      </c>
      <c r="B18" s="157"/>
      <c r="C18" s="683" t="n">
        <f aca="false">'GTDB(7EA)'!E24*1000*E18</f>
        <v>0</v>
      </c>
      <c r="D18" s="684" t="n">
        <v>0</v>
      </c>
      <c r="E18" s="685"/>
      <c r="F18" s="686"/>
      <c r="G18" s="687"/>
      <c r="H18" s="68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682" t="str">
        <f aca="false">UPPER('GTDB(7EA)'!A25)</f>
        <v>STAGE 3 BUCKETS</v>
      </c>
      <c r="B19" s="157"/>
      <c r="C19" s="683" t="n">
        <f aca="false">'GTDB(7EA)'!E25*1000*E19</f>
        <v>0</v>
      </c>
      <c r="D19" s="684" t="n">
        <v>0</v>
      </c>
      <c r="E19" s="685"/>
      <c r="F19" s="686"/>
      <c r="G19" s="687"/>
      <c r="H19" s="68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682" t="str">
        <f aca="false">UPPER('GTDB(7EA)'!A26)</f>
        <v>ROW 1 SUPPORT RING</v>
      </c>
      <c r="B20" s="157"/>
      <c r="C20" s="683" t="n">
        <f aca="false">'GTDB(7EA)'!E26*1000*E20</f>
        <v>0</v>
      </c>
      <c r="D20" s="684"/>
      <c r="E20" s="685"/>
      <c r="F20" s="686"/>
      <c r="G20" s="687"/>
      <c r="H20" s="68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682" t="str">
        <f aca="false">UPPER('GTDB(7EA)'!A27)</f>
        <v>1ST STAGE SHROUD BLOCKS </v>
      </c>
      <c r="B21" s="157"/>
      <c r="C21" s="683" t="n">
        <f aca="false">'GTDB(7EA)'!E27*1000*E21</f>
        <v>0</v>
      </c>
      <c r="D21" s="684" t="n">
        <v>0</v>
      </c>
      <c r="E21" s="685"/>
      <c r="F21" s="686"/>
      <c r="G21" s="687"/>
      <c r="H21" s="68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682" t="str">
        <f aca="false">UPPER('GTDB(7EA)'!A28)</f>
        <v>2ND STAGE SHROUD BLOCKS</v>
      </c>
      <c r="B22" s="157"/>
      <c r="C22" s="683" t="n">
        <f aca="false">'GTDB(7EA)'!E28*1000*E22</f>
        <v>0</v>
      </c>
      <c r="D22" s="684" t="n">
        <v>0</v>
      </c>
      <c r="E22" s="685"/>
      <c r="F22" s="686"/>
      <c r="G22" s="687"/>
      <c r="H22" s="68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682" t="str">
        <f aca="false">UPPER('GTDB(7EA)'!A29)</f>
        <v>3RD STAGE SHROUD BLOCKS</v>
      </c>
      <c r="B23" s="157"/>
      <c r="C23" s="683" t="n">
        <f aca="false">'GTDB(7EA)'!E29*1000*E23</f>
        <v>0</v>
      </c>
      <c r="D23" s="684" t="n">
        <v>0</v>
      </c>
      <c r="E23" s="685"/>
      <c r="F23" s="686"/>
      <c r="G23" s="687"/>
      <c r="H23" s="68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394" t="s">
        <v>1281</v>
      </c>
      <c r="B24" s="157"/>
      <c r="C24" s="683" t="n">
        <v>0</v>
      </c>
      <c r="D24" s="684" t="n">
        <v>0</v>
      </c>
      <c r="E24" s="687"/>
      <c r="F24" s="686"/>
      <c r="G24" s="687"/>
      <c r="H24" s="68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394" t="s">
        <v>1282</v>
      </c>
      <c r="B25" s="157"/>
      <c r="C25" s="683" t="n">
        <v>0</v>
      </c>
      <c r="D25" s="684" t="n">
        <v>0</v>
      </c>
      <c r="E25" s="687"/>
      <c r="F25" s="686"/>
      <c r="G25" s="687"/>
      <c r="H25" s="68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3.5" hidden="false" customHeight="false" outlineLevel="0" collapsed="false">
      <c r="A26" s="394" t="s">
        <v>1283</v>
      </c>
      <c r="B26" s="157"/>
      <c r="C26" s="683" t="n">
        <v>0</v>
      </c>
      <c r="D26" s="684" t="n">
        <v>0</v>
      </c>
      <c r="E26" s="687"/>
      <c r="F26" s="686"/>
      <c r="G26" s="687"/>
      <c r="H26" s="68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394" t="s">
        <v>1284</v>
      </c>
      <c r="B27" s="157"/>
      <c r="C27" s="683" t="n">
        <f aca="false">1000*'GTDB(7EA)'!D12*E27</f>
        <v>0</v>
      </c>
      <c r="D27" s="684" t="n">
        <v>0</v>
      </c>
      <c r="E27" s="688"/>
      <c r="F27" s="686"/>
      <c r="G27" s="687"/>
      <c r="H27" s="68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394" t="s">
        <v>1285</v>
      </c>
      <c r="B28" s="157"/>
      <c r="C28" s="683" t="n">
        <f aca="false">1000*'GTDB(7EA)'!D13*E28</f>
        <v>0</v>
      </c>
      <c r="D28" s="684" t="n">
        <v>0</v>
      </c>
      <c r="E28" s="685"/>
      <c r="F28" s="686"/>
      <c r="G28" s="687"/>
      <c r="H28" s="68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3.5" hidden="false" customHeight="false" outlineLevel="0" collapsed="false">
      <c r="A29" s="394" t="s">
        <v>1286</v>
      </c>
      <c r="B29" s="157"/>
      <c r="C29" s="683" t="n">
        <f aca="false">1000*'GTDB(7EA)'!D14*E29</f>
        <v>0</v>
      </c>
      <c r="D29" s="684" t="n">
        <v>0</v>
      </c>
      <c r="E29" s="689"/>
      <c r="F29" s="686"/>
      <c r="G29" s="687"/>
      <c r="H29" s="68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94" t="s">
        <v>1287</v>
      </c>
      <c r="B30" s="157"/>
      <c r="C30" s="683" t="n">
        <v>0</v>
      </c>
      <c r="D30" s="684" t="n">
        <v>0</v>
      </c>
      <c r="E30" s="687"/>
      <c r="F30" s="686"/>
      <c r="G30" s="687"/>
      <c r="H30" s="68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94" t="s">
        <v>1288</v>
      </c>
      <c r="B31" s="157"/>
      <c r="C31" s="683" t="n">
        <v>0</v>
      </c>
      <c r="D31" s="684" t="n">
        <v>0</v>
      </c>
      <c r="E31" s="687"/>
      <c r="F31" s="157"/>
      <c r="G31" s="687"/>
      <c r="H31" s="68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2.75" hidden="false" customHeight="false" outlineLevel="0" collapsed="false">
      <c r="A32" s="394" t="s">
        <v>1289</v>
      </c>
      <c r="B32" s="157"/>
      <c r="C32" s="690" t="n">
        <f aca="false">SUM(C10:C31)</f>
        <v>0</v>
      </c>
      <c r="D32" s="691" t="n">
        <f aca="false">SUM(D10:D31)</f>
        <v>0</v>
      </c>
      <c r="E32" s="681"/>
      <c r="F32" s="157"/>
      <c r="G32" s="681"/>
      <c r="H32" s="68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394"/>
      <c r="B33" s="157"/>
      <c r="C33" s="680"/>
      <c r="D33" s="682"/>
      <c r="E33" s="681"/>
      <c r="F33" s="157"/>
      <c r="G33" s="681"/>
      <c r="H33" s="68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394"/>
      <c r="B34" s="157"/>
      <c r="C34" s="680"/>
      <c r="D34" s="682"/>
      <c r="E34" s="681"/>
      <c r="F34" s="502"/>
      <c r="G34" s="681"/>
      <c r="H34" s="68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77" t="s">
        <v>1290</v>
      </c>
      <c r="B35" s="157"/>
      <c r="C35" s="680"/>
      <c r="D35" s="682"/>
      <c r="E35" s="681"/>
      <c r="F35" s="681"/>
      <c r="G35" s="681"/>
      <c r="H35" s="68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77"/>
      <c r="B36" s="157"/>
      <c r="C36" s="680"/>
      <c r="D36" s="682"/>
      <c r="E36" s="681"/>
      <c r="F36" s="502"/>
      <c r="G36" s="157"/>
      <c r="H36" s="68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394" t="s">
        <v>1291</v>
      </c>
      <c r="B37" s="157"/>
      <c r="C37" s="692" t="n">
        <v>0</v>
      </c>
      <c r="D37" s="693" t="n">
        <v>0</v>
      </c>
      <c r="E37" s="694"/>
      <c r="F37" s="694"/>
      <c r="G37" s="694"/>
      <c r="H37" s="69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394"/>
      <c r="B38" s="157"/>
      <c r="C38" s="680"/>
      <c r="D38" s="682"/>
      <c r="E38" s="681"/>
      <c r="F38" s="502"/>
      <c r="G38" s="681"/>
      <c r="H38" s="68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394"/>
      <c r="B39" s="157" t="s">
        <v>1292</v>
      </c>
      <c r="C39" s="690" t="n">
        <f aca="false">(C37+C32)</f>
        <v>0</v>
      </c>
      <c r="D39" s="691" t="n">
        <f aca="false">(D37+D32)</f>
        <v>0</v>
      </c>
      <c r="E39" s="681"/>
      <c r="F39" s="502"/>
      <c r="G39" s="681"/>
      <c r="H39" s="68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394"/>
      <c r="B40" s="157"/>
      <c r="C40" s="680"/>
      <c r="D40" s="682"/>
      <c r="E40" s="681"/>
      <c r="F40" s="681"/>
      <c r="G40" s="681"/>
      <c r="H40" s="68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77" t="s">
        <v>1293</v>
      </c>
      <c r="B41" s="157"/>
      <c r="C41" s="695" t="n">
        <v>0</v>
      </c>
      <c r="D41" s="682" t="n">
        <v>0</v>
      </c>
      <c r="E41" s="681"/>
      <c r="F41" s="502"/>
      <c r="G41" s="681"/>
      <c r="H41" s="68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394"/>
      <c r="B42" s="157"/>
      <c r="C42" s="680"/>
      <c r="D42" s="682"/>
      <c r="E42" s="681"/>
      <c r="F42" s="502"/>
      <c r="G42" s="681"/>
      <c r="H42" s="68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2.75" hidden="false" customHeight="false" outlineLevel="0" collapsed="false">
      <c r="A43" s="677" t="s">
        <v>1294</v>
      </c>
      <c r="B43" s="157"/>
      <c r="C43" s="690" t="n">
        <f aca="false">C41+C39</f>
        <v>0</v>
      </c>
      <c r="D43" s="691" t="n">
        <f aca="false">D41+D39</f>
        <v>0</v>
      </c>
      <c r="E43" s="681"/>
      <c r="F43" s="502"/>
      <c r="G43" s="681"/>
      <c r="H43" s="68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2.75" hidden="false" customHeight="false" outlineLevel="0" collapsed="false">
      <c r="A44" s="677"/>
      <c r="B44" s="157"/>
      <c r="C44" s="680"/>
      <c r="D44" s="682"/>
      <c r="E44" s="681"/>
      <c r="F44" s="157"/>
      <c r="G44" s="681"/>
      <c r="H44" s="68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677" t="s">
        <v>1295</v>
      </c>
      <c r="B45" s="157"/>
      <c r="C45" s="680" t="n">
        <f aca="false">C43*0.0025</f>
        <v>0</v>
      </c>
      <c r="D45" s="682" t="n">
        <f aca="false">D43*0.0025</f>
        <v>0</v>
      </c>
      <c r="E45" s="681"/>
      <c r="F45" s="502"/>
      <c r="G45" s="681"/>
      <c r="H45" s="68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677"/>
      <c r="B46" s="157"/>
      <c r="C46" s="680"/>
      <c r="D46" s="682"/>
      <c r="E46" s="681"/>
      <c r="F46" s="157"/>
      <c r="G46" s="157"/>
      <c r="H46" s="15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2.75" hidden="false" customHeight="false" outlineLevel="0" collapsed="false">
      <c r="A47" s="677" t="s">
        <v>1296</v>
      </c>
      <c r="B47" s="157"/>
      <c r="C47" s="680" t="n">
        <f aca="false">0.01*C43</f>
        <v>0</v>
      </c>
      <c r="D47" s="682" t="n">
        <f aca="false">0.01*D43</f>
        <v>0</v>
      </c>
      <c r="E47" s="68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394"/>
      <c r="B48" s="157"/>
      <c r="C48" s="696"/>
      <c r="D48" s="697"/>
      <c r="E48" s="68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3.5" hidden="false" customHeight="false" outlineLevel="0" collapsed="false">
      <c r="A49" s="698" t="s">
        <v>236</v>
      </c>
      <c r="B49" s="699"/>
      <c r="C49" s="696" t="n">
        <f aca="false">SUM(C43:C47)</f>
        <v>0</v>
      </c>
      <c r="D49" s="697" t="n">
        <f aca="false">SUM(D43:D47)</f>
        <v>0</v>
      </c>
      <c r="E49" s="68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77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7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7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7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71"/>
      <c r="D54" s="71"/>
      <c r="E54" s="71"/>
      <c r="F54" s="71"/>
      <c r="G54" s="7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7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7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7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7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7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7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7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7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7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7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7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7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7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7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7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7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7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7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7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7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7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7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7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7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7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7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7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7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7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7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7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7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7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7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7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7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7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7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7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7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7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7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7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7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7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7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7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7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7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7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7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7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7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7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7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7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7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7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7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7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7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7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7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7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7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7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7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7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7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7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7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7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7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7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7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7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7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7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7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7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7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7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7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7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7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7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7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7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7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7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7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7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7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7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7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7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7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7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7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7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7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7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7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7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7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7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7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7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7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7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7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7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7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7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7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7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7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7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7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7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7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7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7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7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7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7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7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7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7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7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7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7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7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7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7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7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7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7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7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7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7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7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7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7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7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7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7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7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7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7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7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7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7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7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7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7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7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7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7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7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7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7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7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7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7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7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7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7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7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7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7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7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7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7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7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7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7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7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7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7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7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7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7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7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7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7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7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7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7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7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7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7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7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7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7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7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7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7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7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7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7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7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7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7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7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7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7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7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7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7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7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7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7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7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7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7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7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7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7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7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7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7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7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7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7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7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7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7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7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7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7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7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7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7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7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7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7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7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7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7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7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7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7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7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7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7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7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7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7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7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7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7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7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7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7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7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7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7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7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7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7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7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7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7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7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7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7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7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7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7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7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7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7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7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7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7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7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7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7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7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7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7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7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7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7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7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7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7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7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7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7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7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7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7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7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7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7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7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7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7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7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7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7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7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7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7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7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7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7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7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7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7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7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7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7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  <row r="370" customFormat="false" ht="12.75" hidden="false" customHeight="false" outlineLevel="0" collapsed="false">
      <c r="A370" s="2"/>
      <c r="B370" s="2"/>
      <c r="C370" s="7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70"/>
  <sheetViews>
    <sheetView showFormulas="false" showGridLines="true" showRowColHeaders="true" showZeros="true" rightToLeft="false" tabSelected="false" showOutlineSymbols="true" defaultGridColor="true" view="normal" topLeftCell="A4" colorId="64" zoomScale="75" zoomScaleNormal="75" zoomScalePageLayoutView="100" workbookViewId="0">
      <selection pane="topLeft" activeCell="C42" activeCellId="0" sqref="C4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66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7" t="str">
        <f aca="false">Scope!$A$1</f>
        <v>AES Corp, Dallas, TX (640 MW)</v>
      </c>
      <c r="B1" s="117"/>
      <c r="C1" s="117"/>
      <c r="D1" s="667"/>
      <c r="E1" s="667"/>
      <c r="F1" s="667"/>
      <c r="G1" s="667"/>
      <c r="H1" s="66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7"/>
      <c r="B2" s="117"/>
      <c r="C2" s="117"/>
      <c r="D2" s="667"/>
      <c r="E2" s="667"/>
      <c r="F2" s="667"/>
      <c r="G2" s="667"/>
      <c r="H2" s="66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68" t="s">
        <v>12</v>
      </c>
      <c r="B3" s="668"/>
      <c r="C3" s="668"/>
      <c r="D3" s="667"/>
      <c r="E3" s="667"/>
      <c r="F3" s="667"/>
      <c r="G3" s="667"/>
      <c r="H3" s="667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7"/>
      <c r="B4" s="207"/>
      <c r="C4" s="7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7"/>
      <c r="B5" s="669" t="s">
        <v>1278</v>
      </c>
      <c r="C5" s="670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7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71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72" t="s">
        <v>1279</v>
      </c>
      <c r="B8" s="673"/>
      <c r="C8" s="674" t="s">
        <v>1141</v>
      </c>
      <c r="D8" s="675" t="s">
        <v>1141</v>
      </c>
      <c r="E8" s="674" t="s">
        <v>1280</v>
      </c>
      <c r="F8" s="502"/>
      <c r="G8" s="676"/>
      <c r="H8" s="67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77"/>
      <c r="B9" s="157"/>
      <c r="C9" s="678"/>
      <c r="D9" s="679"/>
      <c r="E9" s="680"/>
      <c r="F9" s="681"/>
      <c r="G9" s="681"/>
      <c r="H9" s="68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394"/>
      <c r="B10" s="157"/>
      <c r="C10" s="680"/>
      <c r="D10" s="682"/>
      <c r="E10" s="680"/>
      <c r="F10" s="681"/>
      <c r="G10" s="681"/>
      <c r="H10" s="68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682" t="str">
        <f aca="false">UPPER('GTDB(7FA)'!A17)</f>
        <v>COMBUSTION LINERS</v>
      </c>
      <c r="B11" s="157"/>
      <c r="C11" s="683" t="n">
        <f aca="false">'GTDB(7FA)'!E17*1000*E11</f>
        <v>573256</v>
      </c>
      <c r="D11" s="684" t="n">
        <v>0</v>
      </c>
      <c r="E11" s="685" t="n">
        <v>1</v>
      </c>
      <c r="F11" s="686"/>
      <c r="G11" s="687"/>
      <c r="H11" s="68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682" t="str">
        <f aca="false">UPPER('GTDB(7FA)'!A18)</f>
        <v>TRANSITION PIECES</v>
      </c>
      <c r="B12" s="157"/>
      <c r="C12" s="683" t="n">
        <f aca="false">'GTDB(7FA)'!E18*1000*E12</f>
        <v>1246131</v>
      </c>
      <c r="D12" s="684" t="n">
        <v>0</v>
      </c>
      <c r="E12" s="685" t="n">
        <v>1</v>
      </c>
      <c r="F12" s="686"/>
      <c r="G12" s="687"/>
      <c r="H12" s="68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682" t="str">
        <f aca="false">UPPER('GTDB(7FA)'!A19)</f>
        <v>FUEL NOZZLES</v>
      </c>
      <c r="B13" s="157"/>
      <c r="C13" s="683" t="n">
        <f aca="false">'GTDB(7FA)'!E19*1000*E13</f>
        <v>1297423</v>
      </c>
      <c r="D13" s="684" t="n">
        <v>0</v>
      </c>
      <c r="E13" s="685" t="n">
        <v>1</v>
      </c>
      <c r="F13" s="686"/>
      <c r="G13" s="687"/>
      <c r="H13" s="68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682" t="str">
        <f aca="false">UPPER('GTDB(7FA)'!A20)</f>
        <v>STAGE 1 NOZZLES</v>
      </c>
      <c r="B14" s="157"/>
      <c r="C14" s="683" t="n">
        <f aca="false">'GTDB(7FA)'!E20*1000*E14</f>
        <v>1604924</v>
      </c>
      <c r="D14" s="684" t="n">
        <v>0</v>
      </c>
      <c r="E14" s="685" t="n">
        <v>1</v>
      </c>
      <c r="F14" s="686"/>
      <c r="G14" s="687"/>
      <c r="H14" s="68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682" t="str">
        <f aca="false">UPPER('GTDB(7FA)'!A21)</f>
        <v>STAGE 2 NOZZLES</v>
      </c>
      <c r="B15" s="157"/>
      <c r="C15" s="683" t="n">
        <f aca="false">'GTDB(7FA)'!E21*1000*E15</f>
        <v>0</v>
      </c>
      <c r="D15" s="684" t="n">
        <v>0</v>
      </c>
      <c r="E15" s="685"/>
      <c r="F15" s="686"/>
      <c r="G15" s="687"/>
      <c r="H15" s="68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682" t="str">
        <f aca="false">UPPER('GTDB(7FA)'!A22)</f>
        <v>STAGE 3 NOZZLES</v>
      </c>
      <c r="B16" s="157"/>
      <c r="C16" s="683" t="n">
        <f aca="false">'GTDB(7FA)'!E22*1000*E16</f>
        <v>0</v>
      </c>
      <c r="D16" s="684" t="n">
        <v>0</v>
      </c>
      <c r="E16" s="685"/>
      <c r="F16" s="686"/>
      <c r="G16" s="687"/>
      <c r="H16" s="68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682" t="str">
        <f aca="false">UPPER('GTDB(7FA)'!A23)</f>
        <v>STAGE 1 BUCKETS</v>
      </c>
      <c r="B17" s="157"/>
      <c r="C17" s="683" t="n">
        <f aca="false">'GTDB(7FA)'!E23*1000*E17</f>
        <v>3214992</v>
      </c>
      <c r="D17" s="684" t="n">
        <v>0</v>
      </c>
      <c r="E17" s="685" t="n">
        <v>1</v>
      </c>
      <c r="F17" s="686"/>
      <c r="G17" s="687"/>
      <c r="H17" s="68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682" t="str">
        <f aca="false">UPPER('GTDB(7FA)'!A24)</f>
        <v>STAGE 2 BUCKETS</v>
      </c>
      <c r="B18" s="157"/>
      <c r="C18" s="683" t="n">
        <f aca="false">'GTDB(7FA)'!E24*1000*E18</f>
        <v>0</v>
      </c>
      <c r="D18" s="684" t="n">
        <v>0</v>
      </c>
      <c r="E18" s="685"/>
      <c r="F18" s="686"/>
      <c r="G18" s="687"/>
      <c r="H18" s="68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682" t="str">
        <f aca="false">UPPER('GTDB(7FA)'!A25)</f>
        <v>STAGE 3 BUCKETS</v>
      </c>
      <c r="B19" s="157"/>
      <c r="C19" s="683" t="n">
        <f aca="false">'GTDB(7FA)'!E25*1000*E19</f>
        <v>0</v>
      </c>
      <c r="D19" s="684" t="n">
        <v>0</v>
      </c>
      <c r="E19" s="685"/>
      <c r="F19" s="686"/>
      <c r="G19" s="687"/>
      <c r="H19" s="68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682" t="str">
        <f aca="false">UPPER('GTDB(7FA)'!A26)</f>
        <v>ROW 1 SUPPORT RING</v>
      </c>
      <c r="B20" s="157"/>
      <c r="C20" s="683" t="n">
        <f aca="false">'GTDB(7FA)'!E26*1000*E20</f>
        <v>0</v>
      </c>
      <c r="D20" s="684"/>
      <c r="E20" s="685"/>
      <c r="F20" s="686"/>
      <c r="G20" s="687"/>
      <c r="H20" s="68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682" t="str">
        <f aca="false">UPPER('GTDB(7FA)'!A27)</f>
        <v>1ST STAGE SHROUD BLOCKS </v>
      </c>
      <c r="B21" s="157"/>
      <c r="C21" s="683" t="n">
        <f aca="false">'GTDB(7FA)'!E27*1000*E21</f>
        <v>721443</v>
      </c>
      <c r="D21" s="684" t="n">
        <v>0</v>
      </c>
      <c r="E21" s="685" t="n">
        <v>1</v>
      </c>
      <c r="F21" s="686"/>
      <c r="G21" s="687"/>
      <c r="H21" s="68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682" t="str">
        <f aca="false">UPPER('GTDB(7FA)'!A28)</f>
        <v>2ND STAGE SHROUD BLOCKS</v>
      </c>
      <c r="B22" s="157"/>
      <c r="C22" s="683" t="n">
        <f aca="false">'GTDB(7FA)'!E28*1000*E22</f>
        <v>0</v>
      </c>
      <c r="D22" s="684" t="n">
        <v>0</v>
      </c>
      <c r="E22" s="685"/>
      <c r="F22" s="686"/>
      <c r="G22" s="687"/>
      <c r="H22" s="68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682" t="str">
        <f aca="false">UPPER('GTDB(7FA)'!A29)</f>
        <v>3RD STAGE SHROUD BLOCKS</v>
      </c>
      <c r="B23" s="157"/>
      <c r="C23" s="683" t="n">
        <f aca="false">'GTDB(7FA)'!E29*1000*E23</f>
        <v>0</v>
      </c>
      <c r="D23" s="684" t="n">
        <v>0</v>
      </c>
      <c r="E23" s="685"/>
      <c r="F23" s="686"/>
      <c r="G23" s="687"/>
      <c r="H23" s="68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394" t="s">
        <v>1281</v>
      </c>
      <c r="B24" s="157"/>
      <c r="C24" s="683" t="n">
        <v>0</v>
      </c>
      <c r="D24" s="684" t="n">
        <v>0</v>
      </c>
      <c r="E24" s="687"/>
      <c r="F24" s="686"/>
      <c r="G24" s="687"/>
      <c r="H24" s="68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394" t="s">
        <v>1282</v>
      </c>
      <c r="B25" s="157"/>
      <c r="C25" s="683" t="n">
        <v>0</v>
      </c>
      <c r="D25" s="684" t="n">
        <v>0</v>
      </c>
      <c r="E25" s="687"/>
      <c r="F25" s="686"/>
      <c r="G25" s="687"/>
      <c r="H25" s="68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3.5" hidden="false" customHeight="false" outlineLevel="0" collapsed="false">
      <c r="A26" s="394" t="s">
        <v>1283</v>
      </c>
      <c r="B26" s="157"/>
      <c r="C26" s="683" t="n">
        <v>0</v>
      </c>
      <c r="D26" s="684" t="n">
        <v>0</v>
      </c>
      <c r="E26" s="687"/>
      <c r="F26" s="686"/>
      <c r="G26" s="687"/>
      <c r="H26" s="68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394" t="s">
        <v>1284</v>
      </c>
      <c r="B27" s="157"/>
      <c r="C27" s="683" t="n">
        <f aca="false">1000*'GTDB(7FA)'!D12*E27</f>
        <v>108508</v>
      </c>
      <c r="D27" s="684" t="n">
        <v>0</v>
      </c>
      <c r="E27" s="688" t="n">
        <v>2</v>
      </c>
      <c r="F27" s="686"/>
      <c r="G27" s="687"/>
      <c r="H27" s="68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394" t="s">
        <v>1285</v>
      </c>
      <c r="B28" s="157"/>
      <c r="C28" s="683" t="n">
        <f aca="false">1000*'GTDB(7FA)'!D13*E28</f>
        <v>62032</v>
      </c>
      <c r="D28" s="684" t="n">
        <v>0</v>
      </c>
      <c r="E28" s="685" t="n">
        <v>1</v>
      </c>
      <c r="F28" s="686"/>
      <c r="G28" s="687"/>
      <c r="H28" s="68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3.5" hidden="false" customHeight="false" outlineLevel="0" collapsed="false">
      <c r="A29" s="394" t="s">
        <v>1286</v>
      </c>
      <c r="B29" s="157"/>
      <c r="C29" s="683" t="n">
        <f aca="false">1000*'GTDB(7FA)'!D14*E29</f>
        <v>209215</v>
      </c>
      <c r="D29" s="684" t="n">
        <v>0</v>
      </c>
      <c r="E29" s="689" t="n">
        <v>1</v>
      </c>
      <c r="F29" s="686"/>
      <c r="G29" s="687"/>
      <c r="H29" s="68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94" t="s">
        <v>1287</v>
      </c>
      <c r="B30" s="157"/>
      <c r="C30" s="683" t="n">
        <v>0</v>
      </c>
      <c r="D30" s="684" t="n">
        <v>0</v>
      </c>
      <c r="E30" s="687"/>
      <c r="F30" s="686"/>
      <c r="G30" s="687"/>
      <c r="H30" s="68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94" t="s">
        <v>1288</v>
      </c>
      <c r="B31" s="157"/>
      <c r="C31" s="683" t="n">
        <v>0</v>
      </c>
      <c r="D31" s="684" t="n">
        <v>0</v>
      </c>
      <c r="E31" s="687"/>
      <c r="F31" s="157"/>
      <c r="G31" s="687"/>
      <c r="H31" s="68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2.75" hidden="false" customHeight="false" outlineLevel="0" collapsed="false">
      <c r="A32" s="394" t="s">
        <v>1289</v>
      </c>
      <c r="B32" s="157"/>
      <c r="C32" s="690" t="n">
        <f aca="false">SUM(C10:C31)</f>
        <v>9037924</v>
      </c>
      <c r="D32" s="691" t="n">
        <f aca="false">SUM(D10:D31)</f>
        <v>0</v>
      </c>
      <c r="E32" s="681"/>
      <c r="F32" s="157"/>
      <c r="G32" s="681"/>
      <c r="H32" s="68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394"/>
      <c r="B33" s="157"/>
      <c r="C33" s="680"/>
      <c r="D33" s="682"/>
      <c r="E33" s="681"/>
      <c r="F33" s="157"/>
      <c r="G33" s="681"/>
      <c r="H33" s="68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394"/>
      <c r="B34" s="157"/>
      <c r="C34" s="680"/>
      <c r="D34" s="682"/>
      <c r="E34" s="681"/>
      <c r="F34" s="502"/>
      <c r="G34" s="681"/>
      <c r="H34" s="68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77" t="s">
        <v>1290</v>
      </c>
      <c r="B35" s="157"/>
      <c r="C35" s="680"/>
      <c r="D35" s="682"/>
      <c r="E35" s="681"/>
      <c r="F35" s="681"/>
      <c r="G35" s="681"/>
      <c r="H35" s="68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77"/>
      <c r="B36" s="157"/>
      <c r="C36" s="680"/>
      <c r="D36" s="682"/>
      <c r="E36" s="681"/>
      <c r="F36" s="502"/>
      <c r="G36" s="157"/>
      <c r="H36" s="68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394" t="s">
        <v>1291</v>
      </c>
      <c r="B37" s="157"/>
      <c r="C37" s="692" t="n">
        <v>0</v>
      </c>
      <c r="D37" s="693" t="n">
        <v>0</v>
      </c>
      <c r="E37" s="694"/>
      <c r="F37" s="694"/>
      <c r="G37" s="694"/>
      <c r="H37" s="69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394"/>
      <c r="B38" s="157"/>
      <c r="C38" s="680"/>
      <c r="D38" s="682"/>
      <c r="E38" s="681"/>
      <c r="F38" s="502"/>
      <c r="G38" s="681"/>
      <c r="H38" s="68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394"/>
      <c r="B39" s="157" t="s">
        <v>1292</v>
      </c>
      <c r="C39" s="690" t="n">
        <f aca="false">(C37+C32)</f>
        <v>9037924</v>
      </c>
      <c r="D39" s="691" t="n">
        <f aca="false">(D37+D32)</f>
        <v>0</v>
      </c>
      <c r="E39" s="681"/>
      <c r="F39" s="502"/>
      <c r="G39" s="681"/>
      <c r="H39" s="68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394"/>
      <c r="B40" s="157"/>
      <c r="C40" s="680"/>
      <c r="D40" s="682"/>
      <c r="E40" s="681"/>
      <c r="F40" s="681"/>
      <c r="G40" s="681"/>
      <c r="H40" s="68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77" t="s">
        <v>1293</v>
      </c>
      <c r="B41" s="157"/>
      <c r="C41" s="695" t="n">
        <v>500000</v>
      </c>
      <c r="D41" s="682" t="n">
        <v>0</v>
      </c>
      <c r="E41" s="681"/>
      <c r="F41" s="502"/>
      <c r="G41" s="681"/>
      <c r="H41" s="68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394"/>
      <c r="B42" s="157"/>
      <c r="C42" s="680"/>
      <c r="D42" s="682"/>
      <c r="E42" s="681"/>
      <c r="F42" s="502"/>
      <c r="G42" s="681"/>
      <c r="H42" s="68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2.75" hidden="false" customHeight="false" outlineLevel="0" collapsed="false">
      <c r="A43" s="677" t="s">
        <v>1294</v>
      </c>
      <c r="B43" s="157"/>
      <c r="C43" s="690" t="n">
        <f aca="false">C41+C39</f>
        <v>9537924</v>
      </c>
      <c r="D43" s="691" t="n">
        <f aca="false">D41+D39</f>
        <v>0</v>
      </c>
      <c r="E43" s="681"/>
      <c r="F43" s="502"/>
      <c r="G43" s="681"/>
      <c r="H43" s="68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2.75" hidden="false" customHeight="false" outlineLevel="0" collapsed="false">
      <c r="A44" s="677"/>
      <c r="B44" s="157"/>
      <c r="C44" s="680"/>
      <c r="D44" s="682"/>
      <c r="E44" s="681"/>
      <c r="F44" s="157"/>
      <c r="G44" s="681"/>
      <c r="H44" s="68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677" t="s">
        <v>1295</v>
      </c>
      <c r="B45" s="157"/>
      <c r="C45" s="680" t="n">
        <f aca="false">C43*0.0025</f>
        <v>23844.81</v>
      </c>
      <c r="D45" s="682" t="n">
        <f aca="false">D43*0.0025</f>
        <v>0</v>
      </c>
      <c r="E45" s="681"/>
      <c r="F45" s="502"/>
      <c r="G45" s="681"/>
      <c r="H45" s="68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677"/>
      <c r="B46" s="157"/>
      <c r="C46" s="680"/>
      <c r="D46" s="682"/>
      <c r="E46" s="681"/>
      <c r="F46" s="157"/>
      <c r="G46" s="157"/>
      <c r="H46" s="15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2.75" hidden="false" customHeight="false" outlineLevel="0" collapsed="false">
      <c r="A47" s="677" t="s">
        <v>1296</v>
      </c>
      <c r="B47" s="157"/>
      <c r="C47" s="680" t="n">
        <f aca="false">0.01*C43</f>
        <v>95379.24</v>
      </c>
      <c r="D47" s="682" t="n">
        <f aca="false">0.01*D43</f>
        <v>0</v>
      </c>
      <c r="E47" s="68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394"/>
      <c r="B48" s="157"/>
      <c r="C48" s="696"/>
      <c r="D48" s="697"/>
      <c r="E48" s="68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3.5" hidden="false" customHeight="false" outlineLevel="0" collapsed="false">
      <c r="A49" s="698" t="s">
        <v>236</v>
      </c>
      <c r="B49" s="699"/>
      <c r="C49" s="696" t="n">
        <f aca="false">SUM(C43:C47)</f>
        <v>9657148.05</v>
      </c>
      <c r="D49" s="697" t="n">
        <f aca="false">SUM(D43:D47)</f>
        <v>0</v>
      </c>
      <c r="E49" s="68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77"/>
      <c r="B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7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7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7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71"/>
      <c r="D54" s="71"/>
      <c r="E54" s="71"/>
      <c r="F54" s="71"/>
      <c r="G54" s="7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7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7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7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7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7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7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7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7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7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7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7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7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7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7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7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7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7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7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7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7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7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7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7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7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7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7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7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7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7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7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7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7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7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7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7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7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7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7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7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7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7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7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7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7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7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7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7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7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7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7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7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7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7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7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7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7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7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7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7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7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7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7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7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7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7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7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7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7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7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7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7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7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7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7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7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7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7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7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7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7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7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7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7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7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7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7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7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7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7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7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7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7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7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7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7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7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7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7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7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7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7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7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7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7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7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7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7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7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7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7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7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7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7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7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7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7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7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7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7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7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7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7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7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7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7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7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7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7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7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7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7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7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7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7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7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7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7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7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7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7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7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7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7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7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7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7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7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7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7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7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7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7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7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7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7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7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7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7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7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7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7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7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7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7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7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7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7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7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7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7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7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7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7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7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7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7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7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7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7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7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7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7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7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7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7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7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7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7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7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7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7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7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7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7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7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7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7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7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7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7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7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7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7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7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7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7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7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7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7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7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7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7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7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7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7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7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7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7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7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7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7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7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7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7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7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7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7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7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7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7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7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7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7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7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7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7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7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7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7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7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7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7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7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7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7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7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7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7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7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7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7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7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7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7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7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7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7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7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7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7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7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7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7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7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7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7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7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7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7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7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7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7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7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7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7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7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7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7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7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7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7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7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7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7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7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7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7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7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7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7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7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7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7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7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7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7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7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7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7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7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7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7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7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7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7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7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7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7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7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7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7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7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7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7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7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  <row r="370" customFormat="false" ht="12.75" hidden="false" customHeight="false" outlineLevel="0" collapsed="false">
      <c r="A370" s="2"/>
      <c r="B370" s="2"/>
      <c r="C370" s="7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69"/>
  <sheetViews>
    <sheetView showFormulas="false" showGridLines="true" showRowColHeaders="true" showZeros="true" rightToLeft="false" tabSelected="false" showOutlineSymbols="true" defaultGridColor="true" view="normal" topLeftCell="A5" colorId="64" zoomScale="75" zoomScaleNormal="75" zoomScalePageLayoutView="100" workbookViewId="0">
      <selection pane="topLeft" activeCell="C35" activeCellId="0" sqref="C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66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7" t="str">
        <f aca="false">Scope!$A$1</f>
        <v>AES Corp, Dallas, TX (640 MW)</v>
      </c>
      <c r="B1" s="117"/>
      <c r="C1" s="117"/>
      <c r="D1" s="667"/>
      <c r="E1" s="667"/>
      <c r="F1" s="667"/>
      <c r="G1" s="667"/>
      <c r="H1" s="66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7"/>
      <c r="B2" s="117"/>
      <c r="C2" s="117"/>
      <c r="D2" s="667"/>
      <c r="E2" s="667"/>
      <c r="F2" s="667"/>
      <c r="G2" s="667"/>
      <c r="H2" s="66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68" t="s">
        <v>12</v>
      </c>
      <c r="B3" s="668"/>
      <c r="C3" s="668"/>
      <c r="D3" s="667"/>
      <c r="E3" s="667"/>
      <c r="F3" s="667"/>
      <c r="G3" s="667"/>
      <c r="H3" s="667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7"/>
      <c r="B4" s="207"/>
      <c r="C4" s="7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7"/>
      <c r="B5" s="669" t="s">
        <v>1278</v>
      </c>
      <c r="C5" s="670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7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71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72" t="s">
        <v>1279</v>
      </c>
      <c r="B8" s="700"/>
      <c r="C8" s="674" t="s">
        <v>1142</v>
      </c>
      <c r="D8" s="701" t="s">
        <v>1141</v>
      </c>
      <c r="E8" s="702" t="s">
        <v>1280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82"/>
      <c r="B9" s="681"/>
      <c r="C9" s="678"/>
      <c r="D9" s="703"/>
      <c r="E9" s="704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682"/>
      <c r="B10" s="681"/>
      <c r="C10" s="680"/>
      <c r="D10" s="681"/>
      <c r="E10" s="705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706" t="str">
        <f aca="false">UPPER('GTDB(W501D5)'!A17)</f>
        <v>BASKETS</v>
      </c>
      <c r="B11" s="687"/>
      <c r="C11" s="705" t="n">
        <f aca="false">'GTDB(W501D5)'!E17*1000*E11</f>
        <v>0</v>
      </c>
      <c r="D11" s="687" t="n">
        <v>0</v>
      </c>
      <c r="E11" s="68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706" t="str">
        <f aca="false">UPPER('GTDB(W501D5)'!A18)</f>
        <v>TRANSITION PIECES</v>
      </c>
      <c r="B12" s="687"/>
      <c r="C12" s="705" t="n">
        <f aca="false">'GTDB(W501D5)'!E18*1000*E12</f>
        <v>0</v>
      </c>
      <c r="D12" s="687" t="n">
        <v>0</v>
      </c>
      <c r="E12" s="68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706" t="str">
        <f aca="false">UPPER('GTDB(W501D5)'!A19)</f>
        <v>TRANSITION SEALS</v>
      </c>
      <c r="B13" s="687"/>
      <c r="C13" s="705" t="n">
        <f aca="false">'GTDB(W501D5)'!E19*1000*E13</f>
        <v>0</v>
      </c>
      <c r="D13" s="687" t="n">
        <v>0</v>
      </c>
      <c r="E13" s="685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706" t="str">
        <f aca="false">UPPER('GTDB(W501D5)'!A20)</f>
        <v>FUEL NOZZLES</v>
      </c>
      <c r="B14" s="687"/>
      <c r="C14" s="705" t="n">
        <f aca="false">'GTDB(W501D5)'!E20*1000*E14</f>
        <v>0</v>
      </c>
      <c r="D14" s="687" t="n">
        <v>0</v>
      </c>
      <c r="E14" s="68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706" t="str">
        <f aca="false">UPPER('GTDB(W501D5)'!A21)</f>
        <v>CLAMSHELLS</v>
      </c>
      <c r="B15" s="687"/>
      <c r="C15" s="705" t="n">
        <f aca="false">'GTDB(W501D5)'!E21*1000*E15</f>
        <v>0</v>
      </c>
      <c r="D15" s="687" t="n">
        <v>0</v>
      </c>
      <c r="E15" s="68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706" t="str">
        <f aca="false">UPPER('GTDB(W501D5)'!A22)</f>
        <v>ROW 1 BLADES</v>
      </c>
      <c r="B16" s="687"/>
      <c r="C16" s="705" t="n">
        <f aca="false">'GTDB(W501D5)'!E22*1000*E16</f>
        <v>0</v>
      </c>
      <c r="D16" s="687" t="n">
        <v>0</v>
      </c>
      <c r="E16" s="68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706" t="str">
        <f aca="false">UPPER('GTDB(W501D5)'!A23)</f>
        <v>ROW 2 BLADES</v>
      </c>
      <c r="B17" s="687"/>
      <c r="C17" s="705" t="n">
        <f aca="false">'GTDB(W501D5)'!E23*1000*E17</f>
        <v>0</v>
      </c>
      <c r="D17" s="687" t="n">
        <v>0</v>
      </c>
      <c r="E17" s="68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706" t="str">
        <f aca="false">UPPER('GTDB(W501D5)'!A24)</f>
        <v>ROW 3 BLADES</v>
      </c>
      <c r="B18" s="687"/>
      <c r="C18" s="705" t="n">
        <f aca="false">'GTDB(W501D5)'!E24*1000*E18</f>
        <v>0</v>
      </c>
      <c r="D18" s="687" t="n">
        <v>0</v>
      </c>
      <c r="E18" s="685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706" t="str">
        <f aca="false">UPPER('GTDB(W501D5)'!A25)</f>
        <v>ROW 4 BLADES</v>
      </c>
      <c r="B19" s="687"/>
      <c r="C19" s="705" t="n">
        <f aca="false">'GTDB(W501D5)'!E25*1000*E19</f>
        <v>0</v>
      </c>
      <c r="D19" s="687" t="n">
        <v>0</v>
      </c>
      <c r="E19" s="68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706" t="str">
        <f aca="false">UPPER('GTDB(W501D5)'!A26)</f>
        <v>ROW 1 VANES </v>
      </c>
      <c r="B20" s="687"/>
      <c r="C20" s="705" t="n">
        <f aca="false">'GTDB(W501D5)'!E26*1000*E20</f>
        <v>0</v>
      </c>
      <c r="D20" s="687" t="n">
        <v>0</v>
      </c>
      <c r="E20" s="68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706" t="str">
        <f aca="false">UPPER('GTDB(W501D5)'!A27)</f>
        <v>ROW 2 VANES</v>
      </c>
      <c r="B21" s="687"/>
      <c r="C21" s="705" t="n">
        <f aca="false">'GTDB(W501D5)'!E27*1000*E21</f>
        <v>0</v>
      </c>
      <c r="D21" s="687" t="n">
        <v>0</v>
      </c>
      <c r="E21" s="685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706" t="str">
        <f aca="false">UPPER('GTDB(W501D5)'!A28)</f>
        <v>ROW 3 VANES</v>
      </c>
      <c r="B22" s="687"/>
      <c r="C22" s="705" t="n">
        <f aca="false">'GTDB(W501D5)'!E28*1000*E22</f>
        <v>0</v>
      </c>
      <c r="D22" s="687" t="n">
        <v>0</v>
      </c>
      <c r="E22" s="68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706" t="str">
        <f aca="false">UPPER('GTDB(W501D5)'!A29)</f>
        <v>ROW 4 VANES</v>
      </c>
      <c r="B23" s="687"/>
      <c r="C23" s="705" t="n">
        <f aca="false">'GTDB(W501D5)'!E29*1000*E23</f>
        <v>0</v>
      </c>
      <c r="D23" s="687" t="n">
        <v>0</v>
      </c>
      <c r="E23" s="68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706" t="str">
        <f aca="false">UPPER('GTDB(W501D5)'!A30)</f>
        <v>ROW 1 RING SEGMENTS</v>
      </c>
      <c r="B24" s="687"/>
      <c r="C24" s="705" t="n">
        <f aca="false">'GTDB(W501D5)'!E30*1000*E24</f>
        <v>0</v>
      </c>
      <c r="D24" s="687" t="n">
        <v>0</v>
      </c>
      <c r="E24" s="68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706" t="str">
        <f aca="false">UPPER('GTDB(W501D5)'!A31)</f>
        <v>ROW 2 RING SEGMENTS</v>
      </c>
      <c r="B25" s="687"/>
      <c r="C25" s="705" t="n">
        <f aca="false">'GTDB(W501D5)'!E31*1000*E25</f>
        <v>0</v>
      </c>
      <c r="D25" s="687" t="n">
        <v>0</v>
      </c>
      <c r="E25" s="68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2.75" hidden="false" customHeight="false" outlineLevel="0" collapsed="false">
      <c r="A26" s="706" t="str">
        <f aca="false">UPPER('GTDB(W501D5)'!A32)</f>
        <v>ROW 3 RINGS SEGMENTS</v>
      </c>
      <c r="B26" s="687"/>
      <c r="C26" s="705" t="n">
        <f aca="false">'GTDB(W501D5)'!E32*1000*E26</f>
        <v>0</v>
      </c>
      <c r="D26" s="687" t="n">
        <v>0</v>
      </c>
      <c r="E26" s="68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706" t="str">
        <f aca="false">UPPER('GTDB(W501D5)'!A33)</f>
        <v>ROW 4 RINGS SEGMENTS</v>
      </c>
      <c r="B27" s="687"/>
      <c r="C27" s="705" t="n">
        <f aca="false">'GTDB(W501D5)'!E33*1000*E27</f>
        <v>0</v>
      </c>
      <c r="D27" s="687" t="n">
        <v>0</v>
      </c>
      <c r="E27" s="68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706" t="str">
        <f aca="false">UPPER('GTDB(W501D5)'!A34)</f>
        <v>COMP ROTOR BLADES</v>
      </c>
      <c r="B28" s="687"/>
      <c r="C28" s="705" t="n">
        <f aca="false">'GTDB(W501D5)'!E34*1000*E28</f>
        <v>0</v>
      </c>
      <c r="D28" s="687" t="n">
        <v>0</v>
      </c>
      <c r="E28" s="685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2.75" hidden="false" customHeight="false" outlineLevel="0" collapsed="false">
      <c r="A29" s="706" t="str">
        <f aca="false">UPPER('GTDB(W501D5)'!A35)</f>
        <v>COMP DIAPHRAGMS</v>
      </c>
      <c r="B29" s="687"/>
      <c r="C29" s="705" t="n">
        <f aca="false">'GTDB(W501D5)'!E35*1000*E29</f>
        <v>0</v>
      </c>
      <c r="D29" s="687" t="n">
        <v>0</v>
      </c>
      <c r="E29" s="68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94" t="s">
        <v>1284</v>
      </c>
      <c r="B30" s="687"/>
      <c r="C30" s="705" t="n">
        <f aca="false">'GTDB(W501D5)'!D12*1000*E30</f>
        <v>0</v>
      </c>
      <c r="D30" s="687" t="n">
        <v>0</v>
      </c>
      <c r="E30" s="68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94" t="s">
        <v>1285</v>
      </c>
      <c r="B31" s="681"/>
      <c r="C31" s="705" t="n">
        <f aca="false">'GTDB(W501D5)'!D13*1000*E31</f>
        <v>0</v>
      </c>
      <c r="D31" s="707" t="n">
        <f aca="false">SUM(D10:D30)</f>
        <v>0</v>
      </c>
      <c r="E31" s="68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2.75" hidden="false" customHeight="false" outlineLevel="0" collapsed="false">
      <c r="A32" s="394" t="s">
        <v>1286</v>
      </c>
      <c r="B32" s="681"/>
      <c r="C32" s="705" t="n">
        <f aca="false">'GTDB(W501D5)'!D14*1000*E32</f>
        <v>0</v>
      </c>
      <c r="D32" s="681"/>
      <c r="E32" s="68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677" t="s">
        <v>1294</v>
      </c>
      <c r="B33" s="681"/>
      <c r="C33" s="690" t="n">
        <f aca="false">SUM(C11:C32)</f>
        <v>0</v>
      </c>
      <c r="D33" s="681"/>
      <c r="E33" s="68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682"/>
      <c r="B34" s="681"/>
      <c r="C34" s="680"/>
      <c r="D34" s="681"/>
      <c r="E34" s="68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77" t="s">
        <v>1293</v>
      </c>
      <c r="B35" s="157"/>
      <c r="C35" s="695"/>
      <c r="D35" s="681"/>
      <c r="E35" s="68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93"/>
      <c r="B36" s="694"/>
      <c r="C36" s="692"/>
      <c r="D36" s="694" t="n">
        <v>0</v>
      </c>
      <c r="E36" s="694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677"/>
      <c r="B37" s="681"/>
      <c r="C37" s="680"/>
      <c r="D37" s="681"/>
      <c r="E37" s="68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677" t="s">
        <v>1294</v>
      </c>
      <c r="B38" s="681"/>
      <c r="C38" s="690" t="n">
        <f aca="false">C33+C35</f>
        <v>0</v>
      </c>
      <c r="D38" s="707" t="n">
        <f aca="false">(D36+D31)</f>
        <v>0</v>
      </c>
      <c r="E38" s="68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682"/>
      <c r="B39" s="681"/>
      <c r="C39" s="680"/>
      <c r="D39" s="681"/>
      <c r="E39" s="68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677" t="s">
        <v>1295</v>
      </c>
      <c r="B40" s="681"/>
      <c r="C40" s="680" t="n">
        <f aca="false">C38*0.0025</f>
        <v>0</v>
      </c>
      <c r="D40" s="681" t="n">
        <v>0</v>
      </c>
      <c r="E40" s="68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77"/>
      <c r="B41" s="681"/>
      <c r="C41" s="680"/>
      <c r="D41" s="681"/>
      <c r="E41" s="68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677" t="s">
        <v>1296</v>
      </c>
      <c r="B42" s="681"/>
      <c r="C42" s="680" t="n">
        <f aca="false">0.01*C38</f>
        <v>0</v>
      </c>
      <c r="D42" s="707" t="n">
        <f aca="false">D40+D38</f>
        <v>0</v>
      </c>
      <c r="E42" s="68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3.5" hidden="false" customHeight="false" outlineLevel="0" collapsed="false">
      <c r="A43" s="394"/>
      <c r="B43" s="681"/>
      <c r="C43" s="696"/>
      <c r="D43" s="681"/>
      <c r="E43" s="68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3.5" hidden="false" customHeight="false" outlineLevel="0" collapsed="false">
      <c r="A44" s="698" t="s">
        <v>236</v>
      </c>
      <c r="B44" s="708"/>
      <c r="C44" s="696" t="n">
        <f aca="false">C38+C40+C42</f>
        <v>0</v>
      </c>
      <c r="D44" s="681" t="n">
        <f aca="false">D42*0.0025</f>
        <v>0</v>
      </c>
      <c r="E44" s="68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502"/>
      <c r="B45" s="157"/>
      <c r="C45" s="681"/>
      <c r="D45" s="681"/>
      <c r="E45" s="68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502"/>
      <c r="B46" s="157"/>
      <c r="C46" s="681"/>
      <c r="D46" s="681" t="n">
        <f aca="false">0.01*D42</f>
        <v>0</v>
      </c>
      <c r="E46" s="68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3.5" hidden="false" customHeight="false" outlineLevel="0" collapsed="false">
      <c r="A47" s="157"/>
      <c r="B47" s="157"/>
      <c r="C47" s="681"/>
      <c r="D47" s="708"/>
      <c r="E47" s="68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502"/>
      <c r="B48" s="157"/>
      <c r="C48" s="681"/>
      <c r="D48" s="708" t="n">
        <f aca="false">SUM(D42:D46)</f>
        <v>0</v>
      </c>
      <c r="E48" s="68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2.75" hidden="false" customHeight="false" outlineLevel="0" collapsed="false">
      <c r="A49" s="77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2"/>
      <c r="B50" s="2"/>
      <c r="C50" s="7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7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7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71"/>
      <c r="D53" s="71"/>
      <c r="E53" s="71"/>
      <c r="F53" s="71"/>
      <c r="G53" s="7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7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7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7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7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7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7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7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7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7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7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7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7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7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7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7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7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7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7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7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7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7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7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7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7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7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7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7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7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7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7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7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7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7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7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7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7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7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7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7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7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7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7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7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7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7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7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7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7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7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7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7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7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7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7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7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7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7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7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7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7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7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7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7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7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7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7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7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7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7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7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7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7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7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7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7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7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7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7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7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7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7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7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7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7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7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7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7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7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7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7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7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7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7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7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7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7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7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7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7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7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7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7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7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7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7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7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7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7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7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7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7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7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7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7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7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7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7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7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7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7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7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7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7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7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7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7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7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7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7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7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7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7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7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7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7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7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7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7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7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7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7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7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7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7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7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7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7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7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7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7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7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7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7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7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7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7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7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7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7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7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7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7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7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7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7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7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7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7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7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7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7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7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7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7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7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7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7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7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7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7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7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7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7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7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7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7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7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7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7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7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7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7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7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7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7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7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7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7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7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7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7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7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7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7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7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7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7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7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7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7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7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7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7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7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7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7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7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7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7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7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7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7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7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7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7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7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7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7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7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7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7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7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7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7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7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7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7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7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7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7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7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7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7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7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7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7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7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7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7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7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7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7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7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7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7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7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7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7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7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7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7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7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7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7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7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7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7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7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7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7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7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7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7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7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7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7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7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7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7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7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7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7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7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7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7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7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7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7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7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7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7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7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7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7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7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7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7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7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7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7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7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7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7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7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7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7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7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7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7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7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7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7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7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7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7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7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6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2.85"/>
    <col collapsed="false" customWidth="true" hidden="false" outlineLevel="0" max="2" min="2" style="0" width="11.13"/>
    <col collapsed="false" customWidth="true" hidden="false" outlineLevel="0" max="3" min="3" style="0" width="12.28"/>
    <col collapsed="false" customWidth="true" hidden="false" outlineLevel="0" max="4" min="4" style="0" width="13.99"/>
    <col collapsed="false" customWidth="true" hidden="false" outlineLevel="0" max="6" min="5" style="0" width="11.13"/>
    <col collapsed="false" customWidth="true" hidden="false" outlineLevel="0" max="7" min="7" style="0" width="13.7"/>
    <col collapsed="false" customWidth="true" hidden="false" outlineLevel="0" max="8" min="8" style="0" width="15.28"/>
    <col collapsed="false" customWidth="true" hidden="false" outlineLevel="0" max="9" min="9" style="0" width="11.13"/>
    <col collapsed="false" customWidth="true" hidden="false" outlineLevel="0" max="10" min="10" style="0" width="11.7"/>
    <col collapsed="false" customWidth="true" hidden="false" outlineLevel="0" max="11" min="11" style="0" width="10.13"/>
    <col collapsed="false" customWidth="true" hidden="false" outlineLevel="0" max="12" min="12" style="0" width="11.13"/>
    <col collapsed="false" customWidth="true" hidden="false" outlineLevel="0" max="13" min="13" style="0" width="13.7"/>
    <col collapsed="false" customWidth="true" hidden="false" outlineLevel="0" max="22" min="14" style="0" width="11.13"/>
    <col collapsed="false" customWidth="true" hidden="false" outlineLevel="0" max="23" min="23" style="0" width="13.28"/>
    <col collapsed="false" customWidth="true" hidden="false" outlineLevel="0" max="24" min="24" style="0" width="10.13"/>
  </cols>
  <sheetData>
    <row r="1" customFormat="false" ht="20.25" hidden="false" customHeight="true" outlineLevel="0" collapsed="false">
      <c r="A1" s="709" t="str">
        <f aca="false">CONCATENATE(D7,"x","GE LM6000 - Major Maintenance Reserve")</f>
        <v>2xGE LM6000 - Major Maintenance Reserve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</row>
    <row r="2" customFormat="false" ht="20.25" hidden="false" customHeight="false" outlineLevel="0" collapsed="false">
      <c r="A2" s="710"/>
      <c r="B2" s="710"/>
      <c r="C2" s="710"/>
      <c r="D2" s="710"/>
      <c r="E2" s="710"/>
      <c r="F2" s="710"/>
      <c r="G2" s="710"/>
      <c r="H2" s="710"/>
      <c r="I2" s="71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U2" s="710"/>
      <c r="V2" s="710"/>
      <c r="W2" s="710"/>
    </row>
    <row r="3" customFormat="false" ht="18.75" hidden="false" customHeight="false" outlineLevel="0" collapsed="false">
      <c r="A3" s="711"/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2"/>
      <c r="O3" s="712"/>
      <c r="P3" s="712"/>
      <c r="Q3" s="712"/>
      <c r="R3" s="712"/>
      <c r="S3" s="712"/>
      <c r="T3" s="712"/>
      <c r="U3" s="712"/>
      <c r="V3" s="712"/>
      <c r="W3" s="712"/>
    </row>
    <row r="4" customFormat="false" ht="18.75" hidden="false" customHeight="false" outlineLevel="0" collapsed="false">
      <c r="A4" s="713" t="s">
        <v>1297</v>
      </c>
      <c r="B4" s="673"/>
      <c r="C4" s="673"/>
      <c r="D4" s="673"/>
      <c r="E4" s="673"/>
      <c r="F4" s="714" t="s">
        <v>1298</v>
      </c>
      <c r="G4" s="714"/>
      <c r="H4" s="715" t="n">
        <v>20</v>
      </c>
      <c r="I4" s="716" t="s">
        <v>1299</v>
      </c>
      <c r="J4" s="673"/>
      <c r="K4" s="717"/>
    </row>
    <row r="5" customFormat="false" ht="18" hidden="false" customHeight="false" outlineLevel="0" collapsed="false">
      <c r="A5" s="718" t="s">
        <v>1300</v>
      </c>
      <c r="B5" s="157"/>
      <c r="C5" s="157"/>
      <c r="D5" s="157"/>
      <c r="E5" s="157"/>
      <c r="F5" s="157"/>
      <c r="G5" s="157"/>
      <c r="H5" s="719" t="n">
        <f aca="false">W28</f>
        <v>32740800</v>
      </c>
      <c r="I5" s="720" t="s">
        <v>1301</v>
      </c>
      <c r="J5" s="157"/>
      <c r="K5" s="158"/>
    </row>
    <row r="6" customFormat="false" ht="18.75" hidden="false" customHeight="false" outlineLevel="0" collapsed="false">
      <c r="A6" s="394"/>
      <c r="B6" s="157"/>
      <c r="C6" s="157"/>
      <c r="D6" s="157"/>
      <c r="E6" s="157"/>
      <c r="F6" s="157"/>
      <c r="G6" s="157"/>
      <c r="H6" s="719" t="n">
        <f aca="false">H5/$D$7</f>
        <v>16370400</v>
      </c>
      <c r="I6" s="720" t="s">
        <v>1302</v>
      </c>
      <c r="J6" s="157"/>
      <c r="K6" s="158"/>
    </row>
    <row r="7" customFormat="false" ht="18.75" hidden="false" customHeight="false" outlineLevel="0" collapsed="false">
      <c r="A7" s="718" t="s">
        <v>1303</v>
      </c>
      <c r="B7" s="721"/>
      <c r="C7" s="721"/>
      <c r="D7" s="715" t="n">
        <v>2</v>
      </c>
      <c r="E7" s="157"/>
      <c r="F7" s="157"/>
      <c r="G7" s="157"/>
      <c r="H7" s="722" t="n">
        <f aca="false">H6/H4</f>
        <v>818520</v>
      </c>
      <c r="I7" s="720" t="s">
        <v>1304</v>
      </c>
      <c r="J7" s="157"/>
      <c r="K7" s="158"/>
    </row>
    <row r="8" customFormat="false" ht="18.75" hidden="false" customHeight="false" outlineLevel="0" collapsed="false">
      <c r="A8" s="394"/>
      <c r="B8" s="157"/>
      <c r="C8" s="157"/>
      <c r="D8" s="157"/>
      <c r="E8" s="157"/>
      <c r="F8" s="157"/>
      <c r="G8" s="157"/>
      <c r="H8" s="723" t="n">
        <f aca="false">H7/C19</f>
        <v>98.3561643835617</v>
      </c>
      <c r="I8" s="720" t="s">
        <v>1305</v>
      </c>
      <c r="J8" s="157"/>
      <c r="K8" s="158"/>
    </row>
    <row r="9" customFormat="false" ht="13.5" hidden="false" customHeight="false" outlineLevel="0" collapsed="false">
      <c r="A9" s="724"/>
      <c r="B9" s="699"/>
      <c r="C9" s="699"/>
      <c r="D9" s="699"/>
      <c r="E9" s="699"/>
      <c r="F9" s="699"/>
      <c r="G9" s="699"/>
      <c r="H9" s="699"/>
      <c r="I9" s="699"/>
      <c r="J9" s="699"/>
      <c r="K9" s="725"/>
    </row>
    <row r="10" customFormat="false" ht="15.75" hidden="false" customHeight="false" outlineLevel="0" collapsed="false">
      <c r="A10" s="165"/>
      <c r="B10" s="726"/>
      <c r="C10" s="726"/>
      <c r="D10" s="727" t="s">
        <v>1306</v>
      </c>
      <c r="E10" s="726"/>
      <c r="F10" s="726"/>
      <c r="G10" s="726"/>
      <c r="H10" s="726"/>
      <c r="I10" s="726"/>
      <c r="J10" s="726"/>
      <c r="K10" s="726"/>
      <c r="L10" s="673"/>
      <c r="M10" s="728"/>
      <c r="N10" s="728"/>
      <c r="O10" s="728"/>
      <c r="P10" s="728"/>
      <c r="Q10" s="728"/>
      <c r="R10" s="728"/>
      <c r="S10" s="728"/>
      <c r="T10" s="728"/>
      <c r="U10" s="728"/>
      <c r="V10" s="673"/>
      <c r="W10" s="717"/>
    </row>
    <row r="11" customFormat="false" ht="12.75" hidden="false" customHeight="false" outlineLevel="0" collapsed="false">
      <c r="A11" s="729" t="s">
        <v>1307</v>
      </c>
      <c r="B11" s="730"/>
      <c r="C11" s="731"/>
      <c r="D11" s="732" t="n">
        <v>0</v>
      </c>
      <c r="E11" s="733" t="s">
        <v>1308</v>
      </c>
      <c r="F11" s="726"/>
      <c r="G11" s="726"/>
      <c r="H11" s="734" t="s">
        <v>1309</v>
      </c>
      <c r="I11" s="734"/>
      <c r="J11" s="726"/>
      <c r="K11" s="726"/>
      <c r="L11" s="157"/>
      <c r="M11" s="726"/>
      <c r="N11" s="726"/>
      <c r="O11" s="726"/>
      <c r="P11" s="726"/>
      <c r="Q11" s="726"/>
      <c r="R11" s="726"/>
      <c r="S11" s="726"/>
      <c r="T11" s="726"/>
      <c r="U11" s="726"/>
      <c r="V11" s="157"/>
      <c r="W11" s="158"/>
    </row>
    <row r="12" customFormat="false" ht="12.75" hidden="false" customHeight="false" outlineLevel="0" collapsed="false">
      <c r="A12" s="729" t="s">
        <v>1310</v>
      </c>
      <c r="B12" s="730"/>
      <c r="C12" s="731"/>
      <c r="D12" s="732" t="n">
        <f aca="false">23900*3.5</f>
        <v>83650</v>
      </c>
      <c r="E12" s="735" t="s">
        <v>1311</v>
      </c>
      <c r="F12" s="726"/>
      <c r="G12" s="726"/>
      <c r="H12" s="734" t="s">
        <v>1312</v>
      </c>
      <c r="I12" s="157"/>
      <c r="J12" s="726"/>
      <c r="K12" s="726"/>
      <c r="L12" s="157"/>
      <c r="M12" s="726"/>
      <c r="N12" s="726"/>
      <c r="O12" s="726"/>
      <c r="P12" s="726"/>
      <c r="Q12" s="726"/>
      <c r="R12" s="726"/>
      <c r="S12" s="726"/>
      <c r="T12" s="726"/>
      <c r="U12" s="726"/>
      <c r="V12" s="157"/>
      <c r="W12" s="158"/>
    </row>
    <row r="13" customFormat="false" ht="12.75" hidden="false" customHeight="false" outlineLevel="0" collapsed="false">
      <c r="A13" s="729" t="s">
        <v>1313</v>
      </c>
      <c r="B13" s="730"/>
      <c r="C13" s="731"/>
      <c r="D13" s="732" t="n">
        <v>0</v>
      </c>
      <c r="E13" s="735" t="s">
        <v>1314</v>
      </c>
      <c r="F13" s="726"/>
      <c r="G13" s="726"/>
      <c r="H13" s="734" t="s">
        <v>1315</v>
      </c>
      <c r="I13" s="734"/>
      <c r="J13" s="726"/>
      <c r="K13" s="726"/>
      <c r="L13" s="157"/>
      <c r="M13" s="726"/>
      <c r="N13" s="726"/>
      <c r="O13" s="726"/>
      <c r="P13" s="726"/>
      <c r="Q13" s="726"/>
      <c r="R13" s="726"/>
      <c r="S13" s="726"/>
      <c r="T13" s="726"/>
      <c r="U13" s="726"/>
      <c r="V13" s="157"/>
      <c r="W13" s="158"/>
    </row>
    <row r="14" customFormat="false" ht="12.75" hidden="false" customHeight="false" outlineLevel="0" collapsed="false">
      <c r="A14" s="729" t="s">
        <v>1316</v>
      </c>
      <c r="B14" s="730"/>
      <c r="C14" s="731"/>
      <c r="D14" s="732" t="n">
        <v>1403000</v>
      </c>
      <c r="E14" s="735" t="s">
        <v>1317</v>
      </c>
      <c r="F14" s="734" t="s">
        <v>1318</v>
      </c>
      <c r="G14" s="726"/>
      <c r="H14" s="734" t="s">
        <v>1319</v>
      </c>
      <c r="I14" s="157"/>
      <c r="J14" s="726"/>
      <c r="K14" s="726"/>
      <c r="L14" s="157"/>
      <c r="M14" s="726"/>
      <c r="N14" s="726"/>
      <c r="O14" s="726"/>
      <c r="P14" s="726"/>
      <c r="Q14" s="726"/>
      <c r="R14" s="726"/>
      <c r="S14" s="726"/>
      <c r="T14" s="726"/>
      <c r="U14" s="726"/>
      <c r="V14" s="157"/>
      <c r="W14" s="158"/>
    </row>
    <row r="15" customFormat="false" ht="12.75" hidden="false" customHeight="false" outlineLevel="0" collapsed="false">
      <c r="A15" s="729" t="s">
        <v>1320</v>
      </c>
      <c r="B15" s="730"/>
      <c r="C15" s="731"/>
      <c r="D15" s="732" t="n">
        <v>3000000</v>
      </c>
      <c r="E15" s="735" t="s">
        <v>1317</v>
      </c>
      <c r="F15" s="726"/>
      <c r="G15" s="726"/>
      <c r="H15" s="734" t="s">
        <v>1321</v>
      </c>
      <c r="I15" s="157"/>
      <c r="J15" s="726"/>
      <c r="K15" s="726"/>
      <c r="L15" s="157"/>
      <c r="M15" s="726"/>
      <c r="N15" s="726"/>
      <c r="O15" s="726"/>
      <c r="P15" s="726"/>
      <c r="Q15" s="726"/>
      <c r="R15" s="726"/>
      <c r="S15" s="726"/>
      <c r="T15" s="726"/>
      <c r="U15" s="726"/>
      <c r="V15" s="157"/>
      <c r="W15" s="158"/>
    </row>
    <row r="16" customFormat="false" ht="12.75" hidden="false" customHeight="false" outlineLevel="0" collapsed="false">
      <c r="A16" s="729" t="s">
        <v>1322</v>
      </c>
      <c r="B16" s="730"/>
      <c r="C16" s="731"/>
      <c r="D16" s="736" t="n">
        <v>25000</v>
      </c>
      <c r="E16" s="737"/>
      <c r="F16" s="726"/>
      <c r="G16" s="726"/>
      <c r="H16" s="734" t="s">
        <v>1323</v>
      </c>
      <c r="I16" s="726"/>
      <c r="J16" s="726"/>
      <c r="K16" s="726"/>
      <c r="L16" s="157"/>
      <c r="M16" s="726"/>
      <c r="N16" s="726"/>
      <c r="O16" s="726"/>
      <c r="P16" s="726"/>
      <c r="Q16" s="726"/>
      <c r="R16" s="726"/>
      <c r="S16" s="726"/>
      <c r="T16" s="726"/>
      <c r="U16" s="726"/>
      <c r="V16" s="157"/>
      <c r="W16" s="158"/>
    </row>
    <row r="17" customFormat="false" ht="12.75" hidden="false" customHeight="false" outlineLevel="0" collapsed="false">
      <c r="A17" s="729" t="s">
        <v>1324</v>
      </c>
      <c r="B17" s="730"/>
      <c r="C17" s="731"/>
      <c r="D17" s="736" t="n">
        <v>25000</v>
      </c>
      <c r="E17" s="737"/>
      <c r="F17" s="726"/>
      <c r="G17" s="726"/>
      <c r="H17" s="734" t="s">
        <v>1323</v>
      </c>
      <c r="I17" s="726"/>
      <c r="J17" s="726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8"/>
    </row>
    <row r="18" customFormat="false" ht="12.75" hidden="false" customHeight="false" outlineLevel="0" collapsed="false">
      <c r="A18" s="394"/>
      <c r="B18" s="726"/>
      <c r="C18" s="726"/>
      <c r="D18" s="726"/>
      <c r="E18" s="726"/>
      <c r="F18" s="726"/>
      <c r="G18" s="726"/>
      <c r="H18" s="726"/>
      <c r="I18" s="726"/>
      <c r="J18" s="726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8"/>
    </row>
    <row r="19" customFormat="false" ht="12.75" hidden="false" customHeight="false" outlineLevel="0" collapsed="false">
      <c r="A19" s="738" t="s">
        <v>1325</v>
      </c>
      <c r="B19" s="739"/>
      <c r="C19" s="740" t="n">
        <f aca="false">8760*Scope!F39</f>
        <v>8322</v>
      </c>
      <c r="D19" s="741" t="s">
        <v>1326</v>
      </c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8"/>
    </row>
    <row r="20" customFormat="false" ht="12.75" hidden="false" customHeight="false" outlineLevel="0" collapsed="false">
      <c r="A20" s="394" t="s">
        <v>1327</v>
      </c>
      <c r="B20" s="742" t="n">
        <v>0</v>
      </c>
      <c r="C20" s="742" t="n">
        <v>1</v>
      </c>
      <c r="D20" s="742" t="n">
        <v>2</v>
      </c>
      <c r="E20" s="742" t="n">
        <v>3</v>
      </c>
      <c r="F20" s="742" t="n">
        <v>4</v>
      </c>
      <c r="G20" s="742" t="n">
        <v>5</v>
      </c>
      <c r="H20" s="742" t="n">
        <v>6</v>
      </c>
      <c r="I20" s="742" t="n">
        <v>7</v>
      </c>
      <c r="J20" s="742" t="n">
        <v>8</v>
      </c>
      <c r="K20" s="742" t="n">
        <v>9</v>
      </c>
      <c r="L20" s="742" t="n">
        <v>10</v>
      </c>
      <c r="M20" s="742" t="n">
        <v>11</v>
      </c>
      <c r="N20" s="742" t="n">
        <v>12</v>
      </c>
      <c r="O20" s="742" t="n">
        <v>13</v>
      </c>
      <c r="P20" s="742" t="n">
        <v>14</v>
      </c>
      <c r="Q20" s="742" t="n">
        <v>15</v>
      </c>
      <c r="R20" s="742" t="n">
        <v>16</v>
      </c>
      <c r="S20" s="742" t="n">
        <v>17</v>
      </c>
      <c r="T20" s="742" t="n">
        <v>18</v>
      </c>
      <c r="U20" s="742" t="n">
        <v>19</v>
      </c>
      <c r="V20" s="742" t="n">
        <v>20</v>
      </c>
      <c r="W20" s="158"/>
    </row>
    <row r="21" customFormat="false" ht="12.75" hidden="false" customHeight="false" outlineLevel="0" collapsed="false">
      <c r="A21" s="394" t="s">
        <v>1328</v>
      </c>
      <c r="B21" s="743"/>
      <c r="C21" s="743" t="n">
        <f aca="false">$C19</f>
        <v>8322</v>
      </c>
      <c r="D21" s="743" t="n">
        <f aca="false">C21+$C19</f>
        <v>16644</v>
      </c>
      <c r="E21" s="743" t="n">
        <f aca="false">D21+$C19</f>
        <v>24966</v>
      </c>
      <c r="F21" s="743" t="n">
        <f aca="false">E21+$C19</f>
        <v>33288</v>
      </c>
      <c r="G21" s="743" t="n">
        <f aca="false">F21+$C19</f>
        <v>41610</v>
      </c>
      <c r="H21" s="743" t="n">
        <f aca="false">G21+$C19</f>
        <v>49932</v>
      </c>
      <c r="I21" s="743" t="n">
        <f aca="false">H21+$C19</f>
        <v>58254</v>
      </c>
      <c r="J21" s="743" t="n">
        <f aca="false">I21+$C19</f>
        <v>66576</v>
      </c>
      <c r="K21" s="743" t="n">
        <f aca="false">J21+$C19</f>
        <v>74898</v>
      </c>
      <c r="L21" s="743" t="n">
        <f aca="false">K21+$C19</f>
        <v>83220</v>
      </c>
      <c r="M21" s="743" t="n">
        <f aca="false">L21+$C19</f>
        <v>91542</v>
      </c>
      <c r="N21" s="743" t="n">
        <f aca="false">M21+$C19</f>
        <v>99864</v>
      </c>
      <c r="O21" s="743" t="n">
        <f aca="false">N21+$C19</f>
        <v>108186</v>
      </c>
      <c r="P21" s="743" t="n">
        <f aca="false">O21+$C19</f>
        <v>116508</v>
      </c>
      <c r="Q21" s="743" t="n">
        <f aca="false">P21+$C19</f>
        <v>124830</v>
      </c>
      <c r="R21" s="743" t="n">
        <f aca="false">Q21+$C19</f>
        <v>133152</v>
      </c>
      <c r="S21" s="743" t="n">
        <f aca="false">R21+$C19</f>
        <v>141474</v>
      </c>
      <c r="T21" s="743" t="n">
        <f aca="false">S21+$C19</f>
        <v>149796</v>
      </c>
      <c r="U21" s="743" t="n">
        <f aca="false">T21+$C19</f>
        <v>158118</v>
      </c>
      <c r="V21" s="743" t="n">
        <f aca="false">U21+$C19</f>
        <v>166440</v>
      </c>
      <c r="W21" s="158"/>
    </row>
    <row r="22" customFormat="false" ht="12.75" hidden="false" customHeight="false" outlineLevel="0" collapsed="false">
      <c r="A22" s="394" t="s">
        <v>1329</v>
      </c>
      <c r="B22" s="742"/>
      <c r="C22" s="742"/>
      <c r="D22" s="742"/>
      <c r="E22" s="742" t="s">
        <v>1330</v>
      </c>
      <c r="F22" s="742"/>
      <c r="G22" s="742"/>
      <c r="H22" s="742" t="s">
        <v>1331</v>
      </c>
      <c r="I22" s="742"/>
      <c r="J22" s="742"/>
      <c r="K22" s="742" t="s">
        <v>1330</v>
      </c>
      <c r="L22" s="742"/>
      <c r="M22" s="742"/>
      <c r="N22" s="742" t="s">
        <v>1331</v>
      </c>
      <c r="O22" s="742"/>
      <c r="P22" s="742"/>
      <c r="Q22" s="742" t="s">
        <v>1330</v>
      </c>
      <c r="R22" s="742"/>
      <c r="S22" s="742"/>
      <c r="T22" s="742" t="s">
        <v>1331</v>
      </c>
      <c r="U22" s="742"/>
      <c r="V22" s="742"/>
      <c r="W22" s="158"/>
    </row>
    <row r="23" customFormat="false" ht="12.75" hidden="false" customHeight="false" outlineLevel="0" collapsed="false">
      <c r="A23" s="394" t="s">
        <v>1332</v>
      </c>
      <c r="B23" s="744" t="n">
        <f aca="false">IF(B22="H",$D$7*$D14,IF(B22="M",$D$7*$D15,0))</f>
        <v>0</v>
      </c>
      <c r="C23" s="744" t="n">
        <f aca="false">IF(C22="H",$D$7*$D14,IF(C22="M",$D$7*$D15,0))</f>
        <v>0</v>
      </c>
      <c r="D23" s="744" t="n">
        <f aca="false">IF(D22="H",$D$7*$D14,IF(D22="M",$D$7*$D15,0))</f>
        <v>0</v>
      </c>
      <c r="E23" s="744" t="n">
        <f aca="false">IF(E22="H",$D$7*$D14,IF(E22="M",$D$7*$D15,0))</f>
        <v>2806000</v>
      </c>
      <c r="F23" s="744" t="n">
        <f aca="false">IF(F22="H",$D$7*$D14,IF(F22="M",$D$7*$D15,0))</f>
        <v>0</v>
      </c>
      <c r="G23" s="744" t="n">
        <f aca="false">IF(G22="H",$D$7*$D14,IF(G22="M",$D$7*$D15,0))</f>
        <v>0</v>
      </c>
      <c r="H23" s="744" t="n">
        <f aca="false">IF(H22="H",$D$7*$D14,IF(H22="M",$D$7*$D15,0))</f>
        <v>6000000</v>
      </c>
      <c r="I23" s="744" t="n">
        <f aca="false">IF(I22="H",$D$7*$D14,IF(I22="M",$D$7*$D15,0))</f>
        <v>0</v>
      </c>
      <c r="J23" s="744" t="n">
        <f aca="false">IF(J22="H",$D$7*$D14,IF(J22="M",$D$7*$D15,0))</f>
        <v>0</v>
      </c>
      <c r="K23" s="744" t="n">
        <f aca="false">IF(K22="H",$D$7*$D14,IF(K22="M",$D$7*$D15,0))</f>
        <v>2806000</v>
      </c>
      <c r="L23" s="744" t="n">
        <f aca="false">IF(L22="H",$D$7*$D14,IF(L22="M",$D$7*$D15,0))</f>
        <v>0</v>
      </c>
      <c r="M23" s="744" t="n">
        <f aca="false">IF(M22="H",$D$7*$D14,IF(M22="M",$D$7*$D15,0))</f>
        <v>0</v>
      </c>
      <c r="N23" s="744" t="n">
        <f aca="false">IF(N22="H",$D$7*$D14,IF(N22="M",$D$7*$D15,0))</f>
        <v>6000000</v>
      </c>
      <c r="O23" s="744" t="n">
        <f aca="false">IF(O22="H",$D$7*$D14,IF(O22="M",$D$7*$D15,0))</f>
        <v>0</v>
      </c>
      <c r="P23" s="744" t="n">
        <f aca="false">IF(P22="H",$D$7*$D14,IF(P22="M",$D$7*$D15,0))</f>
        <v>0</v>
      </c>
      <c r="Q23" s="744" t="n">
        <f aca="false">IF(Q22="H",$D$7*$D14,IF(Q22="M",$D$7*$D15,0))</f>
        <v>2806000</v>
      </c>
      <c r="R23" s="744" t="n">
        <f aca="false">IF(R22="H",$D$7*$D14,IF(R22="M",$D$7*$D15,0))</f>
        <v>0</v>
      </c>
      <c r="S23" s="744" t="n">
        <f aca="false">IF(S22="H",$D$7*$D14,IF(S22="M",$D$7*$D15,0))</f>
        <v>0</v>
      </c>
      <c r="T23" s="744" t="n">
        <f aca="false">IF(T22="H",$D$7*$D14,IF(T22="M",$D$7*$D15,0))</f>
        <v>6000000</v>
      </c>
      <c r="U23" s="744" t="n">
        <f aca="false">IF(U22="H",$D$7*$D14,IF(U22="M",$D$7*$D15,0))</f>
        <v>0</v>
      </c>
      <c r="V23" s="744" t="n">
        <f aca="false">IF(V22="H",$D$7*$D14,IF(V22="M",$D$7*$D15,0))</f>
        <v>0</v>
      </c>
      <c r="W23" s="158"/>
    </row>
    <row r="24" customFormat="false" ht="12.75" hidden="false" customHeight="false" outlineLevel="0" collapsed="false">
      <c r="A24" s="394" t="s">
        <v>1333</v>
      </c>
      <c r="B24" s="744"/>
      <c r="C24" s="744" t="n">
        <f aca="false">$D$13*$D$7</f>
        <v>0</v>
      </c>
      <c r="D24" s="744" t="n">
        <f aca="false">$D$13*$D$7</f>
        <v>0</v>
      </c>
      <c r="E24" s="744" t="n">
        <f aca="false">$D$13*$D$7</f>
        <v>0</v>
      </c>
      <c r="F24" s="744" t="n">
        <f aca="false">$D$13*$D$7</f>
        <v>0</v>
      </c>
      <c r="G24" s="744" t="n">
        <f aca="false">$D$13*$D$7</f>
        <v>0</v>
      </c>
      <c r="H24" s="744" t="n">
        <f aca="false">$D$13*$D$7</f>
        <v>0</v>
      </c>
      <c r="I24" s="744" t="n">
        <f aca="false">$D$13*$D$7</f>
        <v>0</v>
      </c>
      <c r="J24" s="744" t="n">
        <f aca="false">$D$13*$D$7</f>
        <v>0</v>
      </c>
      <c r="K24" s="744" t="n">
        <f aca="false">$D$13*$D$7</f>
        <v>0</v>
      </c>
      <c r="L24" s="744" t="n">
        <f aca="false">$D$13*$D$7</f>
        <v>0</v>
      </c>
      <c r="M24" s="744" t="n">
        <f aca="false">$D$13*$D$7</f>
        <v>0</v>
      </c>
      <c r="N24" s="744" t="n">
        <f aca="false">$D$13*$D$7</f>
        <v>0</v>
      </c>
      <c r="O24" s="744" t="n">
        <f aca="false">$D$13*$D$7</f>
        <v>0</v>
      </c>
      <c r="P24" s="744" t="n">
        <f aca="false">$D$13*$D$7</f>
        <v>0</v>
      </c>
      <c r="Q24" s="744" t="n">
        <f aca="false">$D$13*$D$7</f>
        <v>0</v>
      </c>
      <c r="R24" s="744" t="n">
        <f aca="false">$D$13*$D$7</f>
        <v>0</v>
      </c>
      <c r="S24" s="744" t="n">
        <f aca="false">$D$13*$D$7</f>
        <v>0</v>
      </c>
      <c r="T24" s="744" t="n">
        <f aca="false">$D$13*$D$7</f>
        <v>0</v>
      </c>
      <c r="U24" s="744" t="n">
        <f aca="false">$D$13*$D$7</f>
        <v>0</v>
      </c>
      <c r="V24" s="744" t="n">
        <f aca="false">$D$13*$D$7</f>
        <v>0</v>
      </c>
      <c r="W24" s="158"/>
    </row>
    <row r="25" customFormat="false" ht="12.75" hidden="false" customHeight="false" outlineLevel="0" collapsed="false">
      <c r="A25" s="394" t="s">
        <v>1117</v>
      </c>
      <c r="B25" s="744" t="n">
        <f aca="false">IF(B22="H",$D16*$D$7,IF(B22="M",$D17*$D$7,0))</f>
        <v>0</v>
      </c>
      <c r="C25" s="744" t="n">
        <f aca="false">IF(C22="H",$D16*$D$7,IF(C22="M",$D17*$D$7,0))</f>
        <v>0</v>
      </c>
      <c r="D25" s="744" t="n">
        <f aca="false">IF(D22="H",$D16*$D$7,IF(D22="M",$D17*$D$7,0))</f>
        <v>0</v>
      </c>
      <c r="E25" s="744" t="n">
        <f aca="false">IF(E22="H",$D16*$D$7,IF(E22="M",$D17*$D$7,0))</f>
        <v>50000</v>
      </c>
      <c r="F25" s="744" t="n">
        <f aca="false">IF(F22="H",$D16*$D$7,IF(F22="M",$D17*$D$7,0))</f>
        <v>0</v>
      </c>
      <c r="G25" s="744" t="n">
        <f aca="false">IF(G22="H",$D16*$D$7,IF(G22="M",$D17*$D$7,0))</f>
        <v>0</v>
      </c>
      <c r="H25" s="744" t="n">
        <f aca="false">IF(H22="H",$D16*$D$7,IF(H22="M",$D17*$D$7,0))</f>
        <v>50000</v>
      </c>
      <c r="I25" s="744" t="n">
        <f aca="false">IF(I22="H",$D16*$D$7,IF(I22="M",$D17*$D$7,0))</f>
        <v>0</v>
      </c>
      <c r="J25" s="744" t="n">
        <f aca="false">IF(J22="H",$D16*$D$7,IF(J22="M",$D17*$D$7,0))</f>
        <v>0</v>
      </c>
      <c r="K25" s="744" t="n">
        <f aca="false">IF(K22="H",$D16*$D$7,IF(K22="M",$D17*$D$7,0))</f>
        <v>50000</v>
      </c>
      <c r="L25" s="744" t="n">
        <f aca="false">IF(L22="H",$D16*$D$7,IF(L22="M",$D17*$D$7,0))</f>
        <v>0</v>
      </c>
      <c r="M25" s="744" t="n">
        <f aca="false">IF(M22="H",$D16*$D$7,IF(M22="M",$D17*$D$7,0))</f>
        <v>0</v>
      </c>
      <c r="N25" s="744" t="n">
        <f aca="false">IF(N22="H",$D16*$D$7,IF(N22="M",$D17*$D$7,0))</f>
        <v>50000</v>
      </c>
      <c r="O25" s="744" t="n">
        <f aca="false">IF(O22="H",$D16*$D$7,IF(O22="M",$D17*$D$7,0))</f>
        <v>0</v>
      </c>
      <c r="P25" s="744" t="n">
        <f aca="false">IF(P22="H",$D16*$D$7,IF(P22="M",$D17*$D$7,0))</f>
        <v>0</v>
      </c>
      <c r="Q25" s="744" t="n">
        <f aca="false">IF(Q22="H",$D16*$D$7,IF(Q22="M",$D17*$D$7,0))</f>
        <v>50000</v>
      </c>
      <c r="R25" s="744" t="n">
        <f aca="false">IF(R22="H",$D16*$D$7,IF(R22="M",$D17*$D$7,0))</f>
        <v>0</v>
      </c>
      <c r="S25" s="744" t="n">
        <f aca="false">IF(S22="H",$D16*$D$7,IF(S22="M",$D17*$D$7,0))</f>
        <v>0</v>
      </c>
      <c r="T25" s="744" t="n">
        <f aca="false">IF(T22="H",$D16*$D$7,IF(T22="M",$D17*$D$7,0))</f>
        <v>50000</v>
      </c>
      <c r="U25" s="744" t="n">
        <f aca="false">IF(U22="H",$D16*$D$7,IF(U22="M",$D17*$D$7,0))</f>
        <v>0</v>
      </c>
      <c r="V25" s="744" t="n">
        <f aca="false">IF(V22="H",$D16*$D$7,IF(V22="M",$D17*$D$7,0))</f>
        <v>0</v>
      </c>
      <c r="W25" s="158"/>
    </row>
    <row r="26" customFormat="false" ht="12.75" hidden="false" customHeight="false" outlineLevel="0" collapsed="false">
      <c r="A26" s="394" t="s">
        <v>1334</v>
      </c>
      <c r="B26" s="742"/>
      <c r="C26" s="744" t="n">
        <f aca="false">$D11*$D$7</f>
        <v>0</v>
      </c>
      <c r="D26" s="744" t="n">
        <f aca="false">$D11*$D$7</f>
        <v>0</v>
      </c>
      <c r="E26" s="744" t="n">
        <f aca="false">$D11*$D$7</f>
        <v>0</v>
      </c>
      <c r="F26" s="744" t="n">
        <f aca="false">$D11*$D$7</f>
        <v>0</v>
      </c>
      <c r="G26" s="744" t="n">
        <f aca="false">$D11*$D$7</f>
        <v>0</v>
      </c>
      <c r="H26" s="744" t="n">
        <f aca="false">$D11*$D$7</f>
        <v>0</v>
      </c>
      <c r="I26" s="744" t="n">
        <f aca="false">$D11*$D$7</f>
        <v>0</v>
      </c>
      <c r="J26" s="744" t="n">
        <f aca="false">$D11*$D$7</f>
        <v>0</v>
      </c>
      <c r="K26" s="744" t="n">
        <f aca="false">$D11*$D$7</f>
        <v>0</v>
      </c>
      <c r="L26" s="744" t="n">
        <f aca="false">$D11*$D$7</f>
        <v>0</v>
      </c>
      <c r="M26" s="744" t="n">
        <f aca="false">$D11*$D$7</f>
        <v>0</v>
      </c>
      <c r="N26" s="744" t="n">
        <f aca="false">$D11*$D$7</f>
        <v>0</v>
      </c>
      <c r="O26" s="744" t="n">
        <f aca="false">$D11*$D$7</f>
        <v>0</v>
      </c>
      <c r="P26" s="744" t="n">
        <f aca="false">$D11*$D$7</f>
        <v>0</v>
      </c>
      <c r="Q26" s="744" t="n">
        <f aca="false">$D11*$D$7</f>
        <v>0</v>
      </c>
      <c r="R26" s="744" t="n">
        <f aca="false">$D11*$D$7</f>
        <v>0</v>
      </c>
      <c r="S26" s="744" t="n">
        <f aca="false">$D11*$D$7</f>
        <v>0</v>
      </c>
      <c r="T26" s="744" t="n">
        <f aca="false">$D11*$D$7</f>
        <v>0</v>
      </c>
      <c r="U26" s="744" t="n">
        <f aca="false">$D11*$D$7</f>
        <v>0</v>
      </c>
      <c r="V26" s="744" t="n">
        <f aca="false">$D11*$D$7</f>
        <v>0</v>
      </c>
      <c r="W26" s="158"/>
    </row>
    <row r="27" customFormat="false" ht="13.5" hidden="false" customHeight="false" outlineLevel="0" collapsed="false">
      <c r="A27" s="394" t="s">
        <v>1335</v>
      </c>
      <c r="B27" s="744" t="n">
        <f aca="false">IF(B22="M",$D$7*($D12*12),0)</f>
        <v>0</v>
      </c>
      <c r="C27" s="744" t="n">
        <f aca="false">IF(C22="M",$D$7*($D12*12),0)</f>
        <v>0</v>
      </c>
      <c r="D27" s="744" t="n">
        <f aca="false">IF(D22="M",$D$7*($D12*12),0)</f>
        <v>0</v>
      </c>
      <c r="E27" s="744" t="n">
        <f aca="false">IF(E22="M",$D$7*($D12*12),0)</f>
        <v>0</v>
      </c>
      <c r="F27" s="744" t="n">
        <f aca="false">IF(F22="M",$D$7*($D12*12),0)</f>
        <v>0</v>
      </c>
      <c r="G27" s="744" t="n">
        <f aca="false">IF(G22="M",$D$7*($D12*12),0)</f>
        <v>0</v>
      </c>
      <c r="H27" s="744" t="n">
        <f aca="false">IF(H22="M",$D$7*($D12*12),0)</f>
        <v>2007600</v>
      </c>
      <c r="I27" s="744" t="n">
        <f aca="false">IF(I22="M",$D$7*($D12*12),0)</f>
        <v>0</v>
      </c>
      <c r="J27" s="744" t="n">
        <f aca="false">IF(J22="M",$D$7*($D12*12),0)</f>
        <v>0</v>
      </c>
      <c r="K27" s="744" t="n">
        <f aca="false">IF(K22="M",$D$7*($D12*12),0)</f>
        <v>0</v>
      </c>
      <c r="L27" s="744" t="n">
        <f aca="false">IF(L22="M",$D$7*($D12*12),0)</f>
        <v>0</v>
      </c>
      <c r="M27" s="744" t="n">
        <f aca="false">IF(M22="M",$D$7*($D12*12),0)</f>
        <v>0</v>
      </c>
      <c r="N27" s="744" t="n">
        <f aca="false">IF(N22="M",$D$7*($D12*12),0)</f>
        <v>2007600</v>
      </c>
      <c r="O27" s="744" t="n">
        <f aca="false">IF(O22="M",$D$7*($D12*12),0)</f>
        <v>0</v>
      </c>
      <c r="P27" s="744" t="n">
        <f aca="false">IF(P22="M",$D$7*($D12*12),0)</f>
        <v>0</v>
      </c>
      <c r="Q27" s="744" t="n">
        <f aca="false">IF(Q22="M",$D$7*($D12*12),0)</f>
        <v>0</v>
      </c>
      <c r="R27" s="744" t="n">
        <f aca="false">IF(R22="M",$D$7*($D12*12),0)</f>
        <v>0</v>
      </c>
      <c r="S27" s="744" t="n">
        <f aca="false">IF(S22="M",$D$7*($D12*12),0)</f>
        <v>0</v>
      </c>
      <c r="T27" s="744" t="n">
        <f aca="false">IF(T22="M",$D$7*($D12*12),0)</f>
        <v>2007600</v>
      </c>
      <c r="U27" s="744" t="n">
        <f aca="false">IF(U22="M",$D$7*($D12*12),0)</f>
        <v>0</v>
      </c>
      <c r="V27" s="744" t="n">
        <f aca="false">IF(V22="M",$D$7*($D12*12),0)</f>
        <v>0</v>
      </c>
      <c r="W27" s="158"/>
    </row>
    <row r="28" customFormat="false" ht="16.5" hidden="false" customHeight="false" outlineLevel="0" collapsed="false">
      <c r="A28" s="745" t="s">
        <v>1336</v>
      </c>
      <c r="B28" s="746" t="n">
        <f aca="false">SUM(B23:B27)</f>
        <v>0</v>
      </c>
      <c r="C28" s="746" t="n">
        <f aca="false">SUM(C23:C27)</f>
        <v>0</v>
      </c>
      <c r="D28" s="746" t="n">
        <f aca="false">SUM(D23:D27)</f>
        <v>0</v>
      </c>
      <c r="E28" s="746" t="n">
        <f aca="false">SUM(E23:E27)</f>
        <v>2856000</v>
      </c>
      <c r="F28" s="746" t="n">
        <f aca="false">SUM(F23:F27)</f>
        <v>0</v>
      </c>
      <c r="G28" s="746" t="n">
        <f aca="false">SUM(G23:G27)</f>
        <v>0</v>
      </c>
      <c r="H28" s="746" t="n">
        <f aca="false">SUM(H23:H27)</f>
        <v>8057600</v>
      </c>
      <c r="I28" s="746" t="n">
        <f aca="false">SUM(I23:I27)</f>
        <v>0</v>
      </c>
      <c r="J28" s="746" t="n">
        <f aca="false">SUM(J23:J27)</f>
        <v>0</v>
      </c>
      <c r="K28" s="746" t="n">
        <f aca="false">SUM(K23:K27)</f>
        <v>2856000</v>
      </c>
      <c r="L28" s="746" t="n">
        <f aca="false">SUM(L23:L27)</f>
        <v>0</v>
      </c>
      <c r="M28" s="746" t="n">
        <f aca="false">SUM(M23:M27)</f>
        <v>0</v>
      </c>
      <c r="N28" s="746" t="n">
        <f aca="false">SUM(N23:N27)</f>
        <v>8057600</v>
      </c>
      <c r="O28" s="746" t="n">
        <f aca="false">SUM(O23:O27)</f>
        <v>0</v>
      </c>
      <c r="P28" s="746" t="n">
        <f aca="false">SUM(P23:P27)</f>
        <v>0</v>
      </c>
      <c r="Q28" s="746" t="n">
        <f aca="false">SUM(Q23:Q27)</f>
        <v>2856000</v>
      </c>
      <c r="R28" s="746" t="n">
        <f aca="false">SUM(R23:R27)</f>
        <v>0</v>
      </c>
      <c r="S28" s="746" t="n">
        <f aca="false">SUM(S23:S27)</f>
        <v>0</v>
      </c>
      <c r="T28" s="746" t="n">
        <f aca="false">SUM(T23:T27)</f>
        <v>8057600</v>
      </c>
      <c r="U28" s="746" t="n">
        <f aca="false">SUM(U23:U27)</f>
        <v>0</v>
      </c>
      <c r="V28" s="746" t="n">
        <f aca="false">SUM(V23:V27)</f>
        <v>0</v>
      </c>
      <c r="W28" s="747" t="n">
        <f aca="false">SUM(B28:V28)</f>
        <v>32740800</v>
      </c>
    </row>
    <row r="29" customFormat="false" ht="15.75" hidden="false" customHeight="false" outlineLevel="0" collapsed="false">
      <c r="A29" s="748"/>
      <c r="B29" s="746"/>
      <c r="C29" s="746"/>
      <c r="D29" s="746"/>
      <c r="E29" s="746"/>
      <c r="F29" s="746"/>
      <c r="G29" s="746"/>
      <c r="H29" s="746"/>
      <c r="I29" s="746"/>
      <c r="J29" s="746"/>
      <c r="K29" s="746"/>
      <c r="L29" s="746"/>
      <c r="M29" s="746"/>
      <c r="N29" s="746"/>
      <c r="O29" s="746"/>
      <c r="P29" s="746"/>
      <c r="Q29" s="746"/>
      <c r="R29" s="746"/>
      <c r="S29" s="746"/>
      <c r="T29" s="746"/>
      <c r="U29" s="746"/>
      <c r="V29" s="746"/>
      <c r="W29" s="398"/>
    </row>
    <row r="30" customFormat="false" ht="12.75" hidden="false" customHeight="false" outlineLevel="0" collapsed="false">
      <c r="A30" s="394" t="s">
        <v>1337</v>
      </c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8"/>
    </row>
    <row r="31" customFormat="false" ht="12.75" hidden="false" customHeight="false" outlineLevel="0" collapsed="false">
      <c r="A31" s="394" t="s">
        <v>1338</v>
      </c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8"/>
    </row>
    <row r="32" customFormat="false" ht="12.75" hidden="false" customHeight="false" outlineLevel="0" collapsed="false">
      <c r="A32" s="394" t="s">
        <v>1339</v>
      </c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8"/>
    </row>
    <row r="33" customFormat="false" ht="13.5" hidden="false" customHeight="false" outlineLevel="0" collapsed="false">
      <c r="A33" s="724" t="s">
        <v>1340</v>
      </c>
      <c r="B33" s="699"/>
      <c r="C33" s="699"/>
      <c r="D33" s="699"/>
      <c r="E33" s="699"/>
      <c r="F33" s="699"/>
      <c r="G33" s="699"/>
      <c r="H33" s="699"/>
      <c r="I33" s="699"/>
      <c r="J33" s="699"/>
      <c r="K33" s="699"/>
      <c r="L33" s="699"/>
      <c r="M33" s="699"/>
      <c r="N33" s="699"/>
      <c r="O33" s="699"/>
      <c r="P33" s="699"/>
      <c r="Q33" s="699"/>
      <c r="R33" s="699"/>
      <c r="S33" s="699"/>
      <c r="T33" s="699"/>
      <c r="U33" s="699"/>
      <c r="V33" s="699"/>
      <c r="W33" s="725"/>
    </row>
    <row r="34" customFormat="false" ht="12.75" hidden="false" customHeight="false" outlineLevel="0" collapsed="false">
      <c r="A34" s="157"/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</row>
    <row r="35" customFormat="false" ht="13.5" hidden="true" customHeight="false" outlineLevel="0" collapsed="false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</row>
    <row r="36" customFormat="false" ht="18.75" hidden="true" customHeight="false" outlineLevel="0" collapsed="false">
      <c r="A36" s="715" t="s">
        <v>1341</v>
      </c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157"/>
      <c r="M36" s="157"/>
    </row>
    <row r="37" customFormat="false" ht="18.75" hidden="true" customHeight="false" outlineLevel="0" collapsed="false">
      <c r="A37" s="718" t="s">
        <v>1297</v>
      </c>
      <c r="B37" s="157"/>
      <c r="C37" s="157"/>
      <c r="D37" s="157"/>
      <c r="E37" s="157"/>
      <c r="F37" s="749" t="s">
        <v>1298</v>
      </c>
      <c r="G37" s="749"/>
      <c r="H37" s="750" t="n">
        <v>20</v>
      </c>
      <c r="I37" s="751" t="s">
        <v>1299</v>
      </c>
      <c r="J37" s="157"/>
      <c r="K37" s="158"/>
    </row>
    <row r="38" customFormat="false" ht="18" hidden="true" customHeight="false" outlineLevel="0" collapsed="false">
      <c r="A38" s="718" t="s">
        <v>1342</v>
      </c>
      <c r="B38" s="157"/>
      <c r="C38" s="157"/>
      <c r="D38" s="157"/>
      <c r="E38" s="157"/>
      <c r="F38" s="157"/>
      <c r="G38" s="157"/>
      <c r="H38" s="719" t="n">
        <f aca="false">V62</f>
        <v>28438800</v>
      </c>
      <c r="I38" s="720" t="s">
        <v>1301</v>
      </c>
      <c r="J38" s="157"/>
      <c r="K38" s="158"/>
    </row>
    <row r="39" customFormat="false" ht="18.75" hidden="true" customHeight="false" outlineLevel="0" collapsed="false">
      <c r="A39" s="394"/>
      <c r="B39" s="157"/>
      <c r="C39" s="157"/>
      <c r="D39" s="157"/>
      <c r="E39" s="157"/>
      <c r="F39" s="157"/>
      <c r="G39" s="157"/>
      <c r="H39" s="719" t="n">
        <f aca="false">H38/$D$7</f>
        <v>14219400</v>
      </c>
      <c r="I39" s="720" t="s">
        <v>1302</v>
      </c>
      <c r="J39" s="157"/>
      <c r="K39" s="158"/>
    </row>
    <row r="40" customFormat="false" ht="18.75" hidden="true" customHeight="false" outlineLevel="0" collapsed="false">
      <c r="A40" s="718" t="s">
        <v>1303</v>
      </c>
      <c r="B40" s="721"/>
      <c r="C40" s="721"/>
      <c r="D40" s="715" t="n">
        <v>1</v>
      </c>
      <c r="E40" s="157"/>
      <c r="F40" s="157"/>
      <c r="G40" s="157"/>
      <c r="H40" s="719" t="n">
        <f aca="false">H39/H37</f>
        <v>710970</v>
      </c>
      <c r="I40" s="720" t="s">
        <v>1304</v>
      </c>
      <c r="J40" s="157"/>
      <c r="K40" s="158"/>
    </row>
    <row r="41" customFormat="false" ht="18.75" hidden="true" customHeight="false" outlineLevel="0" collapsed="false">
      <c r="A41" s="394"/>
      <c r="B41" s="157"/>
      <c r="C41" s="157"/>
      <c r="D41" s="157"/>
      <c r="E41" s="157"/>
      <c r="F41" s="157"/>
      <c r="G41" s="157"/>
      <c r="H41" s="752" t="n">
        <f aca="false">H40/C52</f>
        <v>88.87125</v>
      </c>
      <c r="I41" s="720" t="s">
        <v>1305</v>
      </c>
      <c r="J41" s="157"/>
      <c r="K41" s="158"/>
    </row>
    <row r="42" customFormat="false" ht="13.5" hidden="true" customHeight="false" outlineLevel="0" collapsed="false">
      <c r="A42" s="394"/>
      <c r="B42" s="157"/>
      <c r="C42" s="157"/>
      <c r="D42" s="157"/>
      <c r="E42" s="157"/>
      <c r="F42" s="157"/>
      <c r="G42" s="157"/>
      <c r="H42" s="157"/>
      <c r="I42" s="157"/>
      <c r="J42" s="157"/>
      <c r="K42" s="158"/>
    </row>
    <row r="43" customFormat="false" ht="15.75" hidden="true" customHeight="false" outlineLevel="0" collapsed="false">
      <c r="A43" s="753"/>
      <c r="B43" s="728"/>
      <c r="C43" s="728"/>
      <c r="D43" s="754" t="s">
        <v>1306</v>
      </c>
      <c r="E43" s="728"/>
      <c r="F43" s="728"/>
      <c r="G43" s="728"/>
      <c r="H43" s="728"/>
      <c r="I43" s="728"/>
      <c r="J43" s="728"/>
      <c r="K43" s="728"/>
      <c r="L43" s="673"/>
      <c r="M43" s="728"/>
      <c r="N43" s="728"/>
      <c r="O43" s="728"/>
      <c r="P43" s="728"/>
      <c r="Q43" s="728"/>
      <c r="R43" s="728"/>
      <c r="S43" s="728"/>
      <c r="T43" s="728"/>
      <c r="U43" s="728"/>
      <c r="V43" s="673"/>
      <c r="W43" s="717"/>
    </row>
    <row r="44" customFormat="false" ht="12.75" hidden="true" customHeight="false" outlineLevel="0" collapsed="false">
      <c r="A44" s="729" t="s">
        <v>1307</v>
      </c>
      <c r="B44" s="730"/>
      <c r="C44" s="731"/>
      <c r="D44" s="732" t="n">
        <v>0</v>
      </c>
      <c r="E44" s="733" t="s">
        <v>1308</v>
      </c>
      <c r="F44" s="726"/>
      <c r="G44" s="726"/>
      <c r="H44" s="734" t="s">
        <v>1309</v>
      </c>
      <c r="I44" s="734"/>
      <c r="J44" s="726"/>
      <c r="K44" s="726"/>
      <c r="L44" s="157"/>
      <c r="M44" s="726"/>
      <c r="N44" s="726"/>
      <c r="O44" s="726"/>
      <c r="P44" s="726"/>
      <c r="Q44" s="726"/>
      <c r="R44" s="726"/>
      <c r="S44" s="726"/>
      <c r="T44" s="726"/>
      <c r="U44" s="726"/>
      <c r="V44" s="157"/>
      <c r="W44" s="158"/>
    </row>
    <row r="45" customFormat="false" ht="12.75" hidden="true" customHeight="false" outlineLevel="0" collapsed="false">
      <c r="A45" s="729" t="s">
        <v>1310</v>
      </c>
      <c r="B45" s="730"/>
      <c r="C45" s="731"/>
      <c r="D45" s="732" t="n">
        <v>23900</v>
      </c>
      <c r="E45" s="735" t="s">
        <v>1311</v>
      </c>
      <c r="F45" s="726"/>
      <c r="G45" s="726"/>
      <c r="H45" s="734" t="s">
        <v>1343</v>
      </c>
      <c r="I45" s="157"/>
      <c r="J45" s="726"/>
      <c r="K45" s="726"/>
      <c r="L45" s="157"/>
      <c r="M45" s="726"/>
      <c r="N45" s="726"/>
      <c r="O45" s="726"/>
      <c r="P45" s="726"/>
      <c r="Q45" s="726"/>
      <c r="R45" s="726"/>
      <c r="S45" s="726"/>
      <c r="T45" s="726"/>
      <c r="U45" s="726"/>
      <c r="V45" s="157"/>
      <c r="W45" s="158"/>
    </row>
    <row r="46" customFormat="false" ht="12.75" hidden="true" customHeight="false" outlineLevel="0" collapsed="false">
      <c r="A46" s="729" t="s">
        <v>1313</v>
      </c>
      <c r="B46" s="730"/>
      <c r="C46" s="731"/>
      <c r="D46" s="732" t="n">
        <v>0</v>
      </c>
      <c r="E46" s="735" t="s">
        <v>1314</v>
      </c>
      <c r="F46" s="726"/>
      <c r="G46" s="726"/>
      <c r="H46" s="734" t="s">
        <v>1315</v>
      </c>
      <c r="I46" s="734"/>
      <c r="J46" s="726"/>
      <c r="K46" s="726"/>
      <c r="L46" s="157"/>
      <c r="M46" s="726"/>
      <c r="N46" s="726"/>
      <c r="O46" s="726"/>
      <c r="P46" s="726"/>
      <c r="Q46" s="726"/>
      <c r="R46" s="726"/>
      <c r="S46" s="726"/>
      <c r="T46" s="726"/>
      <c r="U46" s="726"/>
      <c r="V46" s="157"/>
      <c r="W46" s="158"/>
    </row>
    <row r="47" customFormat="false" ht="12.75" hidden="true" customHeight="false" outlineLevel="0" collapsed="false">
      <c r="A47" s="729" t="s">
        <v>1316</v>
      </c>
      <c r="B47" s="730"/>
      <c r="C47" s="731"/>
      <c r="D47" s="732" t="n">
        <v>1403000</v>
      </c>
      <c r="E47" s="735" t="s">
        <v>1317</v>
      </c>
      <c r="F47" s="734" t="s">
        <v>1344</v>
      </c>
      <c r="G47" s="726"/>
      <c r="H47" s="734" t="s">
        <v>1319</v>
      </c>
      <c r="I47" s="157"/>
      <c r="J47" s="726"/>
      <c r="K47" s="726"/>
      <c r="L47" s="157"/>
      <c r="M47" s="726"/>
      <c r="N47" s="726"/>
      <c r="O47" s="726"/>
      <c r="P47" s="726"/>
      <c r="Q47" s="726"/>
      <c r="R47" s="726"/>
      <c r="S47" s="726"/>
      <c r="T47" s="726"/>
      <c r="U47" s="726"/>
      <c r="V47" s="157"/>
      <c r="W47" s="158"/>
    </row>
    <row r="48" customFormat="false" ht="12.75" hidden="true" customHeight="false" outlineLevel="0" collapsed="false">
      <c r="A48" s="729" t="s">
        <v>1320</v>
      </c>
      <c r="B48" s="730"/>
      <c r="C48" s="731"/>
      <c r="D48" s="732" t="n">
        <v>3000000</v>
      </c>
      <c r="E48" s="735" t="s">
        <v>1317</v>
      </c>
      <c r="F48" s="726"/>
      <c r="G48" s="726"/>
      <c r="H48" s="734" t="s">
        <v>1321</v>
      </c>
      <c r="I48" s="157"/>
      <c r="J48" s="726"/>
      <c r="K48" s="726"/>
      <c r="L48" s="157"/>
      <c r="M48" s="726"/>
      <c r="N48" s="726"/>
      <c r="O48" s="726"/>
      <c r="P48" s="726"/>
      <c r="Q48" s="726"/>
      <c r="R48" s="726"/>
      <c r="S48" s="726"/>
      <c r="T48" s="726"/>
      <c r="U48" s="726"/>
      <c r="V48" s="157"/>
      <c r="W48" s="158"/>
    </row>
    <row r="49" customFormat="false" ht="12.75" hidden="true" customHeight="false" outlineLevel="0" collapsed="false">
      <c r="A49" s="729" t="s">
        <v>1322</v>
      </c>
      <c r="B49" s="730"/>
      <c r="C49" s="731"/>
      <c r="D49" s="736" t="n">
        <v>25000</v>
      </c>
      <c r="E49" s="737"/>
      <c r="F49" s="726"/>
      <c r="G49" s="726"/>
      <c r="H49" s="734" t="s">
        <v>1323</v>
      </c>
      <c r="I49" s="726"/>
      <c r="J49" s="726"/>
      <c r="K49" s="726"/>
      <c r="L49" s="157"/>
      <c r="M49" s="726"/>
      <c r="N49" s="726"/>
      <c r="O49" s="726"/>
      <c r="P49" s="726"/>
      <c r="Q49" s="726"/>
      <c r="R49" s="726"/>
      <c r="S49" s="726"/>
      <c r="T49" s="726"/>
      <c r="U49" s="726"/>
      <c r="V49" s="157"/>
      <c r="W49" s="158"/>
    </row>
    <row r="50" customFormat="false" ht="12.75" hidden="true" customHeight="false" outlineLevel="0" collapsed="false">
      <c r="A50" s="729" t="s">
        <v>1324</v>
      </c>
      <c r="B50" s="730"/>
      <c r="C50" s="731"/>
      <c r="D50" s="736" t="n">
        <v>25000</v>
      </c>
      <c r="E50" s="737"/>
      <c r="F50" s="726"/>
      <c r="G50" s="726"/>
      <c r="H50" s="734" t="s">
        <v>1323</v>
      </c>
      <c r="I50" s="726"/>
      <c r="J50" s="726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8"/>
    </row>
    <row r="51" customFormat="false" ht="12.75" hidden="true" customHeight="false" outlineLevel="0" collapsed="false">
      <c r="A51" s="394"/>
      <c r="B51" s="726"/>
      <c r="C51" s="726"/>
      <c r="D51" s="726"/>
      <c r="E51" s="726"/>
      <c r="F51" s="726"/>
      <c r="G51" s="726"/>
      <c r="H51" s="726"/>
      <c r="I51" s="726"/>
      <c r="J51" s="726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8"/>
    </row>
    <row r="52" customFormat="false" ht="12.75" hidden="true" customHeight="false" outlineLevel="0" collapsed="false">
      <c r="A52" s="738" t="s">
        <v>1325</v>
      </c>
      <c r="B52" s="739"/>
      <c r="C52" s="755" t="n">
        <v>8000</v>
      </c>
      <c r="D52" s="741" t="s">
        <v>1326</v>
      </c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8"/>
    </row>
    <row r="53" customFormat="false" ht="12.75" hidden="true" customHeight="false" outlineLevel="0" collapsed="false">
      <c r="A53" s="394" t="s">
        <v>1327</v>
      </c>
      <c r="B53" s="742" t="n">
        <v>0</v>
      </c>
      <c r="C53" s="742" t="n">
        <v>1</v>
      </c>
      <c r="D53" s="742" t="n">
        <v>2</v>
      </c>
      <c r="E53" s="742" t="n">
        <v>3</v>
      </c>
      <c r="F53" s="742" t="n">
        <v>4</v>
      </c>
      <c r="G53" s="742" t="n">
        <v>5</v>
      </c>
      <c r="H53" s="742" t="n">
        <v>6</v>
      </c>
      <c r="I53" s="742" t="n">
        <v>7</v>
      </c>
      <c r="J53" s="742" t="n">
        <v>8</v>
      </c>
      <c r="K53" s="742" t="n">
        <v>9</v>
      </c>
      <c r="L53" s="742" t="n">
        <v>10</v>
      </c>
      <c r="M53" s="742" t="n">
        <v>11</v>
      </c>
      <c r="N53" s="742" t="n">
        <v>12</v>
      </c>
      <c r="O53" s="742" t="n">
        <v>13</v>
      </c>
      <c r="P53" s="742" t="n">
        <v>14</v>
      </c>
      <c r="Q53" s="742" t="n">
        <v>15</v>
      </c>
      <c r="R53" s="742" t="n">
        <v>16</v>
      </c>
      <c r="S53" s="742" t="n">
        <v>17</v>
      </c>
      <c r="T53" s="742" t="n">
        <v>18</v>
      </c>
      <c r="U53" s="742" t="n">
        <v>19</v>
      </c>
      <c r="V53" s="742" t="n">
        <v>20</v>
      </c>
      <c r="W53" s="158"/>
    </row>
    <row r="54" customFormat="false" ht="12.75" hidden="true" customHeight="false" outlineLevel="0" collapsed="false">
      <c r="A54" s="394" t="s">
        <v>1328</v>
      </c>
      <c r="B54" s="743"/>
      <c r="C54" s="743" t="n">
        <f aca="false">$C52</f>
        <v>8000</v>
      </c>
      <c r="D54" s="743" t="n">
        <f aca="false">C54+$C52</f>
        <v>16000</v>
      </c>
      <c r="E54" s="743" t="n">
        <f aca="false">D54+$C52</f>
        <v>24000</v>
      </c>
      <c r="F54" s="743" t="n">
        <f aca="false">E54+$C52</f>
        <v>32000</v>
      </c>
      <c r="G54" s="743" t="n">
        <f aca="false">F54+$C52</f>
        <v>40000</v>
      </c>
      <c r="H54" s="743" t="n">
        <f aca="false">G54+$C52</f>
        <v>48000</v>
      </c>
      <c r="I54" s="743" t="n">
        <f aca="false">H54+$C52</f>
        <v>56000</v>
      </c>
      <c r="J54" s="743" t="n">
        <f aca="false">I54+$C52</f>
        <v>64000</v>
      </c>
      <c r="K54" s="743" t="n">
        <f aca="false">J54+$C52</f>
        <v>72000</v>
      </c>
      <c r="L54" s="743" t="n">
        <f aca="false">K54+$C52</f>
        <v>80000</v>
      </c>
      <c r="M54" s="743" t="n">
        <f aca="false">L54+$C52</f>
        <v>88000</v>
      </c>
      <c r="N54" s="743" t="n">
        <f aca="false">M54+$C52</f>
        <v>96000</v>
      </c>
      <c r="O54" s="743" t="n">
        <f aca="false">N54+$C52</f>
        <v>104000</v>
      </c>
      <c r="P54" s="743" t="n">
        <f aca="false">O54+$C52</f>
        <v>112000</v>
      </c>
      <c r="Q54" s="743" t="n">
        <f aca="false">P54+$C52</f>
        <v>120000</v>
      </c>
      <c r="R54" s="743" t="n">
        <f aca="false">Q54+$C52</f>
        <v>128000</v>
      </c>
      <c r="S54" s="743" t="n">
        <f aca="false">R54+$C52</f>
        <v>136000</v>
      </c>
      <c r="T54" s="743" t="n">
        <f aca="false">S54+$C52</f>
        <v>144000</v>
      </c>
      <c r="U54" s="743" t="n">
        <f aca="false">T54+$C52</f>
        <v>152000</v>
      </c>
      <c r="V54" s="743" t="n">
        <f aca="false">U54+$C52</f>
        <v>160000</v>
      </c>
      <c r="W54" s="158"/>
    </row>
    <row r="55" customFormat="false" ht="12.75" hidden="true" customHeight="false" outlineLevel="0" collapsed="false">
      <c r="A55" s="394" t="s">
        <v>1345</v>
      </c>
      <c r="B55" s="742"/>
      <c r="C55" s="742"/>
      <c r="D55" s="742"/>
      <c r="E55" s="742" t="s">
        <v>1346</v>
      </c>
      <c r="F55" s="742"/>
      <c r="G55" s="742"/>
      <c r="H55" s="742" t="s">
        <v>1347</v>
      </c>
      <c r="I55" s="742"/>
      <c r="J55" s="742"/>
      <c r="K55" s="742"/>
      <c r="L55" s="742" t="s">
        <v>1346</v>
      </c>
      <c r="M55" s="742"/>
      <c r="N55" s="742" t="s">
        <v>1347</v>
      </c>
      <c r="O55" s="742"/>
      <c r="P55" s="742"/>
      <c r="Q55" s="742" t="s">
        <v>1346</v>
      </c>
      <c r="R55" s="742"/>
      <c r="S55" s="742"/>
      <c r="T55" s="742" t="s">
        <v>1347</v>
      </c>
      <c r="U55" s="742"/>
      <c r="V55" s="742"/>
      <c r="W55" s="158"/>
    </row>
    <row r="56" customFormat="false" ht="12.75" hidden="true" customHeight="false" outlineLevel="0" collapsed="false">
      <c r="A56" s="394" t="s">
        <v>1348</v>
      </c>
      <c r="B56" s="744" t="n">
        <f aca="false">IF(B55="H",$D$7*$D47,IF(B55="M",$D$7*$D48,0))</f>
        <v>0</v>
      </c>
      <c r="C56" s="744" t="n">
        <f aca="false">IF(C55="H",$D$7*$D47,IF(C55="M",$D$7*$D48,0))</f>
        <v>0</v>
      </c>
      <c r="D56" s="744" t="n">
        <f aca="false">IF(D55="H",$D$7*$D47,IF(D55="M",$D$7*$D48,0))</f>
        <v>0</v>
      </c>
      <c r="E56" s="744" t="n">
        <f aca="false">IF(E55="H",$D$7*$D47,IF(E55="M",$D$7*$D48,0))</f>
        <v>2806000</v>
      </c>
      <c r="F56" s="744" t="n">
        <f aca="false">IF(F55="H",$D$7*$D47,IF(F55="M",$D$7*$D48,0))</f>
        <v>0</v>
      </c>
      <c r="G56" s="744" t="n">
        <f aca="false">IF(G55="H",$D$7*$D47,IF(G55="M",$D$7*$D48,0))</f>
        <v>0</v>
      </c>
      <c r="H56" s="744" t="n">
        <f aca="false">IF(H55="H",$D$7*$D47,IF(H55="M",$D$7*$D48,0))</f>
        <v>6000000</v>
      </c>
      <c r="I56" s="744" t="n">
        <f aca="false">IF(I55="H",$D$7*$D47,IF(I55="M",$D$7*$D48,0))</f>
        <v>0</v>
      </c>
      <c r="J56" s="744" t="n">
        <f aca="false">IF(J55="H",$D$7*$D47,IF(J55="M",$D$7*$D48,0))</f>
        <v>0</v>
      </c>
      <c r="K56" s="744" t="n">
        <f aca="false">IF(K55="H",$D$7*$D47,IF(K55="M",$D$7*$D48,0))</f>
        <v>0</v>
      </c>
      <c r="L56" s="744" t="n">
        <f aca="false">IF(L55="H",$D$7*$D47,IF(L55="M",$D$7*$D48,0))</f>
        <v>2806000</v>
      </c>
      <c r="M56" s="744" t="n">
        <f aca="false">IF(M55="H",$D$7*$D47,IF(M55="M",$D$7*$D48,0))</f>
        <v>0</v>
      </c>
      <c r="N56" s="744" t="n">
        <f aca="false">IF(N55="H",$D$7*$D47,IF(N55="M",$D$7*$D48,0))</f>
        <v>6000000</v>
      </c>
      <c r="O56" s="744" t="n">
        <f aca="false">IF(O55="H",$D$7*$D47,IF(O55="M",$D$7*$D48,0))</f>
        <v>0</v>
      </c>
      <c r="P56" s="744" t="n">
        <f aca="false">IF(P55="H",$D$7*$D47,IF(P55="M",$D$7*$D48,0))</f>
        <v>0</v>
      </c>
      <c r="Q56" s="744" t="n">
        <f aca="false">IF(Q55="H",$D$7*$D47,IF(Q55="M",$D$7*$D48,0))</f>
        <v>2806000</v>
      </c>
      <c r="R56" s="744" t="n">
        <f aca="false">IF(R55="H",$D$7*$D47,IF(R55="M",$D$7*$D48,0))</f>
        <v>0</v>
      </c>
      <c r="S56" s="744" t="n">
        <f aca="false">IF(S55="H",$D$7*$D47,IF(S55="M",$D$7*$D48,0))</f>
        <v>0</v>
      </c>
      <c r="T56" s="744" t="n">
        <f aca="false">IF(T55="H",$D$7*$D47,IF(T55="M",$D$7*$D48,0))</f>
        <v>6000000</v>
      </c>
      <c r="U56" s="744" t="n">
        <f aca="false">IF(U55="H",$D$7*$D47,IF(U55="M",$D$7*$D48,0))</f>
        <v>0</v>
      </c>
      <c r="V56" s="744" t="n">
        <f aca="false">IF(V55="H",$D$7*$D47,IF(V55="M",$D$7*$D48,0))</f>
        <v>0</v>
      </c>
      <c r="W56" s="158"/>
    </row>
    <row r="57" customFormat="false" ht="12.75" hidden="true" customHeight="false" outlineLevel="0" collapsed="false">
      <c r="A57" s="394" t="s">
        <v>1333</v>
      </c>
      <c r="B57" s="744"/>
      <c r="C57" s="744" t="n">
        <f aca="false">$D46*$D$7</f>
        <v>0</v>
      </c>
      <c r="D57" s="744" t="n">
        <f aca="false">$D46*$D$7</f>
        <v>0</v>
      </c>
      <c r="E57" s="744" t="n">
        <f aca="false">$D46*$D$7</f>
        <v>0</v>
      </c>
      <c r="F57" s="744" t="n">
        <f aca="false">$D46*$D$7</f>
        <v>0</v>
      </c>
      <c r="G57" s="744" t="n">
        <f aca="false">$D46*$D$7</f>
        <v>0</v>
      </c>
      <c r="H57" s="744" t="n">
        <f aca="false">$D46*$D$7</f>
        <v>0</v>
      </c>
      <c r="I57" s="744" t="n">
        <f aca="false">$D46*$D$7</f>
        <v>0</v>
      </c>
      <c r="J57" s="744" t="n">
        <f aca="false">$D46*$D$7</f>
        <v>0</v>
      </c>
      <c r="K57" s="744" t="n">
        <f aca="false">$D46*$D$7</f>
        <v>0</v>
      </c>
      <c r="L57" s="744" t="n">
        <f aca="false">$D46*$D$7</f>
        <v>0</v>
      </c>
      <c r="M57" s="744" t="n">
        <f aca="false">$D46*$D$7</f>
        <v>0</v>
      </c>
      <c r="N57" s="744" t="n">
        <f aca="false">$D46*$D$7</f>
        <v>0</v>
      </c>
      <c r="O57" s="744" t="n">
        <f aca="false">$D46*$D$7</f>
        <v>0</v>
      </c>
      <c r="P57" s="744" t="n">
        <f aca="false">$D46*$D$7</f>
        <v>0</v>
      </c>
      <c r="Q57" s="744" t="n">
        <f aca="false">$D46*$D$7</f>
        <v>0</v>
      </c>
      <c r="R57" s="744" t="n">
        <f aca="false">$D46*$D$7</f>
        <v>0</v>
      </c>
      <c r="S57" s="744" t="n">
        <f aca="false">$D46*$D$7</f>
        <v>0</v>
      </c>
      <c r="T57" s="744" t="n">
        <f aca="false">$D46*$D$7</f>
        <v>0</v>
      </c>
      <c r="U57" s="744" t="n">
        <f aca="false">$D46*$D$7</f>
        <v>0</v>
      </c>
      <c r="V57" s="744" t="n">
        <f aca="false">$D46*$D$7</f>
        <v>0</v>
      </c>
      <c r="W57" s="158"/>
    </row>
    <row r="58" customFormat="false" ht="12.75" hidden="true" customHeight="false" outlineLevel="0" collapsed="false">
      <c r="A58" s="394" t="s">
        <v>1117</v>
      </c>
      <c r="B58" s="744" t="n">
        <f aca="false">IF(B55="H",$D49*$D$7,IF(B55="M",$D50*$D$7,0))</f>
        <v>0</v>
      </c>
      <c r="C58" s="744" t="n">
        <f aca="false">IF(C55="H",$D49*$D$7,IF(C55="M",$D50*$D$7,0))</f>
        <v>0</v>
      </c>
      <c r="D58" s="744" t="n">
        <f aca="false">IF(D55="H",$D49*$D$7,IF(D55="M",$D50*$D$7,0))</f>
        <v>0</v>
      </c>
      <c r="E58" s="744" t="n">
        <f aca="false">IF(E55="H",$D49*$D$7,IF(E55="M",$D50*$D$7,0))</f>
        <v>50000</v>
      </c>
      <c r="F58" s="744" t="n">
        <f aca="false">IF(F55="H",$D49*$D$7,IF(F55="M",$D50*$D$7,0))</f>
        <v>0</v>
      </c>
      <c r="G58" s="744" t="n">
        <f aca="false">IF(G55="H",$D49*$D$7,IF(G55="M",$D50*$D$7,0))</f>
        <v>0</v>
      </c>
      <c r="H58" s="744" t="n">
        <f aca="false">IF(H55="H",$D49*$D$7,IF(H55="M",$D50*$D$7,0))</f>
        <v>50000</v>
      </c>
      <c r="I58" s="744" t="n">
        <f aca="false">IF(I55="H",$D49*$D$7,IF(I55="M",$D50*$D$7,0))</f>
        <v>0</v>
      </c>
      <c r="J58" s="744" t="n">
        <f aca="false">IF(J55="H",$D49*$D$7,IF(J55="M",$D50*$D$7,0))</f>
        <v>0</v>
      </c>
      <c r="K58" s="744" t="n">
        <f aca="false">IF(K55="H",$D49*$D$7,IF(K55="M",$D50*$D$7,0))</f>
        <v>0</v>
      </c>
      <c r="L58" s="744" t="n">
        <f aca="false">IF(L55="H",$D49*$D$7,IF(L55="M",$D50*$D$7,0))</f>
        <v>50000</v>
      </c>
      <c r="M58" s="744" t="n">
        <f aca="false">IF(M55="H",$D49*$D$7,IF(M55="M",$D50*$D$7,0))</f>
        <v>0</v>
      </c>
      <c r="N58" s="744" t="n">
        <f aca="false">IF(N55="H",$D49*$D$7,IF(N55="M",$D50*$D$7,0))</f>
        <v>50000</v>
      </c>
      <c r="O58" s="744" t="n">
        <f aca="false">IF(O55="H",$D49*$D$7,IF(O55="M",$D50*$D$7,0))</f>
        <v>0</v>
      </c>
      <c r="P58" s="744" t="n">
        <f aca="false">IF(P55="H",$D49*$D$7,IF(P55="M",$D50*$D$7,0))</f>
        <v>0</v>
      </c>
      <c r="Q58" s="744" t="n">
        <f aca="false">IF(Q55="H",$D49*$D$7,IF(Q55="M",$D50*$D$7,0))</f>
        <v>50000</v>
      </c>
      <c r="R58" s="744" t="n">
        <f aca="false">IF(R55="H",$D49*$D$7,IF(R55="M",$D50*$D$7,0))</f>
        <v>0</v>
      </c>
      <c r="S58" s="744" t="n">
        <f aca="false">IF(S55="H",$D49*$D$7,IF(S55="M",$D50*$D$7,0))</f>
        <v>0</v>
      </c>
      <c r="T58" s="744" t="n">
        <f aca="false">IF(T55="H",$D49*$D$7,IF(T55="M",$D50*$D$7,0))</f>
        <v>50000</v>
      </c>
      <c r="U58" s="744" t="n">
        <f aca="false">IF(U55="H",$D49*$D$7,IF(U55="M",$D50*$D$7,0))</f>
        <v>0</v>
      </c>
      <c r="V58" s="744" t="n">
        <f aca="false">IF(V55="H",$D49*$D$7,IF(V55="M",$D50*$D$7,0))</f>
        <v>0</v>
      </c>
      <c r="W58" s="158"/>
    </row>
    <row r="59" customFormat="false" ht="12.75" hidden="true" customHeight="false" outlineLevel="0" collapsed="false">
      <c r="A59" s="394" t="s">
        <v>1334</v>
      </c>
      <c r="B59" s="742"/>
      <c r="C59" s="744" t="n">
        <f aca="false">$D44*$D$7</f>
        <v>0</v>
      </c>
      <c r="D59" s="744" t="n">
        <f aca="false">$D44*$D$7</f>
        <v>0</v>
      </c>
      <c r="E59" s="744" t="n">
        <f aca="false">$D44*$D$7</f>
        <v>0</v>
      </c>
      <c r="F59" s="744" t="n">
        <f aca="false">$D44*$D$7</f>
        <v>0</v>
      </c>
      <c r="G59" s="744" t="n">
        <f aca="false">$D44*$D$7</f>
        <v>0</v>
      </c>
      <c r="H59" s="744" t="n">
        <f aca="false">$D44*$D$7</f>
        <v>0</v>
      </c>
      <c r="I59" s="744" t="n">
        <f aca="false">$D44*$D$7</f>
        <v>0</v>
      </c>
      <c r="J59" s="744" t="n">
        <f aca="false">$D44*$D$7</f>
        <v>0</v>
      </c>
      <c r="K59" s="744" t="n">
        <f aca="false">$D44*$D$7</f>
        <v>0</v>
      </c>
      <c r="L59" s="744" t="n">
        <f aca="false">$D44*$D$7</f>
        <v>0</v>
      </c>
      <c r="M59" s="744" t="n">
        <f aca="false">$D44*$D$7</f>
        <v>0</v>
      </c>
      <c r="N59" s="744" t="n">
        <f aca="false">$D44*$D$7</f>
        <v>0</v>
      </c>
      <c r="O59" s="744" t="n">
        <f aca="false">$D44*$D$7</f>
        <v>0</v>
      </c>
      <c r="P59" s="744" t="n">
        <f aca="false">$D44*$D$7</f>
        <v>0</v>
      </c>
      <c r="Q59" s="744" t="n">
        <f aca="false">$D44*$D$7</f>
        <v>0</v>
      </c>
      <c r="R59" s="744" t="n">
        <f aca="false">$D44*$D$7</f>
        <v>0</v>
      </c>
      <c r="S59" s="744" t="n">
        <f aca="false">$D44*$D$7</f>
        <v>0</v>
      </c>
      <c r="T59" s="744" t="n">
        <f aca="false">$D44*$D$7</f>
        <v>0</v>
      </c>
      <c r="U59" s="744" t="n">
        <f aca="false">$D44*$D$7</f>
        <v>0</v>
      </c>
      <c r="V59" s="744" t="n">
        <f aca="false">$D44*$D$7</f>
        <v>0</v>
      </c>
      <c r="W59" s="158"/>
    </row>
    <row r="60" customFormat="false" ht="12.75" hidden="true" customHeight="false" outlineLevel="0" collapsed="false">
      <c r="A60" s="394" t="s">
        <v>1335</v>
      </c>
      <c r="B60" s="744" t="n">
        <f aca="false">IF(B55="M",$D$7*($D45*12),0)</f>
        <v>0</v>
      </c>
      <c r="C60" s="744" t="n">
        <f aca="false">IF(C55="M",$D$7*($D45*12),0)</f>
        <v>0</v>
      </c>
      <c r="D60" s="744" t="n">
        <f aca="false">IF(D55="M",$D$7*($D45*12),0)</f>
        <v>0</v>
      </c>
      <c r="E60" s="744" t="n">
        <f aca="false">IF(E55="M",$D$7*($D45*12),0)</f>
        <v>0</v>
      </c>
      <c r="F60" s="744" t="n">
        <f aca="false">IF(F55="M",$D$7*($D45*12),0)</f>
        <v>0</v>
      </c>
      <c r="G60" s="744" t="n">
        <f aca="false">IF(G55="M",$D$7*($D45*12),0)</f>
        <v>0</v>
      </c>
      <c r="H60" s="744" t="n">
        <f aca="false">IF(H55="M",$D$7*($D45*12),0)</f>
        <v>573600</v>
      </c>
      <c r="I60" s="744" t="n">
        <f aca="false">IF(I55="M",$D$7*($D45*12),0)</f>
        <v>0</v>
      </c>
      <c r="J60" s="744" t="n">
        <f aca="false">IF(J55="M",$D$7*($D45*12),0)</f>
        <v>0</v>
      </c>
      <c r="K60" s="744" t="n">
        <f aca="false">IF(K55="M",$D$7*($D45*12),0)</f>
        <v>0</v>
      </c>
      <c r="L60" s="744" t="n">
        <f aca="false">IF(L55="M",$D$7*($D45*12),0)</f>
        <v>0</v>
      </c>
      <c r="M60" s="744" t="n">
        <f aca="false">IF(M55="M",$D$7*($D45*12),0)</f>
        <v>0</v>
      </c>
      <c r="N60" s="744" t="n">
        <f aca="false">IF(N55="M",$D$7*($D45*12),0)</f>
        <v>573600</v>
      </c>
      <c r="O60" s="744" t="n">
        <f aca="false">IF(O55="M",$D$7*($D45*12),0)</f>
        <v>0</v>
      </c>
      <c r="P60" s="744" t="n">
        <f aca="false">IF(P55="M",$D$7*($D45*12),0)</f>
        <v>0</v>
      </c>
      <c r="Q60" s="744" t="n">
        <f aca="false">IF(Q55="M",$D$7*($D45*12),0)</f>
        <v>0</v>
      </c>
      <c r="R60" s="744" t="n">
        <f aca="false">IF(R55="M",$D$7*($D45*12),0)</f>
        <v>0</v>
      </c>
      <c r="S60" s="744" t="n">
        <f aca="false">IF(S55="M",$D$7*($D45*12),0)</f>
        <v>0</v>
      </c>
      <c r="T60" s="744" t="n">
        <f aca="false">IF(T55="M",$D$7*($D45*12),0)</f>
        <v>573600</v>
      </c>
      <c r="U60" s="744" t="n">
        <f aca="false">IF(U55="M",$D$7*($D45*12),0)</f>
        <v>0</v>
      </c>
      <c r="V60" s="744" t="n">
        <f aca="false">IF(V55="M",$D$7*($D45*12),0)</f>
        <v>0</v>
      </c>
      <c r="W60" s="158"/>
    </row>
    <row r="61" customFormat="false" ht="15.75" hidden="true" customHeight="false" outlineLevel="0" collapsed="false">
      <c r="A61" s="394"/>
      <c r="B61" s="746" t="n">
        <f aca="false">SUM(B56:B60)</f>
        <v>0</v>
      </c>
      <c r="C61" s="746" t="n">
        <f aca="false">SUM(C56:C60)</f>
        <v>0</v>
      </c>
      <c r="D61" s="746" t="n">
        <f aca="false">SUM(D56:D60)</f>
        <v>0</v>
      </c>
      <c r="E61" s="746" t="n">
        <f aca="false">SUM(E56:E60)</f>
        <v>2856000</v>
      </c>
      <c r="F61" s="746" t="n">
        <f aca="false">SUM(F56:F60)</f>
        <v>0</v>
      </c>
      <c r="G61" s="746" t="n">
        <f aca="false">SUM(G56:G60)</f>
        <v>0</v>
      </c>
      <c r="H61" s="746" t="n">
        <f aca="false">SUM(H56:H60)</f>
        <v>6623600</v>
      </c>
      <c r="I61" s="746" t="n">
        <f aca="false">SUM(I56:I60)</f>
        <v>0</v>
      </c>
      <c r="J61" s="746" t="n">
        <f aca="false">SUM(J56:J60)</f>
        <v>0</v>
      </c>
      <c r="K61" s="746" t="n">
        <f aca="false">SUM(K56:K60)</f>
        <v>0</v>
      </c>
      <c r="L61" s="746" t="n">
        <f aca="false">SUM(L56:L60)</f>
        <v>2856000</v>
      </c>
      <c r="M61" s="746" t="n">
        <f aca="false">SUM(M56:M60)</f>
        <v>0</v>
      </c>
      <c r="N61" s="746" t="n">
        <f aca="false">SUM(N56:N60)</f>
        <v>6623600</v>
      </c>
      <c r="O61" s="746" t="n">
        <f aca="false">SUM(O56:O60)</f>
        <v>0</v>
      </c>
      <c r="P61" s="746" t="n">
        <f aca="false">SUM(P56:P60)</f>
        <v>0</v>
      </c>
      <c r="Q61" s="746" t="n">
        <f aca="false">SUM(Q56:Q60)</f>
        <v>2856000</v>
      </c>
      <c r="R61" s="746" t="n">
        <f aca="false">SUM(R56:R60)</f>
        <v>0</v>
      </c>
      <c r="S61" s="746" t="n">
        <f aca="false">SUM(S56:S60)</f>
        <v>0</v>
      </c>
      <c r="T61" s="746" t="n">
        <f aca="false">SUM(T56:T60)</f>
        <v>6623600</v>
      </c>
      <c r="U61" s="746" t="n">
        <f aca="false">SUM(U56:U60)</f>
        <v>0</v>
      </c>
      <c r="V61" s="746" t="n">
        <f aca="false">SUM(V56:V60)</f>
        <v>0</v>
      </c>
      <c r="W61" s="158"/>
    </row>
    <row r="62" customFormat="false" ht="15.75" hidden="true" customHeight="false" outlineLevel="0" collapsed="false">
      <c r="A62" s="394"/>
      <c r="B62" s="746"/>
      <c r="C62" s="746" t="n">
        <f aca="false">B62+C61</f>
        <v>0</v>
      </c>
      <c r="D62" s="746" t="n">
        <f aca="false">C62+D61</f>
        <v>0</v>
      </c>
      <c r="E62" s="746" t="n">
        <f aca="false">D62+E61</f>
        <v>2856000</v>
      </c>
      <c r="F62" s="746" t="n">
        <f aca="false">E62+F61</f>
        <v>2856000</v>
      </c>
      <c r="G62" s="746" t="n">
        <f aca="false">F62+G61</f>
        <v>2856000</v>
      </c>
      <c r="H62" s="746" t="n">
        <f aca="false">G62+H61</f>
        <v>9479600</v>
      </c>
      <c r="I62" s="746" t="n">
        <f aca="false">H62+I61</f>
        <v>9479600</v>
      </c>
      <c r="J62" s="746" t="n">
        <f aca="false">I62+J61</f>
        <v>9479600</v>
      </c>
      <c r="K62" s="746" t="n">
        <f aca="false">J62+K61</f>
        <v>9479600</v>
      </c>
      <c r="L62" s="746" t="n">
        <f aca="false">K62+L61</f>
        <v>12335600</v>
      </c>
      <c r="M62" s="746" t="n">
        <f aca="false">L62+M61</f>
        <v>12335600</v>
      </c>
      <c r="N62" s="746" t="n">
        <f aca="false">M62+N61</f>
        <v>18959200</v>
      </c>
      <c r="O62" s="746" t="n">
        <f aca="false">N62+O61</f>
        <v>18959200</v>
      </c>
      <c r="P62" s="746" t="n">
        <f aca="false">O62+P61</f>
        <v>18959200</v>
      </c>
      <c r="Q62" s="746" t="n">
        <f aca="false">P62+Q61</f>
        <v>21815200</v>
      </c>
      <c r="R62" s="746" t="n">
        <f aca="false">Q62+R61</f>
        <v>21815200</v>
      </c>
      <c r="S62" s="746" t="n">
        <f aca="false">R62+S61</f>
        <v>21815200</v>
      </c>
      <c r="T62" s="746" t="n">
        <f aca="false">S62+T61</f>
        <v>28438800</v>
      </c>
      <c r="U62" s="746" t="n">
        <f aca="false">T62+U61</f>
        <v>28438800</v>
      </c>
      <c r="V62" s="746" t="n">
        <f aca="false">U62+V61</f>
        <v>28438800</v>
      </c>
      <c r="W62" s="158"/>
    </row>
    <row r="63" customFormat="false" ht="12.75" hidden="true" customHeight="false" outlineLevel="0" collapsed="false">
      <c r="A63" s="394" t="s">
        <v>1337</v>
      </c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8"/>
    </row>
    <row r="64" customFormat="false" ht="12.75" hidden="true" customHeight="false" outlineLevel="0" collapsed="false">
      <c r="A64" s="394" t="s">
        <v>1349</v>
      </c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8"/>
    </row>
    <row r="65" customFormat="false" ht="12.75" hidden="true" customHeight="false" outlineLevel="0" collapsed="false">
      <c r="A65" s="394" t="s">
        <v>1350</v>
      </c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8"/>
    </row>
    <row r="66" customFormat="false" ht="13.5" hidden="true" customHeight="false" outlineLevel="0" collapsed="false">
      <c r="A66" s="724" t="s">
        <v>1340</v>
      </c>
      <c r="B66" s="699"/>
      <c r="C66" s="699"/>
      <c r="D66" s="699"/>
      <c r="E66" s="699"/>
      <c r="F66" s="699"/>
      <c r="G66" s="699"/>
      <c r="H66" s="699"/>
      <c r="I66" s="699"/>
      <c r="J66" s="699"/>
      <c r="K66" s="699"/>
      <c r="L66" s="699"/>
      <c r="M66" s="699"/>
      <c r="N66" s="699"/>
      <c r="O66" s="699"/>
      <c r="P66" s="699"/>
      <c r="Q66" s="699"/>
      <c r="R66" s="699"/>
      <c r="S66" s="699"/>
      <c r="T66" s="699"/>
      <c r="U66" s="699"/>
      <c r="V66" s="699"/>
      <c r="W66" s="725"/>
    </row>
    <row r="67" customFormat="false" ht="12.75" hidden="true" customHeight="false" outlineLevel="0" collapsed="false"/>
    <row r="68" customFormat="false" ht="12.75" hidden="true" customHeight="false" outlineLevel="0" collapsed="false"/>
  </sheetData>
  <mergeCells count="5">
    <mergeCell ref="A1:W1"/>
    <mergeCell ref="A3:M3"/>
    <mergeCell ref="F4:G4"/>
    <mergeCell ref="A36:K36"/>
    <mergeCell ref="F37:G37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 Bickings
&amp;D&amp;CPage &amp;P&amp;R&amp;F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M63"/>
  <sheetViews>
    <sheetView showFormulas="false" showGridLines="false" showRowColHeaders="true" showZeros="true" rightToLeft="false" tabSelected="false" showOutlineSymbols="true" defaultGridColor="true" view="normal" topLeftCell="A10" colorId="64" zoomScale="85" zoomScaleNormal="85" zoomScalePageLayoutView="100" workbookViewId="0">
      <selection pane="topLeft" activeCell="F40" activeCellId="0" sqref="F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28"/>
    <col collapsed="false" customWidth="true" hidden="false" outlineLevel="0" max="3" min="3" style="0" width="4.56"/>
    <col collapsed="false" customWidth="true" hidden="false" outlineLevel="0" max="4" min="4" style="0" width="31.7"/>
    <col collapsed="false" customWidth="true" hidden="false" outlineLevel="0" max="5" min="5" style="0" width="3.42"/>
    <col collapsed="false" customWidth="true" hidden="false" outlineLevel="0" max="6" min="6" style="12" width="19.99"/>
    <col collapsed="false" customWidth="true" hidden="false" outlineLevel="0" max="11" min="11" style="0" width="4.7"/>
  </cols>
  <sheetData>
    <row r="1" customFormat="false" ht="15.75" hidden="false" customHeight="false" outlineLevel="0" collapsed="false">
      <c r="A1" s="13" t="str">
        <f aca="false">CONCATENATE(F7,", ",F9," (",F12," MW)")</f>
        <v>AES Corp, Dallas, TX (640 MW)</v>
      </c>
      <c r="B1" s="13"/>
      <c r="C1" s="13"/>
      <c r="D1" s="13"/>
      <c r="E1" s="13"/>
      <c r="F1" s="13"/>
      <c r="G1" s="14"/>
      <c r="H1" s="14"/>
      <c r="I1" s="14"/>
      <c r="J1" s="14"/>
      <c r="K1" s="14"/>
      <c r="L1" s="14"/>
      <c r="M1" s="14"/>
    </row>
    <row r="2" customFormat="false" ht="15.75" hidden="false" customHeight="false" outlineLevel="0" collapsed="false">
      <c r="A2" s="13"/>
      <c r="B2" s="13"/>
      <c r="C2" s="13"/>
      <c r="D2" s="13"/>
      <c r="E2" s="13"/>
      <c r="F2" s="13"/>
      <c r="G2" s="14"/>
      <c r="H2" s="14"/>
      <c r="I2" s="14"/>
      <c r="J2" s="14"/>
      <c r="K2" s="14"/>
      <c r="L2" s="14"/>
      <c r="M2" s="14"/>
    </row>
    <row r="3" customFormat="false" ht="15.75" hidden="false" customHeight="false" outlineLevel="0" collapsed="false">
      <c r="A3" s="15" t="s">
        <v>3</v>
      </c>
      <c r="B3" s="15"/>
      <c r="C3" s="15"/>
      <c r="D3" s="15"/>
      <c r="E3" s="15"/>
      <c r="F3" s="15"/>
      <c r="G3" s="16"/>
      <c r="H3" s="16"/>
      <c r="I3" s="16"/>
      <c r="J3" s="16"/>
      <c r="K3" s="16"/>
      <c r="L3" s="16"/>
      <c r="M3" s="16"/>
    </row>
    <row r="7" customFormat="false" ht="12.75" hidden="false" customHeight="false" outlineLevel="0" collapsed="false">
      <c r="A7" s="17" t="s">
        <v>22</v>
      </c>
      <c r="D7" s="0" t="s">
        <v>23</v>
      </c>
      <c r="F7" s="18" t="s">
        <v>24</v>
      </c>
      <c r="G7" s="19"/>
    </row>
    <row r="8" customFormat="false" ht="12.75" hidden="false" customHeight="false" outlineLevel="0" collapsed="false">
      <c r="F8" s="19"/>
      <c r="G8" s="19"/>
    </row>
    <row r="9" customFormat="false" ht="12.75" hidden="false" customHeight="false" outlineLevel="0" collapsed="false">
      <c r="A9" s="8" t="s">
        <v>25</v>
      </c>
      <c r="D9" s="20" t="s">
        <v>26</v>
      </c>
      <c r="F9" s="21" t="s">
        <v>27</v>
      </c>
    </row>
    <row r="10" customFormat="false" ht="12.75" hidden="false" customHeight="false" outlineLevel="0" collapsed="false">
      <c r="A10" s="8"/>
      <c r="D10" s="20" t="s">
        <v>28</v>
      </c>
      <c r="F10" s="21" t="s">
        <v>29</v>
      </c>
    </row>
    <row r="11" customFormat="false" ht="18.75" hidden="false" customHeight="true" outlineLevel="0" collapsed="false"/>
    <row r="12" customFormat="false" ht="12.75" hidden="false" customHeight="false" outlineLevel="0" collapsed="false">
      <c r="A12" s="8" t="s">
        <v>30</v>
      </c>
      <c r="D12" s="0" t="s">
        <v>31</v>
      </c>
      <c r="F12" s="22" t="n">
        <f aca="false">IF('O&amp;M Backup_Detail'!O7=6,0,(F15*E14))+IF('O&amp;M Backup_Detail'!R7=6,0,(F18*E17))+IF('O&amp;M Backup_Detail'!U7=6,0,(F21*E20))+(F24*E23)+(F26*E25)</f>
        <v>640</v>
      </c>
    </row>
    <row r="13" customFormat="false" ht="21.75" hidden="false" customHeight="true" outlineLevel="0" collapsed="false"/>
    <row r="14" customFormat="false" ht="12.75" hidden="false" customHeight="false" outlineLevel="0" collapsed="false">
      <c r="A14" s="8" t="s">
        <v>32</v>
      </c>
      <c r="D14" s="0" t="s">
        <v>33</v>
      </c>
      <c r="E14" s="23" t="n">
        <f aca="false">IF('O&amp;M Backup_Detail'!O7=8,0,'O&amp;M Backup_Detail'!$O$26)</f>
        <v>2</v>
      </c>
      <c r="F14" s="21" t="str">
        <f aca="false">IF('O&amp;M Backup_Detail'!O7=8,"",'O&amp;M Backup_Detail'!$P$7)</f>
        <v>GE 7FA</v>
      </c>
    </row>
    <row r="15" customFormat="false" ht="12" hidden="false" customHeight="true" outlineLevel="0" collapsed="false">
      <c r="D15" s="0" t="s">
        <v>34</v>
      </c>
      <c r="F15" s="24" t="n">
        <f aca="false">IF('O&amp;M Backup_Detail'!O7=8,0,IF('O&amp;M Backup_Detail'!O7=6,0,HLOOKUP(F14,Plant_Configuration,'Plant Configuration'!A326,FALSE())))</f>
        <v>170</v>
      </c>
    </row>
    <row r="16" customFormat="false" ht="12" hidden="false" customHeight="true" outlineLevel="0" collapsed="false">
      <c r="D16" s="0" t="s">
        <v>35</v>
      </c>
      <c r="F16" s="24" t="str">
        <f aca="false">'O&amp;M Backup_Detail'!$P$26</f>
        <v>combined</v>
      </c>
    </row>
    <row r="17" customFormat="false" ht="12" hidden="true" customHeight="true" outlineLevel="0" collapsed="false">
      <c r="A17" s="8"/>
      <c r="D17" s="0" t="s">
        <v>33</v>
      </c>
      <c r="E17" s="23" t="n">
        <f aca="false">IF('O&amp;M Backup_Detail'!R7=8,0,'O&amp;M Backup_Detail'!$R$26)</f>
        <v>0</v>
      </c>
      <c r="F17" s="21" t="str">
        <f aca="false">IF('O&amp;M Backup_Detail'!R7=8,"",'O&amp;M Backup_Detail'!$S$7)</f>
        <v>None</v>
      </c>
    </row>
    <row r="18" customFormat="false" ht="12" hidden="true" customHeight="true" outlineLevel="0" collapsed="false">
      <c r="D18" s="0" t="s">
        <v>34</v>
      </c>
      <c r="F18" s="24" t="n">
        <f aca="false">IF('O&amp;M Backup_Detail'!R7=8,0,IF('O&amp;M Backup_Detail'!R7=6,0,HLOOKUP(F17,Plant_Configuration,'Plant Configuration'!A326,FALSE())))</f>
        <v>0</v>
      </c>
    </row>
    <row r="19" customFormat="false" ht="12" hidden="true" customHeight="true" outlineLevel="0" collapsed="false">
      <c r="D19" s="0" t="s">
        <v>35</v>
      </c>
      <c r="F19" s="21" t="n">
        <f aca="false">'O&amp;M Backup_Detail'!$S$26</f>
        <v>0</v>
      </c>
    </row>
    <row r="20" customFormat="false" ht="12" hidden="true" customHeight="true" outlineLevel="0" collapsed="false">
      <c r="D20" s="0" t="s">
        <v>33</v>
      </c>
      <c r="E20" s="23" t="n">
        <f aca="false">IF('O&amp;M Backup_Detail'!U7=8,0,'O&amp;M Backup_Detail'!$U$26)</f>
        <v>0</v>
      </c>
      <c r="F20" s="21" t="str">
        <f aca="false">IF('O&amp;M Backup_Detail'!U7=8,"",'O&amp;M Backup_Detail'!V7)</f>
        <v>None</v>
      </c>
    </row>
    <row r="21" customFormat="false" ht="12" hidden="true" customHeight="true" outlineLevel="0" collapsed="false">
      <c r="D21" s="0" t="s">
        <v>34</v>
      </c>
      <c r="F21" s="24" t="n">
        <f aca="false">IF('O&amp;M Backup_Detail'!U7=8,0,IF('O&amp;M Backup_Detail'!U7=5,0,HLOOKUP(F20,Plant_Configuration,'Plant Configuration'!A326,FALSE())))</f>
        <v>0</v>
      </c>
    </row>
    <row r="22" customFormat="false" ht="12" hidden="true" customHeight="true" outlineLevel="0" collapsed="false">
      <c r="D22" s="0" t="s">
        <v>35</v>
      </c>
      <c r="F22" s="24" t="n">
        <f aca="false">'O&amp;M Backup_Detail'!$V$26</f>
        <v>0</v>
      </c>
    </row>
    <row r="23" customFormat="false" ht="12" hidden="false" customHeight="true" outlineLevel="0" collapsed="false">
      <c r="D23" s="0" t="s">
        <v>36</v>
      </c>
      <c r="E23" s="23" t="n">
        <v>2</v>
      </c>
      <c r="F23" s="24" t="s">
        <v>37</v>
      </c>
    </row>
    <row r="24" customFormat="false" ht="12" hidden="false" customHeight="true" outlineLevel="0" collapsed="false">
      <c r="D24" s="0" t="s">
        <v>38</v>
      </c>
      <c r="F24" s="24" t="n">
        <v>150</v>
      </c>
    </row>
    <row r="25" customFormat="false" ht="12" hidden="true" customHeight="true" outlineLevel="0" collapsed="false">
      <c r="D25" s="0" t="s">
        <v>36</v>
      </c>
      <c r="E25" s="23" t="n">
        <v>0</v>
      </c>
      <c r="F25" s="24" t="s">
        <v>37</v>
      </c>
    </row>
    <row r="26" customFormat="false" ht="12" hidden="true" customHeight="true" outlineLevel="0" collapsed="false">
      <c r="D26" s="0" t="s">
        <v>38</v>
      </c>
      <c r="F26" s="24" t="n">
        <v>0</v>
      </c>
    </row>
    <row r="27" customFormat="false" ht="12" hidden="true" customHeight="true" outlineLevel="0" collapsed="false">
      <c r="F27" s="25"/>
    </row>
    <row r="28" customFormat="false" ht="12" hidden="true" customHeight="true" outlineLevel="0" collapsed="false">
      <c r="D28" s="0" t="s">
        <v>39</v>
      </c>
      <c r="E28" s="23" t="n">
        <f aca="false">IF('O&amp;M Backup_Detail'!O7=8,'O&amp;M Backup_Detail'!O26,IF('O&amp;M Backup_Detail'!R7=8,'O&amp;M Backup_Detail'!R26,IF('O&amp;M Backup_Detail'!U7=8,'O&amp;M Backup_Detail'!U26,0)))</f>
        <v>0</v>
      </c>
      <c r="F28" s="21" t="str">
        <f aca="false">IF('O&amp;M Backup_Detail'!O7=8,'O&amp;M Backup_Detail'!P7,IF('O&amp;M Backup_Detail'!R7=8,'O&amp;M Backup_Detail'!S7,IF('O&amp;M Backup_Detail'!U7=8,'O&amp;M Backup_Detail'!V7,"")))</f>
        <v/>
      </c>
    </row>
    <row r="29" customFormat="false" ht="12" hidden="true" customHeight="true" outlineLevel="0" collapsed="false">
      <c r="D29" s="0" t="s">
        <v>40</v>
      </c>
      <c r="F29" s="24" t="str">
        <f aca="false">IF(OR('O&amp;M Backup_Detail'!O7=8,'O&amp;M Backup_Detail'!R7=8,'O&amp;M Backup_Detail'!U7=8),'Plant Configuration'!L326,"")</f>
        <v/>
      </c>
    </row>
    <row r="30" customFormat="false" ht="12" hidden="true" customHeight="true" outlineLevel="0" collapsed="false">
      <c r="F30" s="25"/>
    </row>
    <row r="31" customFormat="false" ht="12" hidden="false" customHeight="true" outlineLevel="0" collapsed="false">
      <c r="D31" s="0" t="s">
        <v>41</v>
      </c>
      <c r="F31" s="21" t="s">
        <v>42</v>
      </c>
    </row>
    <row r="32" customFormat="false" ht="12" hidden="true" customHeight="true" outlineLevel="0" collapsed="false">
      <c r="D32" s="0" t="s">
        <v>43</v>
      </c>
      <c r="F32" s="24"/>
    </row>
    <row r="33" customFormat="false" ht="12" hidden="true" customHeight="true" outlineLevel="0" collapsed="false">
      <c r="D33" s="0" t="s">
        <v>44</v>
      </c>
      <c r="F33" s="24"/>
    </row>
    <row r="34" customFormat="false" ht="12" hidden="false" customHeight="true" outlineLevel="0" collapsed="false">
      <c r="D34" s="0" t="s">
        <v>45</v>
      </c>
      <c r="F34" s="24" t="s">
        <v>46</v>
      </c>
    </row>
    <row r="35" customFormat="false" ht="19.5" hidden="false" customHeight="true" outlineLevel="0" collapsed="false">
      <c r="F35" s="26"/>
    </row>
    <row r="36" customFormat="false" ht="12.75" hidden="false" customHeight="false" outlineLevel="0" collapsed="false">
      <c r="A36" s="8" t="s">
        <v>47</v>
      </c>
      <c r="D36" s="20" t="s">
        <v>48</v>
      </c>
      <c r="E36" s="20"/>
      <c r="F36" s="21" t="s">
        <v>49</v>
      </c>
    </row>
    <row r="37" customFormat="false" ht="12.75" hidden="false" customHeight="false" outlineLevel="0" collapsed="false">
      <c r="D37" s="0" t="s">
        <v>50</v>
      </c>
      <c r="F37" s="24" t="s">
        <v>51</v>
      </c>
    </row>
    <row r="38" customFormat="false" ht="19.5" hidden="false" customHeight="true" outlineLevel="0" collapsed="false"/>
    <row r="39" customFormat="false" ht="12.75" hidden="false" customHeight="false" outlineLevel="0" collapsed="false">
      <c r="A39" s="8" t="s">
        <v>52</v>
      </c>
      <c r="D39" s="20" t="s">
        <v>53</v>
      </c>
      <c r="E39" s="20"/>
      <c r="F39" s="27" t="n">
        <v>0.95</v>
      </c>
      <c r="G39" s="28"/>
    </row>
    <row r="40" customFormat="false" ht="12.75" hidden="false" customHeight="false" outlineLevel="0" collapsed="false">
      <c r="A40" s="8"/>
      <c r="D40" s="20" t="s">
        <v>54</v>
      </c>
      <c r="E40" s="20"/>
      <c r="F40" s="29" t="n">
        <f aca="false">8760*F39*F12</f>
        <v>5326080</v>
      </c>
      <c r="G40" s="12"/>
    </row>
    <row r="41" customFormat="false" ht="12.75" hidden="false" customHeight="false" outlineLevel="0" collapsed="false">
      <c r="D41" s="0" t="s">
        <v>55</v>
      </c>
      <c r="F41" s="30" t="n">
        <f aca="false">F39*8760</f>
        <v>8322</v>
      </c>
    </row>
    <row r="42" customFormat="false" ht="12.75" hidden="false" customHeight="false" outlineLevel="0" collapsed="false">
      <c r="D42" s="0" t="s">
        <v>56</v>
      </c>
      <c r="F42" s="21" t="s">
        <v>57</v>
      </c>
    </row>
    <row r="43" customFormat="false" ht="12.75" hidden="false" customHeight="false" outlineLevel="0" collapsed="false">
      <c r="D43" s="0" t="s">
        <v>58</v>
      </c>
      <c r="F43" s="24" t="s">
        <v>59</v>
      </c>
    </row>
    <row r="44" customFormat="false" ht="21" hidden="false" customHeight="true" outlineLevel="0" collapsed="false"/>
    <row r="45" customFormat="false" ht="12.75" hidden="false" customHeight="false" outlineLevel="0" collapsed="false">
      <c r="A45" s="8" t="s">
        <v>60</v>
      </c>
      <c r="D45" s="0" t="s">
        <v>61</v>
      </c>
      <c r="F45" s="21" t="s">
        <v>62</v>
      </c>
    </row>
    <row r="46" customFormat="false" ht="19.5" hidden="false" customHeight="true" outlineLevel="0" collapsed="false"/>
    <row r="47" customFormat="false" ht="12.75" hidden="false" customHeight="false" outlineLevel="0" collapsed="false">
      <c r="A47" s="8" t="s">
        <v>63</v>
      </c>
      <c r="D47" s="0" t="s">
        <v>64</v>
      </c>
      <c r="F47" s="21" t="s">
        <v>62</v>
      </c>
      <c r="H47" s="31"/>
    </row>
    <row r="48" customFormat="false" ht="12.75" hidden="false" customHeight="false" outlineLevel="0" collapsed="false">
      <c r="D48" s="0" t="s">
        <v>65</v>
      </c>
      <c r="F48" s="32" t="n">
        <v>37622</v>
      </c>
      <c r="H48" s="33"/>
    </row>
    <row r="49" customFormat="false" ht="22.5" hidden="false" customHeight="true" outlineLevel="0" collapsed="false">
      <c r="F49" s="26"/>
    </row>
    <row r="50" customFormat="false" ht="12.75" hidden="true" customHeight="false" outlineLevel="0" collapsed="false">
      <c r="A50" s="8" t="s">
        <v>66</v>
      </c>
      <c r="D50" s="23" t="s">
        <v>67</v>
      </c>
      <c r="F50" s="26"/>
    </row>
    <row r="51" customFormat="false" ht="12.75" hidden="true" customHeight="false" outlineLevel="0" collapsed="false">
      <c r="F51" s="26"/>
    </row>
    <row r="52" customFormat="false" ht="12.75" hidden="true" customHeight="false" outlineLevel="0" collapsed="false">
      <c r="F52" s="26"/>
    </row>
    <row r="53" customFormat="false" ht="12.75" hidden="true" customHeight="false" outlineLevel="0" collapsed="false">
      <c r="A53" s="8" t="s">
        <v>68</v>
      </c>
      <c r="D53" s="0" t="s">
        <v>69</v>
      </c>
      <c r="F53" s="21" t="s">
        <v>70</v>
      </c>
    </row>
    <row r="54" customFormat="false" ht="12.75" hidden="true" customHeight="false" outlineLevel="0" collapsed="false"/>
    <row r="55" customFormat="false" ht="12" hidden="true" customHeight="true" outlineLevel="0" collapsed="false">
      <c r="A55" s="8" t="s">
        <v>71</v>
      </c>
      <c r="D55" s="0" t="s">
        <v>72</v>
      </c>
      <c r="F55" s="26"/>
    </row>
    <row r="56" customFormat="false" ht="12.75" hidden="false" customHeight="false" outlineLevel="0" collapsed="false">
      <c r="A56" s="17" t="s">
        <v>73</v>
      </c>
      <c r="D56" s="0" t="s">
        <v>74</v>
      </c>
      <c r="F56" s="21" t="s">
        <v>75</v>
      </c>
    </row>
    <row r="57" customFormat="false" ht="12.75" hidden="false" customHeight="false" outlineLevel="0" collapsed="false">
      <c r="F57" s="26"/>
    </row>
    <row r="58" customFormat="false" ht="12.75" hidden="false" customHeight="false" outlineLevel="0" collapsed="false">
      <c r="A58" s="17" t="s">
        <v>76</v>
      </c>
      <c r="D58" s="0" t="s">
        <v>77</v>
      </c>
      <c r="F58" s="32" t="n">
        <f aca="true">NOW()</f>
        <v>45926.8971175216</v>
      </c>
    </row>
    <row r="59" customFormat="false" ht="12.75" hidden="false" customHeight="false" outlineLevel="0" collapsed="false">
      <c r="D59" s="0" t="s">
        <v>78</v>
      </c>
      <c r="F59" s="24" t="s">
        <v>79</v>
      </c>
    </row>
    <row r="61" customFormat="false" ht="12.75" hidden="false" customHeight="false" outlineLevel="0" collapsed="false">
      <c r="F61" s="26"/>
    </row>
    <row r="62" customFormat="false" ht="12.75" hidden="false" customHeight="false" outlineLevel="0" collapsed="false">
      <c r="F62" s="26"/>
    </row>
    <row r="63" customFormat="false" ht="12.75" hidden="false" customHeight="false" outlineLevel="0" collapsed="false">
      <c r="F63" s="26"/>
    </row>
  </sheetData>
  <mergeCells count="2">
    <mergeCell ref="A1:F2"/>
    <mergeCell ref="A3:F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6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56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57" width="9.85"/>
  </cols>
  <sheetData>
    <row r="2" customFormat="false" ht="18" hidden="false" customHeight="false" outlineLevel="0" collapsed="false">
      <c r="A2" s="758" t="str">
        <f aca="false">CONCATENATE('rotation(7EA)'!$X$7,"x",'GTDB(7EA)'!$B$5," GT Scheduled Maintenance  Cost")</f>
        <v>0xGE-Frame 7EA GT Scheduled Maintenance  Cost</v>
      </c>
      <c r="B2" s="11"/>
    </row>
    <row r="4" customFormat="false" ht="12.75" hidden="false" customHeight="false" outlineLevel="0" collapsed="false">
      <c r="A4" s="759" t="s">
        <v>1351</v>
      </c>
      <c r="B4" s="153"/>
      <c r="C4" s="153"/>
      <c r="D4" s="153" t="n">
        <v>1</v>
      </c>
      <c r="E4" s="153" t="n">
        <v>2</v>
      </c>
      <c r="F4" s="153" t="n">
        <v>3</v>
      </c>
      <c r="G4" s="153" t="n">
        <v>4</v>
      </c>
      <c r="H4" s="153" t="n">
        <v>5</v>
      </c>
      <c r="I4" s="153" t="n">
        <v>6</v>
      </c>
      <c r="J4" s="153" t="n">
        <v>7</v>
      </c>
      <c r="K4" s="153" t="n">
        <v>8</v>
      </c>
      <c r="L4" s="153" t="n">
        <v>9</v>
      </c>
      <c r="M4" s="153" t="n">
        <v>10</v>
      </c>
      <c r="N4" s="153" t="n">
        <v>11</v>
      </c>
      <c r="O4" s="153" t="n">
        <v>12</v>
      </c>
      <c r="P4" s="153" t="n">
        <v>13</v>
      </c>
      <c r="Q4" s="153" t="n">
        <v>14</v>
      </c>
      <c r="R4" s="153" t="n">
        <v>15</v>
      </c>
      <c r="S4" s="153" t="n">
        <v>16</v>
      </c>
      <c r="T4" s="153" t="n">
        <v>17</v>
      </c>
      <c r="U4" s="153" t="n">
        <v>18</v>
      </c>
      <c r="V4" s="153" t="n">
        <v>19</v>
      </c>
      <c r="W4" s="153" t="n">
        <v>20</v>
      </c>
      <c r="X4" s="757" t="s">
        <v>1352</v>
      </c>
    </row>
    <row r="5" customFormat="false" ht="12.75" hidden="false" customHeight="false" outlineLevel="0" collapsed="false">
      <c r="A5" s="759" t="s">
        <v>1353</v>
      </c>
      <c r="B5" s="153"/>
      <c r="C5" s="153"/>
      <c r="D5" s="742" t="str">
        <f aca="false">CONCATENATE('rotation(7EA)'!C$12,'rotation(7EA)'!C$13,'rotation(7EA)'!C$14)</f>
        <v>   </v>
      </c>
      <c r="E5" s="742" t="str">
        <f aca="false">CONCATENATE('rotation(7EA)'!D$12,'rotation(7EA)'!D$13,'rotation(7EA)'!D$14)</f>
        <v>   </v>
      </c>
      <c r="F5" s="742" t="str">
        <f aca="false">CONCATENATE('rotation(7EA)'!E$12,'rotation(7EA)'!E$13,'rotation(7EA)'!E$14)</f>
        <v>   </v>
      </c>
      <c r="G5" s="742" t="str">
        <f aca="false">CONCATENATE('rotation(7EA)'!F$12,'rotation(7EA)'!F$13,'rotation(7EA)'!F$14)</f>
        <v>   </v>
      </c>
      <c r="H5" s="742" t="str">
        <f aca="false">CONCATENATE('rotation(7EA)'!G$12,'rotation(7EA)'!G$13,'rotation(7EA)'!G$14)</f>
        <v>   </v>
      </c>
      <c r="I5" s="742" t="str">
        <f aca="false">CONCATENATE('rotation(7EA)'!H$12,'rotation(7EA)'!H$13,'rotation(7EA)'!H$14)</f>
        <v>   </v>
      </c>
      <c r="J5" s="742" t="str">
        <f aca="false">CONCATENATE('rotation(7EA)'!I$12,'rotation(7EA)'!I$13,'rotation(7EA)'!I$14)</f>
        <v>   </v>
      </c>
      <c r="K5" s="742" t="str">
        <f aca="false">CONCATENATE('rotation(7EA)'!J$12,'rotation(7EA)'!J$13,'rotation(7EA)'!J$14)</f>
        <v>   </v>
      </c>
      <c r="L5" s="742" t="str">
        <f aca="false">CONCATENATE('rotation(7EA)'!K$12,'rotation(7EA)'!K$13,'rotation(7EA)'!K$14)</f>
        <v>   </v>
      </c>
      <c r="M5" s="742" t="str">
        <f aca="false">CONCATENATE('rotation(7EA)'!L$12,'rotation(7EA)'!L$13,'rotation(7EA)'!L$14)</f>
        <v>   </v>
      </c>
      <c r="N5" s="742" t="str">
        <f aca="false">CONCATENATE('rotation(7EA)'!M$12,'rotation(7EA)'!M$13,'rotation(7EA)'!M$14)</f>
        <v>   </v>
      </c>
      <c r="O5" s="742" t="str">
        <f aca="false">CONCATENATE('rotation(7EA)'!N$12,'rotation(7EA)'!N$13,'rotation(7EA)'!N$14)</f>
        <v>   </v>
      </c>
      <c r="P5" s="742" t="str">
        <f aca="false">CONCATENATE('rotation(7EA)'!O$12,'rotation(7EA)'!O$13,'rotation(7EA)'!O$14)</f>
        <v>   </v>
      </c>
      <c r="Q5" s="742" t="str">
        <f aca="false">CONCATENATE('rotation(7EA)'!P$12,'rotation(7EA)'!P$13,'rotation(7EA)'!P$14)</f>
        <v>   </v>
      </c>
      <c r="R5" s="742" t="str">
        <f aca="false">CONCATENATE('rotation(7EA)'!Q$12,'rotation(7EA)'!Q$13,'rotation(7EA)'!Q$14)</f>
        <v>   </v>
      </c>
      <c r="S5" s="742" t="str">
        <f aca="false">CONCATENATE('rotation(7EA)'!R$12,'rotation(7EA)'!R$13,'rotation(7EA)'!R$14)</f>
        <v>   </v>
      </c>
      <c r="T5" s="742" t="str">
        <f aca="false">CONCATENATE('rotation(7EA)'!S$12,'rotation(7EA)'!S$13,'rotation(7EA)'!S$14)</f>
        <v>   </v>
      </c>
      <c r="U5" s="742" t="str">
        <f aca="false">CONCATENATE('rotation(7EA)'!T$12,'rotation(7EA)'!T$13,'rotation(7EA)'!T$14)</f>
        <v>   </v>
      </c>
      <c r="V5" s="742" t="str">
        <f aca="false">CONCATENATE('rotation(7EA)'!U$12,'rotation(7EA)'!U$13,'rotation(7EA)'!U$14)</f>
        <v>   </v>
      </c>
      <c r="W5" s="742" t="str">
        <f aca="false">CONCATENATE('rotation(7EA)'!V$12,'rotation(7EA)'!V$13,'rotation(7EA)'!V$14)</f>
        <v>   </v>
      </c>
    </row>
    <row r="6" customFormat="false" ht="12.75" hidden="false" customHeight="false" outlineLevel="0" collapsed="false">
      <c r="A6" s="759" t="s">
        <v>1354</v>
      </c>
      <c r="B6" s="153"/>
      <c r="C6" s="153"/>
      <c r="D6" s="742" t="str">
        <f aca="false">IF('rotation(7EA)'!$X$7&lt;2," ",CONCATENATE('rotation(7EA)'!C$12,'rotation(7EA)'!C$13,'rotation(7EA)'!C$14))</f>
        <v> </v>
      </c>
      <c r="E6" s="742" t="str">
        <f aca="false">IF('rotation(7EA)'!$X$7&lt;2," ",CONCATENATE('rotation(7EA)'!D$12,'rotation(7EA)'!D$13,'rotation(7EA)'!D$14))</f>
        <v> </v>
      </c>
      <c r="F6" s="742" t="str">
        <f aca="false">IF('rotation(7EA)'!$X$7&lt;2," ",CONCATENATE('rotation(7EA)'!E$12,'rotation(7EA)'!E$13,'rotation(7EA)'!E$14))</f>
        <v> </v>
      </c>
      <c r="G6" s="742" t="str">
        <f aca="false">IF('rotation(7EA)'!$X$7&lt;2," ",CONCATENATE('rotation(7EA)'!F$12,'rotation(7EA)'!F$13,'rotation(7EA)'!F$14))</f>
        <v> </v>
      </c>
      <c r="H6" s="742" t="str">
        <f aca="false">IF('rotation(7EA)'!$X$7&lt;2," ",CONCATENATE('rotation(7EA)'!G$12,'rotation(7EA)'!G$13,'rotation(7EA)'!G$14))</f>
        <v> </v>
      </c>
      <c r="I6" s="742" t="str">
        <f aca="false">IF('rotation(7EA)'!$X$7&lt;2," ",CONCATENATE('rotation(7EA)'!H$12,'rotation(7EA)'!H$13,'rotation(7EA)'!H$14))</f>
        <v> </v>
      </c>
      <c r="J6" s="742" t="str">
        <f aca="false">IF('rotation(7EA)'!$X$7&lt;2," ",CONCATENATE('rotation(7EA)'!I$12,'rotation(7EA)'!I$13,'rotation(7EA)'!I$14))</f>
        <v> </v>
      </c>
      <c r="K6" s="742" t="str">
        <f aca="false">IF('rotation(7EA)'!$X$7&lt;2," ",CONCATENATE('rotation(7EA)'!J$12,'rotation(7EA)'!J$13,'rotation(7EA)'!J$14))</f>
        <v> </v>
      </c>
      <c r="L6" s="742" t="str">
        <f aca="false">IF('rotation(7EA)'!$X$7&lt;2," ",CONCATENATE('rotation(7EA)'!K$12,'rotation(7EA)'!K$13,'rotation(7EA)'!K$14))</f>
        <v> </v>
      </c>
      <c r="M6" s="742" t="str">
        <f aca="false">IF('rotation(7EA)'!$X$7&lt;2," ",CONCATENATE('rotation(7EA)'!L$12,'rotation(7EA)'!L$13,'rotation(7EA)'!L$14))</f>
        <v> </v>
      </c>
      <c r="N6" s="742" t="str">
        <f aca="false">IF('rotation(7EA)'!$X$7&lt;2," ",CONCATENATE('rotation(7EA)'!M$12,'rotation(7EA)'!M$13,'rotation(7EA)'!M$14))</f>
        <v> </v>
      </c>
      <c r="O6" s="742" t="str">
        <f aca="false">IF('rotation(7EA)'!$X$7&lt;2," ",CONCATENATE('rotation(7EA)'!N$12,'rotation(7EA)'!N$13,'rotation(7EA)'!N$14))</f>
        <v> </v>
      </c>
      <c r="P6" s="742" t="str">
        <f aca="false">IF('rotation(7EA)'!$X$7&lt;2," ",CONCATENATE('rotation(7EA)'!O$12,'rotation(7EA)'!O$13,'rotation(7EA)'!O$14))</f>
        <v> </v>
      </c>
      <c r="Q6" s="742" t="str">
        <f aca="false">IF('rotation(7EA)'!$X$7&lt;2," ",CONCATENATE('rotation(7EA)'!P$12,'rotation(7EA)'!P$13,'rotation(7EA)'!P$14))</f>
        <v> </v>
      </c>
      <c r="R6" s="742" t="str">
        <f aca="false">IF('rotation(7EA)'!$X$7&lt;2," ",CONCATENATE('rotation(7EA)'!Q$12,'rotation(7EA)'!Q$13,'rotation(7EA)'!Q$14))</f>
        <v> </v>
      </c>
      <c r="S6" s="742" t="str">
        <f aca="false">IF('rotation(7EA)'!$X$7&lt;2," ",CONCATENATE('rotation(7EA)'!R$12,'rotation(7EA)'!R$13,'rotation(7EA)'!R$14))</f>
        <v> </v>
      </c>
      <c r="T6" s="742" t="str">
        <f aca="false">IF('rotation(7EA)'!$X$7&lt;2," ",CONCATENATE('rotation(7EA)'!S$12,'rotation(7EA)'!S$13,'rotation(7EA)'!S$14))</f>
        <v> </v>
      </c>
      <c r="U6" s="742" t="str">
        <f aca="false">IF('rotation(7EA)'!$X$7&lt;2," ",CONCATENATE('rotation(7EA)'!T$12,'rotation(7EA)'!T$13,'rotation(7EA)'!T$14))</f>
        <v> </v>
      </c>
      <c r="V6" s="742" t="str">
        <f aca="false">IF('rotation(7EA)'!$X$7&lt;2," ",CONCATENATE('rotation(7EA)'!U$12,'rotation(7EA)'!U$13,'rotation(7EA)'!U$14))</f>
        <v> </v>
      </c>
      <c r="W6" s="742" t="str">
        <f aca="false">IF('rotation(7EA)'!$X$7&lt;2," ",CONCATENATE('rotation(7EA)'!V$12,'rotation(7EA)'!V$13,'rotation(7EA)'!V$14))</f>
        <v> </v>
      </c>
    </row>
    <row r="7" customFormat="false" ht="12.75" hidden="false" customHeight="false" outlineLevel="0" collapsed="false">
      <c r="A7" s="759" t="s">
        <v>1355</v>
      </c>
      <c r="B7" s="153"/>
      <c r="C7" s="153"/>
      <c r="D7" s="742" t="str">
        <f aca="false">IF('rotation(7EA)'!$X$7&lt;3," ",CONCATENATE('rotation(7EA)'!C$12,'rotation(7EA)'!C$13,'rotation(7EA)'!C$14))</f>
        <v> </v>
      </c>
      <c r="E7" s="742" t="str">
        <f aca="false">IF('rotation(7EA)'!$X$7&lt;3," ",CONCATENATE('rotation(7EA)'!D$12,'rotation(7EA)'!D$13,'rotation(7EA)'!D$14))</f>
        <v> </v>
      </c>
      <c r="F7" s="742" t="str">
        <f aca="false">IF('rotation(7EA)'!$X$7&lt;3," ",CONCATENATE('rotation(7EA)'!E$12,'rotation(7EA)'!E$13,'rotation(7EA)'!E$14))</f>
        <v> </v>
      </c>
      <c r="G7" s="742" t="str">
        <f aca="false">IF('rotation(7EA)'!$X$7&lt;3," ",CONCATENATE('rotation(7EA)'!F$12,'rotation(7EA)'!F$13,'rotation(7EA)'!F$14))</f>
        <v> </v>
      </c>
      <c r="H7" s="742" t="str">
        <f aca="false">IF('rotation(7EA)'!$X$7&lt;3," ",CONCATENATE('rotation(7EA)'!G$12,'rotation(7EA)'!G$13,'rotation(7EA)'!G$14))</f>
        <v> </v>
      </c>
      <c r="I7" s="742" t="str">
        <f aca="false">IF('rotation(7EA)'!$X$7&lt;3," ",CONCATENATE('rotation(7EA)'!H$12,'rotation(7EA)'!H$13,'rotation(7EA)'!H$14))</f>
        <v> </v>
      </c>
      <c r="J7" s="742" t="str">
        <f aca="false">IF('rotation(7EA)'!$X$7&lt;3," ",CONCATENATE('rotation(7EA)'!I$12,'rotation(7EA)'!I$13,'rotation(7EA)'!I$14))</f>
        <v> </v>
      </c>
      <c r="K7" s="742" t="str">
        <f aca="false">IF('rotation(7EA)'!$X$7&lt;3," ",CONCATENATE('rotation(7EA)'!J$12,'rotation(7EA)'!J$13,'rotation(7EA)'!J$14))</f>
        <v> </v>
      </c>
      <c r="L7" s="742" t="str">
        <f aca="false">IF('rotation(7EA)'!$X$7&lt;3," ",CONCATENATE('rotation(7EA)'!K$12,'rotation(7EA)'!K$13,'rotation(7EA)'!K$14))</f>
        <v> </v>
      </c>
      <c r="M7" s="742" t="str">
        <f aca="false">IF('rotation(7EA)'!$X$7&lt;3," ",CONCATENATE('rotation(7EA)'!L$12,'rotation(7EA)'!L$13,'rotation(7EA)'!L$14))</f>
        <v> </v>
      </c>
      <c r="N7" s="742" t="str">
        <f aca="false">IF('rotation(7EA)'!$X$7&lt;3," ",CONCATENATE('rotation(7EA)'!M$12,'rotation(7EA)'!M$13,'rotation(7EA)'!M$14))</f>
        <v> </v>
      </c>
      <c r="O7" s="742" t="str">
        <f aca="false">IF('rotation(7EA)'!$X$7&lt;3," ",CONCATENATE('rotation(7EA)'!N$12,'rotation(7EA)'!N$13,'rotation(7EA)'!N$14))</f>
        <v> </v>
      </c>
      <c r="P7" s="742" t="str">
        <f aca="false">IF('rotation(7EA)'!$X$7&lt;3," ",CONCATENATE('rotation(7EA)'!O$12,'rotation(7EA)'!O$13,'rotation(7EA)'!O$14))</f>
        <v> </v>
      </c>
      <c r="Q7" s="742" t="str">
        <f aca="false">IF('rotation(7EA)'!$X$7&lt;3," ",CONCATENATE('rotation(7EA)'!P$12,'rotation(7EA)'!P$13,'rotation(7EA)'!P$14))</f>
        <v> </v>
      </c>
      <c r="R7" s="742" t="str">
        <f aca="false">IF('rotation(7EA)'!$X$7&lt;3," ",CONCATENATE('rotation(7EA)'!Q$12,'rotation(7EA)'!Q$13,'rotation(7EA)'!Q$14))</f>
        <v> </v>
      </c>
      <c r="S7" s="742" t="str">
        <f aca="false">IF('rotation(7EA)'!$X$7&lt;3," ",CONCATENATE('rotation(7EA)'!R$12,'rotation(7EA)'!R$13,'rotation(7EA)'!R$14))</f>
        <v> </v>
      </c>
      <c r="T7" s="742" t="str">
        <f aca="false">IF('rotation(7EA)'!$X$7&lt;3," ",CONCATENATE('rotation(7EA)'!S$12,'rotation(7EA)'!S$13,'rotation(7EA)'!S$14))</f>
        <v> </v>
      </c>
      <c r="U7" s="742" t="str">
        <f aca="false">IF('rotation(7EA)'!$X$7&lt;3," ",CONCATENATE('rotation(7EA)'!T$12,'rotation(7EA)'!T$13,'rotation(7EA)'!T$14))</f>
        <v> </v>
      </c>
      <c r="V7" s="742" t="str">
        <f aca="false">IF('rotation(7EA)'!$X$7&lt;3," ",CONCATENATE('rotation(7EA)'!U$12,'rotation(7EA)'!U$13,'rotation(7EA)'!U$14))</f>
        <v> </v>
      </c>
      <c r="W7" s="742" t="str">
        <f aca="false">IF('rotation(7EA)'!$X$7&lt;3," ",CONCATENATE('rotation(7EA)'!V$12,'rotation(7EA)'!V$13,'rotation(7EA)'!V$14))</f>
        <v> </v>
      </c>
    </row>
    <row r="8" customFormat="false" ht="12.75" hidden="false" customHeight="false" outlineLevel="0" collapsed="false">
      <c r="A8" s="759" t="s">
        <v>1356</v>
      </c>
      <c r="B8" s="153"/>
      <c r="C8" s="153"/>
      <c r="D8" s="742" t="str">
        <f aca="false">IF('rotation(7EA)'!$X$7&lt;4," ",CONCATENATE('rotation(7EA)'!C$12,'rotation(7EA)'!C$13,'rotation(7EA)'!C$14))</f>
        <v> </v>
      </c>
      <c r="E8" s="742" t="str">
        <f aca="false">IF('rotation(7EA)'!$X$7&lt;4," ",CONCATENATE('rotation(7EA)'!D$12,'rotation(7EA)'!D$13,'rotation(7EA)'!D$14))</f>
        <v> </v>
      </c>
      <c r="F8" s="742" t="str">
        <f aca="false">IF('rotation(7EA)'!$X$7&lt;4," ",CONCATENATE('rotation(7EA)'!E$12,'rotation(7EA)'!E$13,'rotation(7EA)'!E$14))</f>
        <v> </v>
      </c>
      <c r="G8" s="742" t="str">
        <f aca="false">IF('rotation(7EA)'!$X$7&lt;4," ",CONCATENATE('rotation(7EA)'!F$12,'rotation(7EA)'!F$13,'rotation(7EA)'!F$14))</f>
        <v> </v>
      </c>
      <c r="H8" s="742" t="str">
        <f aca="false">IF('rotation(7EA)'!$X$7&lt;4," ",CONCATENATE('rotation(7EA)'!G$12,'rotation(7EA)'!G$13,'rotation(7EA)'!G$14))</f>
        <v> </v>
      </c>
      <c r="I8" s="742" t="str">
        <f aca="false">IF('rotation(7EA)'!$X$7&lt;4," ",CONCATENATE('rotation(7EA)'!H$12,'rotation(7EA)'!H$13,'rotation(7EA)'!H$14))</f>
        <v> </v>
      </c>
      <c r="J8" s="742" t="str">
        <f aca="false">IF('rotation(7EA)'!$X$7&lt;4," ",CONCATENATE('rotation(7EA)'!I$12,'rotation(7EA)'!I$13,'rotation(7EA)'!I$14))</f>
        <v> </v>
      </c>
      <c r="K8" s="742" t="str">
        <f aca="false">IF('rotation(7EA)'!$X$7&lt;4," ",CONCATENATE('rotation(7EA)'!J$12,'rotation(7EA)'!J$13,'rotation(7EA)'!J$14))</f>
        <v> </v>
      </c>
      <c r="L8" s="742" t="str">
        <f aca="false">IF('rotation(7EA)'!$X$7&lt;4," ",CONCATENATE('rotation(7EA)'!K$12,'rotation(7EA)'!K$13,'rotation(7EA)'!K$14))</f>
        <v> </v>
      </c>
      <c r="M8" s="742" t="str">
        <f aca="false">IF('rotation(7EA)'!$X$7&lt;4," ",CONCATENATE('rotation(7EA)'!L$12,'rotation(7EA)'!L$13,'rotation(7EA)'!L$14))</f>
        <v> </v>
      </c>
      <c r="N8" s="742" t="str">
        <f aca="false">IF('rotation(7EA)'!$X$7&lt;4," ",CONCATENATE('rotation(7EA)'!M$12,'rotation(7EA)'!M$13,'rotation(7EA)'!M$14))</f>
        <v> </v>
      </c>
      <c r="O8" s="742" t="str">
        <f aca="false">IF('rotation(7EA)'!$X$7&lt;4," ",CONCATENATE('rotation(7EA)'!N$12,'rotation(7EA)'!N$13,'rotation(7EA)'!N$14))</f>
        <v> </v>
      </c>
      <c r="P8" s="742" t="str">
        <f aca="false">IF('rotation(7EA)'!$X$7&lt;4," ",CONCATENATE('rotation(7EA)'!O$12,'rotation(7EA)'!O$13,'rotation(7EA)'!O$14))</f>
        <v> </v>
      </c>
      <c r="Q8" s="742" t="str">
        <f aca="false">IF('rotation(7EA)'!$X$7&lt;4," ",CONCATENATE('rotation(7EA)'!P$12,'rotation(7EA)'!P$13,'rotation(7EA)'!P$14))</f>
        <v> </v>
      </c>
      <c r="R8" s="742" t="str">
        <f aca="false">IF('rotation(7EA)'!$X$7&lt;4," ",CONCATENATE('rotation(7EA)'!Q$12,'rotation(7EA)'!Q$13,'rotation(7EA)'!Q$14))</f>
        <v> </v>
      </c>
      <c r="S8" s="742" t="str">
        <f aca="false">IF('rotation(7EA)'!$X$7&lt;4," ",CONCATENATE('rotation(7EA)'!R$12,'rotation(7EA)'!R$13,'rotation(7EA)'!R$14))</f>
        <v> </v>
      </c>
      <c r="T8" s="742" t="str">
        <f aca="false">IF('rotation(7EA)'!$X$7&lt;4," ",CONCATENATE('rotation(7EA)'!S$12,'rotation(7EA)'!S$13,'rotation(7EA)'!S$14))</f>
        <v> </v>
      </c>
      <c r="U8" s="742" t="str">
        <f aca="false">IF('rotation(7EA)'!$X$7&lt;4," ",CONCATENATE('rotation(7EA)'!T$12,'rotation(7EA)'!T$13,'rotation(7EA)'!T$14))</f>
        <v> </v>
      </c>
      <c r="V8" s="742" t="str">
        <f aca="false">IF('rotation(7EA)'!$X$7&lt;4," ",CONCATENATE('rotation(7EA)'!U$12,'rotation(7EA)'!U$13,'rotation(7EA)'!U$14))</f>
        <v> </v>
      </c>
      <c r="W8" s="742" t="str">
        <f aca="false">IF('rotation(7EA)'!$X$7&lt;4," ",CONCATENATE('rotation(7EA)'!V$12,'rotation(7EA)'!V$13,'rotation(7EA)'!V$14))</f>
        <v> </v>
      </c>
    </row>
    <row r="10" customFormat="false" ht="12.75" hidden="false" customHeight="false" outlineLevel="0" collapsed="false">
      <c r="A10" s="759" t="s">
        <v>1357</v>
      </c>
      <c r="B10" s="760"/>
      <c r="C10" s="760"/>
      <c r="D10" s="761" t="n">
        <f aca="false">'rotation(7EA)'!C8*'GTDB(7EA)'!$C12+'rotation(7EA)'!C9*'GTDB(7EA)'!$C13+'rotation(7EA)'!C10*'GTDB(7EA)'!$C14</f>
        <v>0</v>
      </c>
      <c r="E10" s="761" t="n">
        <f aca="false">'rotation(7EA)'!D8*'GTDB(7EA)'!$C12+'rotation(7EA)'!D9*'GTDB(7EA)'!$C13+'rotation(7EA)'!D10*'GTDB(7EA)'!$C14</f>
        <v>0</v>
      </c>
      <c r="F10" s="761" t="n">
        <f aca="false">'rotation(7EA)'!E8*'GTDB(7EA)'!$C12+'rotation(7EA)'!E9*'GTDB(7EA)'!$C13+'rotation(7EA)'!E10*'GTDB(7EA)'!$C14</f>
        <v>0</v>
      </c>
      <c r="G10" s="761" t="n">
        <f aca="false">'rotation(7EA)'!F8*'GTDB(7EA)'!$C12+'rotation(7EA)'!F9*'GTDB(7EA)'!$C13+'rotation(7EA)'!F10*'GTDB(7EA)'!$C14</f>
        <v>0</v>
      </c>
      <c r="H10" s="761" t="n">
        <f aca="false">'rotation(7EA)'!G8*'GTDB(7EA)'!$C12+'rotation(7EA)'!G9*'GTDB(7EA)'!$C13+'rotation(7EA)'!G10*'GTDB(7EA)'!$C14</f>
        <v>0</v>
      </c>
      <c r="I10" s="761" t="n">
        <f aca="false">'rotation(7EA)'!H8*'GTDB(7EA)'!$C12+'rotation(7EA)'!H9*'GTDB(7EA)'!$C13+'rotation(7EA)'!H10*'GTDB(7EA)'!$C14</f>
        <v>0</v>
      </c>
      <c r="J10" s="761" t="n">
        <f aca="false">'rotation(7EA)'!I8*'GTDB(7EA)'!$C12+'rotation(7EA)'!I9*'GTDB(7EA)'!$C13+'rotation(7EA)'!I10*'GTDB(7EA)'!$C14</f>
        <v>0</v>
      </c>
      <c r="K10" s="761" t="n">
        <f aca="false">'rotation(7EA)'!J8*'GTDB(7EA)'!$C12+'rotation(7EA)'!J9*'GTDB(7EA)'!$C13+'rotation(7EA)'!J10*'GTDB(7EA)'!$C14</f>
        <v>0</v>
      </c>
      <c r="L10" s="761" t="n">
        <f aca="false">'rotation(7EA)'!K8*'GTDB(7EA)'!$C12+'rotation(7EA)'!K9*'GTDB(7EA)'!$C13+'rotation(7EA)'!K10*'GTDB(7EA)'!$C14</f>
        <v>0</v>
      </c>
      <c r="M10" s="761" t="n">
        <f aca="false">'rotation(7EA)'!L8*'GTDB(7EA)'!$C12+'rotation(7EA)'!L9*'GTDB(7EA)'!$C13+'rotation(7EA)'!L10*'GTDB(7EA)'!$C14</f>
        <v>0</v>
      </c>
      <c r="N10" s="761" t="n">
        <f aca="false">'rotation(7EA)'!M8*'GTDB(7EA)'!$C12+'rotation(7EA)'!M9*'GTDB(7EA)'!$C13+'rotation(7EA)'!M10*'GTDB(7EA)'!$C14</f>
        <v>0</v>
      </c>
      <c r="O10" s="761" t="n">
        <f aca="false">'rotation(7EA)'!N8*'GTDB(7EA)'!$C12+'rotation(7EA)'!N9*'GTDB(7EA)'!$C13+'rotation(7EA)'!N10*'GTDB(7EA)'!$C14</f>
        <v>0</v>
      </c>
      <c r="P10" s="761" t="n">
        <f aca="false">'rotation(7EA)'!O8*'GTDB(7EA)'!$C12+'rotation(7EA)'!O9*'GTDB(7EA)'!$C13+'rotation(7EA)'!O10*'GTDB(7EA)'!$C14</f>
        <v>0</v>
      </c>
      <c r="Q10" s="761" t="n">
        <f aca="false">'rotation(7EA)'!P8*'GTDB(7EA)'!$C12+'rotation(7EA)'!P9*'GTDB(7EA)'!$C13+'rotation(7EA)'!P10*'GTDB(7EA)'!$C14</f>
        <v>0</v>
      </c>
      <c r="R10" s="761" t="n">
        <f aca="false">'rotation(7EA)'!Q8*'GTDB(7EA)'!$C12+'rotation(7EA)'!Q9*'GTDB(7EA)'!$C13+'rotation(7EA)'!Q10*'GTDB(7EA)'!$C14</f>
        <v>0</v>
      </c>
      <c r="S10" s="761" t="n">
        <f aca="false">'rotation(7EA)'!R8*'GTDB(7EA)'!$C12+'rotation(7EA)'!R9*'GTDB(7EA)'!$C13+'rotation(7EA)'!R10*'GTDB(7EA)'!$C14</f>
        <v>0</v>
      </c>
      <c r="T10" s="761" t="n">
        <f aca="false">'rotation(7EA)'!S8*'GTDB(7EA)'!$C12+'rotation(7EA)'!S9*'GTDB(7EA)'!$C13+'rotation(7EA)'!S10*'GTDB(7EA)'!$C14</f>
        <v>0</v>
      </c>
      <c r="U10" s="761" t="n">
        <f aca="false">'rotation(7EA)'!T8*'GTDB(7EA)'!$C12+'rotation(7EA)'!T9*'GTDB(7EA)'!$C13+'rotation(7EA)'!T10*'GTDB(7EA)'!$C14</f>
        <v>0</v>
      </c>
      <c r="V10" s="761" t="n">
        <f aca="false">'rotation(7EA)'!U8*'GTDB(7EA)'!$C12+'rotation(7EA)'!U9*'GTDB(7EA)'!$C13+'rotation(7EA)'!U10*'GTDB(7EA)'!$C14</f>
        <v>0</v>
      </c>
      <c r="W10" s="761" t="n">
        <f aca="false">'rotation(7EA)'!V8*'GTDB(7EA)'!$C12+'rotation(7EA)'!V9*'GTDB(7EA)'!$C13+'rotation(7EA)'!V10*'GTDB(7EA)'!$C14</f>
        <v>0</v>
      </c>
      <c r="X10" s="762" t="n">
        <f aca="false">SUM(D10:W10)</f>
        <v>0</v>
      </c>
    </row>
    <row r="12" customFormat="false" ht="12.75" hidden="false" customHeight="false" outlineLevel="0" collapsed="false">
      <c r="A12" s="756" t="s">
        <v>1358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59" t="s">
        <v>1359</v>
      </c>
      <c r="B13" s="153" t="s">
        <v>1360</v>
      </c>
      <c r="C13" s="153" t="s">
        <v>1361</v>
      </c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</row>
    <row r="14" customFormat="false" ht="12.75" hidden="false" customHeight="false" outlineLevel="0" collapsed="false">
      <c r="A14" s="763" t="str">
        <f aca="false">'GTDB(7EA)'!A17</f>
        <v>Combustion Liners</v>
      </c>
      <c r="B14" s="763" t="n">
        <f aca="false">'GTDB(7EA)'!E17</f>
        <v>1058.9</v>
      </c>
      <c r="C14" s="763" t="str">
        <f aca="false">IF('rotation(7EA)'!AA17=0," ",B14*'rotation(7EA)'!AA17)</f>
        <v> </v>
      </c>
      <c r="D14" s="764" t="str">
        <f aca="false">IF('rotation(7EA)'!C18=0," ",$B14*'rotation(7EA)'!C18)</f>
        <v> </v>
      </c>
      <c r="E14" s="764" t="str">
        <f aca="false">IF('rotation(7EA)'!D18=0," ",$B14*'rotation(7EA)'!D18)</f>
        <v> </v>
      </c>
      <c r="F14" s="764" t="str">
        <f aca="false">IF('rotation(7EA)'!E18=0," ",$B14*'rotation(7EA)'!E18)</f>
        <v> </v>
      </c>
      <c r="G14" s="764" t="str">
        <f aca="false">IF('rotation(7EA)'!F18=0," ",$B14*'rotation(7EA)'!F18)</f>
        <v> </v>
      </c>
      <c r="H14" s="764" t="str">
        <f aca="false">IF('rotation(7EA)'!G18=0," ",$B14*'rotation(7EA)'!G18)</f>
        <v> </v>
      </c>
      <c r="I14" s="764" t="str">
        <f aca="false">IF('rotation(7EA)'!H18=0," ",$B14*'rotation(7EA)'!H18)</f>
        <v> </v>
      </c>
      <c r="J14" s="764" t="str">
        <f aca="false">IF('rotation(7EA)'!I18=0," ",$B14*'rotation(7EA)'!I18)</f>
        <v> </v>
      </c>
      <c r="K14" s="764" t="str">
        <f aca="false">IF('rotation(7EA)'!J18=0," ",$B14*'rotation(7EA)'!J18)</f>
        <v> </v>
      </c>
      <c r="L14" s="764" t="str">
        <f aca="false">IF('rotation(7EA)'!K18=0," ",$B14*'rotation(7EA)'!K18)</f>
        <v> </v>
      </c>
      <c r="M14" s="764" t="str">
        <f aca="false">IF('rotation(7EA)'!L18=0," ",$B14*'rotation(7EA)'!L18)</f>
        <v> </v>
      </c>
      <c r="N14" s="764" t="str">
        <f aca="false">IF('rotation(7EA)'!M18=0," ",$B14*'rotation(7EA)'!M18)</f>
        <v> </v>
      </c>
      <c r="O14" s="764" t="str">
        <f aca="false">IF('rotation(7EA)'!N18=0," ",$B14*'rotation(7EA)'!N18)</f>
        <v> </v>
      </c>
      <c r="P14" s="764" t="str">
        <f aca="false">IF('rotation(7EA)'!O18=0," ",$B14*'rotation(7EA)'!O18)</f>
        <v> </v>
      </c>
      <c r="Q14" s="764" t="str">
        <f aca="false">IF('rotation(7EA)'!P18=0," ",$B14*'rotation(7EA)'!P18)</f>
        <v> </v>
      </c>
      <c r="R14" s="764" t="str">
        <f aca="false">IF('rotation(7EA)'!Q18=0," ",$B14*'rotation(7EA)'!Q18)</f>
        <v> </v>
      </c>
      <c r="S14" s="764" t="str">
        <f aca="false">IF('rotation(7EA)'!R18=0," ",$B14*'rotation(7EA)'!R18)</f>
        <v> </v>
      </c>
      <c r="T14" s="764" t="str">
        <f aca="false">IF('rotation(7EA)'!S18=0," ",$B14*'rotation(7EA)'!S18)</f>
        <v> </v>
      </c>
      <c r="U14" s="764" t="str">
        <f aca="false">IF('rotation(7EA)'!T18=0," ",$B14*'rotation(7EA)'!T18)</f>
        <v> </v>
      </c>
      <c r="V14" s="764" t="str">
        <f aca="false">IF('rotation(7EA)'!U18=0," ",$B14*'rotation(7EA)'!U18)</f>
        <v> </v>
      </c>
      <c r="W14" s="764" t="str">
        <f aca="false">IF('rotation(7EA)'!V18=0," ",$B14*'rotation(7EA)'!V18)</f>
        <v> </v>
      </c>
      <c r="X14" s="666" t="n">
        <f aca="false">SUM(D14:W14)</f>
        <v>0</v>
      </c>
    </row>
    <row r="15" customFormat="false" ht="12.75" hidden="false" customHeight="false" outlineLevel="0" collapsed="false">
      <c r="A15" s="763" t="str">
        <f aca="false">'GTDB(7EA)'!A18</f>
        <v>Transition Pieces</v>
      </c>
      <c r="B15" s="763" t="n">
        <f aca="false">'GTDB(7EA)'!E18</f>
        <v>463.064</v>
      </c>
      <c r="C15" s="763" t="str">
        <f aca="false">IF('rotation(7EA)'!AA21=0," ",B15*'rotation(7EA)'!AA21)</f>
        <v> </v>
      </c>
      <c r="D15" s="764" t="str">
        <f aca="false">IF('rotation(7EA)'!C22=0," ",$B15*'rotation(7EA)'!C22)</f>
        <v> </v>
      </c>
      <c r="E15" s="764" t="str">
        <f aca="false">IF('rotation(7EA)'!D22=0," ",$B15*'rotation(7EA)'!D22)</f>
        <v> </v>
      </c>
      <c r="F15" s="764" t="str">
        <f aca="false">IF('rotation(7EA)'!E22=0," ",$B15*'rotation(7EA)'!E22)</f>
        <v> </v>
      </c>
      <c r="G15" s="764" t="str">
        <f aca="false">IF('rotation(7EA)'!F22=0," ",$B15*'rotation(7EA)'!F22)</f>
        <v> </v>
      </c>
      <c r="H15" s="764" t="str">
        <f aca="false">IF('rotation(7EA)'!G22=0," ",$B15*'rotation(7EA)'!G22)</f>
        <v> </v>
      </c>
      <c r="I15" s="764" t="str">
        <f aca="false">IF('rotation(7EA)'!H22=0," ",$B15*'rotation(7EA)'!H22)</f>
        <v> </v>
      </c>
      <c r="J15" s="764" t="str">
        <f aca="false">IF('rotation(7EA)'!I22=0," ",$B15*'rotation(7EA)'!I22)</f>
        <v> </v>
      </c>
      <c r="K15" s="764" t="str">
        <f aca="false">IF('rotation(7EA)'!J22=0," ",$B15*'rotation(7EA)'!J22)</f>
        <v> </v>
      </c>
      <c r="L15" s="764" t="str">
        <f aca="false">IF('rotation(7EA)'!K22=0," ",$B15*'rotation(7EA)'!K22)</f>
        <v> </v>
      </c>
      <c r="M15" s="764" t="str">
        <f aca="false">IF('rotation(7EA)'!L22=0," ",$B15*'rotation(7EA)'!L22)</f>
        <v> </v>
      </c>
      <c r="N15" s="764" t="str">
        <f aca="false">IF('rotation(7EA)'!M22=0," ",$B15*'rotation(7EA)'!M22)</f>
        <v> </v>
      </c>
      <c r="O15" s="764" t="str">
        <f aca="false">IF('rotation(7EA)'!N22=0," ",$B15*'rotation(7EA)'!N22)</f>
        <v> </v>
      </c>
      <c r="P15" s="764" t="str">
        <f aca="false">IF('rotation(7EA)'!O22=0," ",$B15*'rotation(7EA)'!O22)</f>
        <v> </v>
      </c>
      <c r="Q15" s="764" t="str">
        <f aca="false">IF('rotation(7EA)'!P22=0," ",$B15*'rotation(7EA)'!P22)</f>
        <v> </v>
      </c>
      <c r="R15" s="764" t="str">
        <f aca="false">IF('rotation(7EA)'!Q22=0," ",$B15*'rotation(7EA)'!Q22)</f>
        <v> </v>
      </c>
      <c r="S15" s="764" t="str">
        <f aca="false">IF('rotation(7EA)'!R22=0," ",$B15*'rotation(7EA)'!R22)</f>
        <v> </v>
      </c>
      <c r="T15" s="764" t="str">
        <f aca="false">IF('rotation(7EA)'!S22=0," ",$B15*'rotation(7EA)'!S22)</f>
        <v> </v>
      </c>
      <c r="U15" s="764" t="str">
        <f aca="false">IF('rotation(7EA)'!T22=0," ",$B15*'rotation(7EA)'!T22)</f>
        <v> </v>
      </c>
      <c r="V15" s="764" t="str">
        <f aca="false">IF('rotation(7EA)'!U22=0," ",$B15*'rotation(7EA)'!U22)</f>
        <v> </v>
      </c>
      <c r="W15" s="764" t="str">
        <f aca="false">IF('rotation(7EA)'!V22=0," ",$B15*'rotation(7EA)'!V22)</f>
        <v> </v>
      </c>
      <c r="X15" s="666" t="n">
        <f aca="false">SUM(D15:W15)</f>
        <v>0</v>
      </c>
    </row>
    <row r="16" customFormat="false" ht="12.75" hidden="false" customHeight="false" outlineLevel="0" collapsed="false">
      <c r="A16" s="763" t="str">
        <f aca="false">'GTDB(7EA)'!A19</f>
        <v>Fuel Nozzles</v>
      </c>
      <c r="B16" s="763" t="n">
        <f aca="false">'GTDB(7EA)'!E19</f>
        <v>489.47</v>
      </c>
      <c r="C16" s="763" t="str">
        <f aca="false">IF('rotation(7EA)'!AA29=0," ",B16*'rotation(7EA)'!AA29)</f>
        <v> </v>
      </c>
      <c r="D16" s="764" t="str">
        <f aca="false">IF('rotation(7EA)'!C30=0," ",$B16*'rotation(7EA)'!C30)</f>
        <v> </v>
      </c>
      <c r="E16" s="764" t="str">
        <f aca="false">IF('rotation(7EA)'!D30=0," ",$B16*'rotation(7EA)'!D30)</f>
        <v> </v>
      </c>
      <c r="F16" s="764" t="str">
        <f aca="false">IF('rotation(7EA)'!E30=0," ",$B16*'rotation(7EA)'!E30)</f>
        <v> </v>
      </c>
      <c r="G16" s="764" t="str">
        <f aca="false">IF('rotation(7EA)'!F30=0," ",$B16*'rotation(7EA)'!F30)</f>
        <v> </v>
      </c>
      <c r="H16" s="764" t="str">
        <f aca="false">IF('rotation(7EA)'!G30=0," ",$B16*'rotation(7EA)'!G30)</f>
        <v> </v>
      </c>
      <c r="I16" s="764" t="str">
        <f aca="false">IF('rotation(7EA)'!H30=0," ",$B16*'rotation(7EA)'!H30)</f>
        <v> </v>
      </c>
      <c r="J16" s="764" t="str">
        <f aca="false">IF('rotation(7EA)'!I30=0," ",$B16*'rotation(7EA)'!I30)</f>
        <v> </v>
      </c>
      <c r="K16" s="764" t="str">
        <f aca="false">IF('rotation(7EA)'!J30=0," ",$B16*'rotation(7EA)'!J30)</f>
        <v> </v>
      </c>
      <c r="L16" s="764" t="str">
        <f aca="false">IF('rotation(7EA)'!K30=0," ",$B16*'rotation(7EA)'!K30)</f>
        <v> </v>
      </c>
      <c r="M16" s="764" t="str">
        <f aca="false">IF('rotation(7EA)'!L30=0," ",$B16*'rotation(7EA)'!L30)</f>
        <v> </v>
      </c>
      <c r="N16" s="764" t="str">
        <f aca="false">IF('rotation(7EA)'!M30=0," ",$B16*'rotation(7EA)'!M30)</f>
        <v> </v>
      </c>
      <c r="O16" s="764" t="str">
        <f aca="false">IF('rotation(7EA)'!N30=0," ",$B16*'rotation(7EA)'!N30)</f>
        <v> </v>
      </c>
      <c r="P16" s="764" t="str">
        <f aca="false">IF('rotation(7EA)'!O30=0," ",$B16*'rotation(7EA)'!O30)</f>
        <v> </v>
      </c>
      <c r="Q16" s="764" t="str">
        <f aca="false">IF('rotation(7EA)'!P30=0," ",$B16*'rotation(7EA)'!P30)</f>
        <v> </v>
      </c>
      <c r="R16" s="764" t="str">
        <f aca="false">IF('rotation(7EA)'!Q30=0," ",$B16*'rotation(7EA)'!Q30)</f>
        <v> </v>
      </c>
      <c r="S16" s="764" t="str">
        <f aca="false">IF('rotation(7EA)'!R30=0," ",$B16*'rotation(7EA)'!R30)</f>
        <v> </v>
      </c>
      <c r="T16" s="764" t="str">
        <f aca="false">IF('rotation(7EA)'!S30=0," ",$B16*'rotation(7EA)'!S30)</f>
        <v> </v>
      </c>
      <c r="U16" s="764" t="str">
        <f aca="false">IF('rotation(7EA)'!T30=0," ",$B16*'rotation(7EA)'!T30)</f>
        <v> </v>
      </c>
      <c r="V16" s="764" t="str">
        <f aca="false">IF('rotation(7EA)'!U30=0," ",$B16*'rotation(7EA)'!U30)</f>
        <v> </v>
      </c>
      <c r="W16" s="764" t="str">
        <f aca="false">IF('rotation(7EA)'!V30=0," ",$B16*'rotation(7EA)'!V30)</f>
        <v> </v>
      </c>
      <c r="X16" s="666" t="n">
        <f aca="false">SUM(D16:W16)</f>
        <v>0</v>
      </c>
    </row>
    <row r="17" customFormat="false" ht="12.75" hidden="false" customHeight="false" outlineLevel="0" collapsed="false">
      <c r="A17" s="763" t="str">
        <f aca="false">'GTDB(7EA)'!A20</f>
        <v>Stage 1 Nozzles</v>
      </c>
      <c r="B17" s="763" t="n">
        <f aca="false">'GTDB(7EA)'!E20</f>
        <v>899.488</v>
      </c>
      <c r="C17" s="763" t="str">
        <f aca="false">IF('rotation(7EA)'!AA33=0," ",B17*'rotation(7EA)'!AA33)</f>
        <v> </v>
      </c>
      <c r="D17" s="764" t="str">
        <f aca="false">IF('rotation(7EA)'!C34=0," ",$B17*'rotation(7EA)'!C34)</f>
        <v> </v>
      </c>
      <c r="E17" s="764" t="str">
        <f aca="false">IF('rotation(7EA)'!D34=0," ",$B17*'rotation(7EA)'!D34)</f>
        <v> </v>
      </c>
      <c r="F17" s="764" t="str">
        <f aca="false">IF('rotation(7EA)'!E34=0," ",$B17*'rotation(7EA)'!E34)</f>
        <v> </v>
      </c>
      <c r="G17" s="764" t="str">
        <f aca="false">IF('rotation(7EA)'!F34=0," ",$B17*'rotation(7EA)'!F34)</f>
        <v> </v>
      </c>
      <c r="H17" s="764" t="str">
        <f aca="false">IF('rotation(7EA)'!G34=0," ",$B17*'rotation(7EA)'!G34)</f>
        <v> </v>
      </c>
      <c r="I17" s="764" t="str">
        <f aca="false">IF('rotation(7EA)'!H34=0," ",$B17*'rotation(7EA)'!H34)</f>
        <v> </v>
      </c>
      <c r="J17" s="764" t="str">
        <f aca="false">IF('rotation(7EA)'!I34=0," ",$B17*'rotation(7EA)'!I34)</f>
        <v> </v>
      </c>
      <c r="K17" s="764" t="str">
        <f aca="false">IF('rotation(7EA)'!J34=0," ",$B17*'rotation(7EA)'!J34)</f>
        <v> </v>
      </c>
      <c r="L17" s="764" t="str">
        <f aca="false">IF('rotation(7EA)'!K34=0," ",$B17*'rotation(7EA)'!K34)</f>
        <v> </v>
      </c>
      <c r="M17" s="764" t="str">
        <f aca="false">IF('rotation(7EA)'!L34=0," ",$B17*'rotation(7EA)'!L34)</f>
        <v> </v>
      </c>
      <c r="N17" s="764" t="str">
        <f aca="false">IF('rotation(7EA)'!M34=0," ",$B17*'rotation(7EA)'!M34)</f>
        <v> </v>
      </c>
      <c r="O17" s="764" t="str">
        <f aca="false">IF('rotation(7EA)'!N34=0," ",$B17*'rotation(7EA)'!N34)</f>
        <v> </v>
      </c>
      <c r="P17" s="764" t="str">
        <f aca="false">IF('rotation(7EA)'!O34=0," ",$B17*'rotation(7EA)'!O34)</f>
        <v> </v>
      </c>
      <c r="Q17" s="764" t="str">
        <f aca="false">IF('rotation(7EA)'!P34=0," ",$B17*'rotation(7EA)'!P34)</f>
        <v> </v>
      </c>
      <c r="R17" s="764" t="str">
        <f aca="false">IF('rotation(7EA)'!Q34=0," ",$B17*'rotation(7EA)'!Q34)</f>
        <v> </v>
      </c>
      <c r="S17" s="764" t="str">
        <f aca="false">IF('rotation(7EA)'!R34=0," ",$B17*'rotation(7EA)'!R34)</f>
        <v> </v>
      </c>
      <c r="T17" s="764" t="str">
        <f aca="false">IF('rotation(7EA)'!S34=0," ",$B17*'rotation(7EA)'!S34)</f>
        <v> </v>
      </c>
      <c r="U17" s="764" t="str">
        <f aca="false">IF('rotation(7EA)'!T34=0," ",$B17*'rotation(7EA)'!T34)</f>
        <v> </v>
      </c>
      <c r="V17" s="764" t="str">
        <f aca="false">IF('rotation(7EA)'!U34=0," ",$B17*'rotation(7EA)'!U34)</f>
        <v> </v>
      </c>
      <c r="W17" s="764" t="str">
        <f aca="false">IF('rotation(7EA)'!V34=0," ",$B17*'rotation(7EA)'!V34)</f>
        <v> </v>
      </c>
      <c r="X17" s="666" t="n">
        <f aca="false">SUM(D17:W17)</f>
        <v>0</v>
      </c>
    </row>
    <row r="18" customFormat="false" ht="12.75" hidden="false" customHeight="false" outlineLevel="0" collapsed="false">
      <c r="A18" s="763" t="str">
        <f aca="false">'GTDB(7EA)'!A21</f>
        <v>Stage 2 Nozzles</v>
      </c>
      <c r="B18" s="763" t="n">
        <f aca="false">'GTDB(7EA)'!E21</f>
        <v>926.971</v>
      </c>
      <c r="C18" s="763" t="str">
        <f aca="false">IF('rotation(7EA)'!AA37=0," ",B18*'rotation(7EA)'!AA37)</f>
        <v> </v>
      </c>
      <c r="D18" s="764" t="str">
        <f aca="false">IF('rotation(7EA)'!C38=0," ",$B18*'rotation(7EA)'!C38)</f>
        <v> </v>
      </c>
      <c r="E18" s="764" t="str">
        <f aca="false">IF('rotation(7EA)'!D38=0," ",$B18*'rotation(7EA)'!D38)</f>
        <v> </v>
      </c>
      <c r="F18" s="764" t="str">
        <f aca="false">IF('rotation(7EA)'!E38=0," ",$B18*'rotation(7EA)'!E38)</f>
        <v> </v>
      </c>
      <c r="G18" s="764" t="str">
        <f aca="false">IF('rotation(7EA)'!F38=0," ",$B18*'rotation(7EA)'!F38)</f>
        <v> </v>
      </c>
      <c r="H18" s="764" t="str">
        <f aca="false">IF('rotation(7EA)'!G38=0," ",$B18*'rotation(7EA)'!G38)</f>
        <v> </v>
      </c>
      <c r="I18" s="764" t="str">
        <f aca="false">IF('rotation(7EA)'!H38=0," ",$B18*'rotation(7EA)'!H38)</f>
        <v> </v>
      </c>
      <c r="J18" s="764" t="str">
        <f aca="false">IF('rotation(7EA)'!I38=0," ",$B18*'rotation(7EA)'!I38)</f>
        <v> </v>
      </c>
      <c r="K18" s="764" t="str">
        <f aca="false">IF('rotation(7EA)'!J38=0," ",$B18*'rotation(7EA)'!J38)</f>
        <v> </v>
      </c>
      <c r="L18" s="764" t="str">
        <f aca="false">IF('rotation(7EA)'!K38=0," ",$B18*'rotation(7EA)'!K38)</f>
        <v> </v>
      </c>
      <c r="M18" s="764" t="str">
        <f aca="false">IF('rotation(7EA)'!L38=0," ",$B18*'rotation(7EA)'!L38)</f>
        <v> </v>
      </c>
      <c r="N18" s="764" t="str">
        <f aca="false">IF('rotation(7EA)'!M38=0," ",$B18*'rotation(7EA)'!M38)</f>
        <v> </v>
      </c>
      <c r="O18" s="764" t="str">
        <f aca="false">IF('rotation(7EA)'!N38=0," ",$B18*'rotation(7EA)'!N38)</f>
        <v> </v>
      </c>
      <c r="P18" s="764" t="str">
        <f aca="false">IF('rotation(7EA)'!O38=0," ",$B18*'rotation(7EA)'!O38)</f>
        <v> </v>
      </c>
      <c r="Q18" s="764" t="str">
        <f aca="false">IF('rotation(7EA)'!P38=0," ",$B18*'rotation(7EA)'!P38)</f>
        <v> </v>
      </c>
      <c r="R18" s="764" t="str">
        <f aca="false">IF('rotation(7EA)'!Q38=0," ",$B18*'rotation(7EA)'!Q38)</f>
        <v> </v>
      </c>
      <c r="S18" s="764" t="str">
        <f aca="false">IF('rotation(7EA)'!R38=0," ",$B18*'rotation(7EA)'!R38)</f>
        <v> </v>
      </c>
      <c r="T18" s="764" t="str">
        <f aca="false">IF('rotation(7EA)'!S38=0," ",$B18*'rotation(7EA)'!S38)</f>
        <v> </v>
      </c>
      <c r="U18" s="764" t="str">
        <f aca="false">IF('rotation(7EA)'!T38=0," ",$B18*'rotation(7EA)'!T38)</f>
        <v> </v>
      </c>
      <c r="V18" s="764" t="str">
        <f aca="false">IF('rotation(7EA)'!U38=0," ",$B18*'rotation(7EA)'!U38)</f>
        <v> </v>
      </c>
      <c r="W18" s="764" t="str">
        <f aca="false">IF('rotation(7EA)'!V38=0," ",$B18*'rotation(7EA)'!V38)</f>
        <v> </v>
      </c>
      <c r="X18" s="666" t="n">
        <f aca="false">SUM(D18:W18)</f>
        <v>0</v>
      </c>
    </row>
    <row r="19" customFormat="false" ht="12.75" hidden="false" customHeight="false" outlineLevel="0" collapsed="false">
      <c r="A19" s="763" t="str">
        <f aca="false">'GTDB(7EA)'!A22</f>
        <v>Stage 3 Nozzles</v>
      </c>
      <c r="B19" s="763" t="n">
        <f aca="false">'GTDB(7EA)'!E22</f>
        <v>986.568</v>
      </c>
      <c r="C19" s="763" t="str">
        <f aca="false">IF('rotation(7EA)'!AA41=0," ",B19*'rotation(7EA)'!AA41)</f>
        <v> </v>
      </c>
      <c r="D19" s="764" t="str">
        <f aca="false">IF('rotation(7EA)'!C42=0," ",$B19*'rotation(7EA)'!C42)</f>
        <v> </v>
      </c>
      <c r="E19" s="764" t="str">
        <f aca="false">IF('rotation(7EA)'!D42=0," ",$B19*'rotation(7EA)'!D42)</f>
        <v> </v>
      </c>
      <c r="F19" s="764" t="str">
        <f aca="false">IF('rotation(7EA)'!E42=0," ",$B19*'rotation(7EA)'!E42)</f>
        <v> </v>
      </c>
      <c r="G19" s="764" t="str">
        <f aca="false">IF('rotation(7EA)'!F42=0," ",$B19*'rotation(7EA)'!F42)</f>
        <v> </v>
      </c>
      <c r="H19" s="764" t="str">
        <f aca="false">IF('rotation(7EA)'!G42=0," ",$B19*'rotation(7EA)'!G42)</f>
        <v> </v>
      </c>
      <c r="I19" s="764" t="str">
        <f aca="false">IF('rotation(7EA)'!H42=0," ",$B19*'rotation(7EA)'!H42)</f>
        <v> </v>
      </c>
      <c r="J19" s="764" t="str">
        <f aca="false">IF('rotation(7EA)'!I42=0," ",$B19*'rotation(7EA)'!I42)</f>
        <v> </v>
      </c>
      <c r="K19" s="764" t="str">
        <f aca="false">IF('rotation(7EA)'!J42=0," ",$B19*'rotation(7EA)'!J42)</f>
        <v> </v>
      </c>
      <c r="L19" s="764" t="str">
        <f aca="false">IF('rotation(7EA)'!K42=0," ",$B19*'rotation(7EA)'!K42)</f>
        <v> </v>
      </c>
      <c r="M19" s="764" t="str">
        <f aca="false">IF('rotation(7EA)'!L42=0," ",$B19*'rotation(7EA)'!L42)</f>
        <v> </v>
      </c>
      <c r="N19" s="764" t="str">
        <f aca="false">IF('rotation(7EA)'!M42=0," ",$B19*'rotation(7EA)'!M42)</f>
        <v> </v>
      </c>
      <c r="O19" s="764" t="str">
        <f aca="false">IF('rotation(7EA)'!N42=0," ",$B19*'rotation(7EA)'!N42)</f>
        <v> </v>
      </c>
      <c r="P19" s="764" t="str">
        <f aca="false">IF('rotation(7EA)'!O42=0," ",$B19*'rotation(7EA)'!O42)</f>
        <v> </v>
      </c>
      <c r="Q19" s="764" t="str">
        <f aca="false">IF('rotation(7EA)'!P42=0," ",$B19*'rotation(7EA)'!P42)</f>
        <v> </v>
      </c>
      <c r="R19" s="764" t="str">
        <f aca="false">IF('rotation(7EA)'!Q42=0," ",$B19*'rotation(7EA)'!Q42)</f>
        <v> </v>
      </c>
      <c r="S19" s="764" t="str">
        <f aca="false">IF('rotation(7EA)'!R42=0," ",$B19*'rotation(7EA)'!R42)</f>
        <v> </v>
      </c>
      <c r="T19" s="764" t="str">
        <f aca="false">IF('rotation(7EA)'!S42=0," ",$B19*'rotation(7EA)'!S42)</f>
        <v> </v>
      </c>
      <c r="U19" s="764" t="str">
        <f aca="false">IF('rotation(7EA)'!T42=0," ",$B19*'rotation(7EA)'!T42)</f>
        <v> </v>
      </c>
      <c r="V19" s="764" t="str">
        <f aca="false">IF('rotation(7EA)'!U42=0," ",$B19*'rotation(7EA)'!U42)</f>
        <v> </v>
      </c>
      <c r="W19" s="764" t="str">
        <f aca="false">IF('rotation(7EA)'!V42=0," ",$B19*'rotation(7EA)'!V42)</f>
        <v> </v>
      </c>
      <c r="X19" s="666" t="n">
        <f aca="false">SUM(D19:W19)</f>
        <v>0</v>
      </c>
    </row>
    <row r="20" customFormat="false" ht="12.75" hidden="false" customHeight="false" outlineLevel="0" collapsed="false">
      <c r="A20" s="763" t="str">
        <f aca="false">'GTDB(7EA)'!A23</f>
        <v>Stage 1 Buckets</v>
      </c>
      <c r="B20" s="763" t="n">
        <f aca="false">'GTDB(7EA)'!E23</f>
        <v>910.54</v>
      </c>
      <c r="C20" s="763" t="str">
        <f aca="false">IF('rotation(7EA)'!AA45=0," ",B20*'rotation(7EA)'!AA45)</f>
        <v> </v>
      </c>
      <c r="D20" s="764" t="str">
        <f aca="false">IF('rotation(7EA)'!C46=0," ",$B20*'rotation(7EA)'!C46)</f>
        <v> </v>
      </c>
      <c r="E20" s="764" t="str">
        <f aca="false">IF('rotation(7EA)'!D46=0," ",$B20*'rotation(7EA)'!D46)</f>
        <v> </v>
      </c>
      <c r="F20" s="764" t="str">
        <f aca="false">IF('rotation(7EA)'!E46=0," ",$B20*'rotation(7EA)'!E46)</f>
        <v> </v>
      </c>
      <c r="G20" s="764" t="str">
        <f aca="false">IF('rotation(7EA)'!F46=0," ",$B20*'rotation(7EA)'!F46)</f>
        <v> </v>
      </c>
      <c r="H20" s="764" t="str">
        <f aca="false">IF('rotation(7EA)'!G46=0," ",$B20*'rotation(7EA)'!G46)</f>
        <v> </v>
      </c>
      <c r="I20" s="764" t="str">
        <f aca="false">IF('rotation(7EA)'!H46=0," ",$B20*'rotation(7EA)'!H46)</f>
        <v> </v>
      </c>
      <c r="J20" s="764" t="str">
        <f aca="false">IF('rotation(7EA)'!I46=0," ",$B20*'rotation(7EA)'!I46)</f>
        <v> </v>
      </c>
      <c r="K20" s="764" t="str">
        <f aca="false">IF('rotation(7EA)'!J46=0," ",$B20*'rotation(7EA)'!J46)</f>
        <v> </v>
      </c>
      <c r="L20" s="764" t="str">
        <f aca="false">IF('rotation(7EA)'!K46=0," ",$B20*'rotation(7EA)'!K46)</f>
        <v> </v>
      </c>
      <c r="M20" s="764" t="str">
        <f aca="false">IF('rotation(7EA)'!L46=0," ",$B20*'rotation(7EA)'!L46)</f>
        <v> </v>
      </c>
      <c r="N20" s="764" t="str">
        <f aca="false">IF('rotation(7EA)'!M46=0," ",$B20*'rotation(7EA)'!M46)</f>
        <v> </v>
      </c>
      <c r="O20" s="764" t="str">
        <f aca="false">IF('rotation(7EA)'!N46=0," ",$B20*'rotation(7EA)'!N46)</f>
        <v> </v>
      </c>
      <c r="P20" s="764" t="str">
        <f aca="false">IF('rotation(7EA)'!O46=0," ",$B20*'rotation(7EA)'!O46)</f>
        <v> </v>
      </c>
      <c r="Q20" s="764" t="str">
        <f aca="false">IF('rotation(7EA)'!P46=0," ",$B20*'rotation(7EA)'!P46)</f>
        <v> </v>
      </c>
      <c r="R20" s="764" t="str">
        <f aca="false">IF('rotation(7EA)'!Q46=0," ",$B20*'rotation(7EA)'!Q46)</f>
        <v> </v>
      </c>
      <c r="S20" s="764" t="str">
        <f aca="false">IF('rotation(7EA)'!R46=0," ",$B20*'rotation(7EA)'!R46)</f>
        <v> </v>
      </c>
      <c r="T20" s="764" t="str">
        <f aca="false">IF('rotation(7EA)'!S46=0," ",$B20*'rotation(7EA)'!S46)</f>
        <v> </v>
      </c>
      <c r="U20" s="764" t="str">
        <f aca="false">IF('rotation(7EA)'!T46=0," ",$B20*'rotation(7EA)'!T46)</f>
        <v> </v>
      </c>
      <c r="V20" s="764" t="str">
        <f aca="false">IF('rotation(7EA)'!U46=0," ",$B20*'rotation(7EA)'!U46)</f>
        <v> </v>
      </c>
      <c r="W20" s="764" t="str">
        <f aca="false">IF('rotation(7EA)'!V46=0," ",$B20*'rotation(7EA)'!V46)</f>
        <v> </v>
      </c>
      <c r="X20" s="666" t="n">
        <f aca="false">SUM(D20:W20)</f>
        <v>0</v>
      </c>
    </row>
    <row r="21" customFormat="false" ht="12.75" hidden="false" customHeight="false" outlineLevel="0" collapsed="false">
      <c r="A21" s="763" t="str">
        <f aca="false">'GTDB(7EA)'!A24</f>
        <v>Stage 2 Buckets</v>
      </c>
      <c r="B21" s="763" t="n">
        <f aca="false">'GTDB(7EA)'!E24</f>
        <v>901.965</v>
      </c>
      <c r="C21" s="763" t="str">
        <f aca="false">IF('rotation(7EA)'!AA49=0," ",B21*'rotation(7EA)'!AA49)</f>
        <v> </v>
      </c>
      <c r="D21" s="764" t="str">
        <f aca="false">IF('rotation(7EA)'!C50=0," ",$B21*'rotation(7EA)'!C50)</f>
        <v> </v>
      </c>
      <c r="E21" s="764" t="str">
        <f aca="false">IF('rotation(7EA)'!D50=0," ",$B21*'rotation(7EA)'!D50)</f>
        <v> </v>
      </c>
      <c r="F21" s="764" t="str">
        <f aca="false">IF('rotation(7EA)'!E50=0," ",$B21*'rotation(7EA)'!E50)</f>
        <v> </v>
      </c>
      <c r="G21" s="764" t="str">
        <f aca="false">IF('rotation(7EA)'!F50=0," ",$B21*'rotation(7EA)'!F50)</f>
        <v> </v>
      </c>
      <c r="H21" s="764" t="str">
        <f aca="false">IF('rotation(7EA)'!G50=0," ",$B21*'rotation(7EA)'!G50)</f>
        <v> </v>
      </c>
      <c r="I21" s="764" t="str">
        <f aca="false">IF('rotation(7EA)'!H50=0," ",$B21*'rotation(7EA)'!H50)</f>
        <v> </v>
      </c>
      <c r="J21" s="764" t="str">
        <f aca="false">IF('rotation(7EA)'!I50=0," ",$B21*'rotation(7EA)'!I50)</f>
        <v> </v>
      </c>
      <c r="K21" s="764" t="str">
        <f aca="false">IF('rotation(7EA)'!J50=0," ",$B21*'rotation(7EA)'!J50)</f>
        <v> </v>
      </c>
      <c r="L21" s="764" t="str">
        <f aca="false">IF('rotation(7EA)'!K50=0," ",$B21*'rotation(7EA)'!K50)</f>
        <v> </v>
      </c>
      <c r="M21" s="764" t="str">
        <f aca="false">IF('rotation(7EA)'!L50=0," ",$B21*'rotation(7EA)'!L50)</f>
        <v> </v>
      </c>
      <c r="N21" s="764" t="str">
        <f aca="false">IF('rotation(7EA)'!M50=0," ",$B21*'rotation(7EA)'!M50)</f>
        <v> </v>
      </c>
      <c r="O21" s="764" t="str">
        <f aca="false">IF('rotation(7EA)'!N50=0," ",$B21*'rotation(7EA)'!N50)</f>
        <v> </v>
      </c>
      <c r="P21" s="764" t="str">
        <f aca="false">IF('rotation(7EA)'!O50=0," ",$B21*'rotation(7EA)'!O50)</f>
        <v> </v>
      </c>
      <c r="Q21" s="764" t="str">
        <f aca="false">IF('rotation(7EA)'!P50=0," ",$B21*'rotation(7EA)'!P50)</f>
        <v> </v>
      </c>
      <c r="R21" s="764" t="str">
        <f aca="false">IF('rotation(7EA)'!Q50=0," ",$B21*'rotation(7EA)'!Q50)</f>
        <v> </v>
      </c>
      <c r="S21" s="764" t="str">
        <f aca="false">IF('rotation(7EA)'!R50=0," ",$B21*'rotation(7EA)'!R50)</f>
        <v> </v>
      </c>
      <c r="T21" s="764" t="str">
        <f aca="false">IF('rotation(7EA)'!S50=0," ",$B21*'rotation(7EA)'!S50)</f>
        <v> </v>
      </c>
      <c r="U21" s="764" t="str">
        <f aca="false">IF('rotation(7EA)'!T50=0," ",$B21*'rotation(7EA)'!T50)</f>
        <v> </v>
      </c>
      <c r="V21" s="764" t="str">
        <f aca="false">IF('rotation(7EA)'!U50=0," ",$B21*'rotation(7EA)'!U50)</f>
        <v> </v>
      </c>
      <c r="W21" s="764" t="str">
        <f aca="false">IF('rotation(7EA)'!V50=0," ",$B21*'rotation(7EA)'!V50)</f>
        <v> </v>
      </c>
      <c r="X21" s="666" t="n">
        <f aca="false">SUM(D21:W21)</f>
        <v>0</v>
      </c>
    </row>
    <row r="22" customFormat="false" ht="12.75" hidden="false" customHeight="false" outlineLevel="0" collapsed="false">
      <c r="A22" s="763" t="str">
        <f aca="false">'GTDB(7EA)'!A25</f>
        <v>Stage 3 Buckets</v>
      </c>
      <c r="B22" s="763" t="n">
        <f aca="false">'GTDB(7EA)'!E25</f>
        <v>791.255</v>
      </c>
      <c r="C22" s="763" t="str">
        <f aca="false">IF('rotation(7EA)'!AA53=0," ",B22*'rotation(7EA)'!AA53)</f>
        <v> </v>
      </c>
      <c r="D22" s="764" t="str">
        <f aca="false">IF('rotation(7EA)'!C54=0," ",$B22*'rotation(7EA)'!C54)</f>
        <v> </v>
      </c>
      <c r="E22" s="764" t="str">
        <f aca="false">IF('rotation(7EA)'!D54=0," ",$B22*'rotation(7EA)'!D54)</f>
        <v> </v>
      </c>
      <c r="F22" s="764" t="str">
        <f aca="false">IF('rotation(7EA)'!E54=0," ",$B22*'rotation(7EA)'!E54)</f>
        <v> </v>
      </c>
      <c r="G22" s="764" t="str">
        <f aca="false">IF('rotation(7EA)'!F54=0," ",$B22*'rotation(7EA)'!F54)</f>
        <v> </v>
      </c>
      <c r="H22" s="764" t="str">
        <f aca="false">IF('rotation(7EA)'!G54=0," ",$B22*'rotation(7EA)'!G54)</f>
        <v> </v>
      </c>
      <c r="I22" s="764" t="str">
        <f aca="false">IF('rotation(7EA)'!H54=0," ",$B22*'rotation(7EA)'!H54)</f>
        <v> </v>
      </c>
      <c r="J22" s="764" t="str">
        <f aca="false">IF('rotation(7EA)'!I54=0," ",$B22*'rotation(7EA)'!I54)</f>
        <v> </v>
      </c>
      <c r="K22" s="764" t="str">
        <f aca="false">IF('rotation(7EA)'!J54=0," ",$B22*'rotation(7EA)'!J54)</f>
        <v> </v>
      </c>
      <c r="L22" s="764" t="str">
        <f aca="false">IF('rotation(7EA)'!K54=0," ",$B22*'rotation(7EA)'!K54)</f>
        <v> </v>
      </c>
      <c r="M22" s="764" t="str">
        <f aca="false">IF('rotation(7EA)'!L54=0," ",$B22*'rotation(7EA)'!L54)</f>
        <v> </v>
      </c>
      <c r="N22" s="764" t="str">
        <f aca="false">IF('rotation(7EA)'!M54=0," ",$B22*'rotation(7EA)'!M54)</f>
        <v> </v>
      </c>
      <c r="O22" s="764" t="str">
        <f aca="false">IF('rotation(7EA)'!N54=0," ",$B22*'rotation(7EA)'!N54)</f>
        <v> </v>
      </c>
      <c r="P22" s="764" t="str">
        <f aca="false">IF('rotation(7EA)'!O54=0," ",$B22*'rotation(7EA)'!O54)</f>
        <v> </v>
      </c>
      <c r="Q22" s="764" t="str">
        <f aca="false">IF('rotation(7EA)'!P54=0," ",$B22*'rotation(7EA)'!P54)</f>
        <v> </v>
      </c>
      <c r="R22" s="764" t="str">
        <f aca="false">IF('rotation(7EA)'!Q54=0," ",$B22*'rotation(7EA)'!Q54)</f>
        <v> </v>
      </c>
      <c r="S22" s="764" t="str">
        <f aca="false">IF('rotation(7EA)'!R54=0," ",$B22*'rotation(7EA)'!R54)</f>
        <v> </v>
      </c>
      <c r="T22" s="764" t="str">
        <f aca="false">IF('rotation(7EA)'!S54=0," ",$B22*'rotation(7EA)'!S54)</f>
        <v> </v>
      </c>
      <c r="U22" s="764" t="str">
        <f aca="false">IF('rotation(7EA)'!T54=0," ",$B22*'rotation(7EA)'!T54)</f>
        <v> </v>
      </c>
      <c r="V22" s="764" t="str">
        <f aca="false">IF('rotation(7EA)'!U54=0," ",$B22*'rotation(7EA)'!U54)</f>
        <v> </v>
      </c>
      <c r="W22" s="764" t="str">
        <f aca="false">IF('rotation(7EA)'!V54=0," ",$B22*'rotation(7EA)'!V54)</f>
        <v> </v>
      </c>
      <c r="X22" s="666" t="n">
        <f aca="false">SUM(D22:W22)</f>
        <v>0</v>
      </c>
    </row>
    <row r="23" customFormat="false" ht="12.75" hidden="false" customHeight="false" outlineLevel="0" collapsed="false">
      <c r="A23" s="763" t="str">
        <f aca="false">'GTDB(7EA)'!A26</f>
        <v>Row 1 Support Ring</v>
      </c>
      <c r="B23" s="763" t="n">
        <f aca="false">'GTDB(7EA)'!E26</f>
        <v>36.558</v>
      </c>
      <c r="C23" s="763" t="str">
        <f aca="false">IF('rotation(7EA)'!AA57=0," ",B23*'rotation(7EA)'!AA57)</f>
        <v> </v>
      </c>
      <c r="D23" s="764" t="str">
        <f aca="false">IF('rotation(7EA)'!C58=0," ",$B23*'rotation(7EA)'!C58)</f>
        <v> </v>
      </c>
      <c r="E23" s="764" t="str">
        <f aca="false">IF('rotation(7EA)'!D58=0," ",$B23*'rotation(7EA)'!D58)</f>
        <v> </v>
      </c>
      <c r="F23" s="764" t="str">
        <f aca="false">IF('rotation(7EA)'!E58=0," ",$B23*'rotation(7EA)'!E58)</f>
        <v> </v>
      </c>
      <c r="G23" s="764" t="str">
        <f aca="false">IF('rotation(7EA)'!F58=0," ",$B23*'rotation(7EA)'!F58)</f>
        <v> </v>
      </c>
      <c r="H23" s="764" t="str">
        <f aca="false">IF('rotation(7EA)'!G58=0," ",$B23*'rotation(7EA)'!G58)</f>
        <v> </v>
      </c>
      <c r="I23" s="764" t="str">
        <f aca="false">IF('rotation(7EA)'!H58=0," ",$B23*'rotation(7EA)'!H58)</f>
        <v> </v>
      </c>
      <c r="J23" s="764" t="str">
        <f aca="false">IF('rotation(7EA)'!I58=0," ",$B23*'rotation(7EA)'!I58)</f>
        <v> </v>
      </c>
      <c r="K23" s="764" t="str">
        <f aca="false">IF('rotation(7EA)'!J58=0," ",$B23*'rotation(7EA)'!J58)</f>
        <v> </v>
      </c>
      <c r="L23" s="764" t="str">
        <f aca="false">IF('rotation(7EA)'!K58=0," ",$B23*'rotation(7EA)'!K58)</f>
        <v> </v>
      </c>
      <c r="M23" s="764" t="str">
        <f aca="false">IF('rotation(7EA)'!L58=0," ",$B23*'rotation(7EA)'!L58)</f>
        <v> </v>
      </c>
      <c r="N23" s="764" t="str">
        <f aca="false">IF('rotation(7EA)'!M58=0," ",$B23*'rotation(7EA)'!M58)</f>
        <v> </v>
      </c>
      <c r="O23" s="764" t="str">
        <f aca="false">IF('rotation(7EA)'!N58=0," ",$B23*'rotation(7EA)'!N58)</f>
        <v> </v>
      </c>
      <c r="P23" s="764" t="str">
        <f aca="false">IF('rotation(7EA)'!O58=0," ",$B23*'rotation(7EA)'!O58)</f>
        <v> </v>
      </c>
      <c r="Q23" s="764" t="str">
        <f aca="false">IF('rotation(7EA)'!P58=0," ",$B23*'rotation(7EA)'!P58)</f>
        <v> </v>
      </c>
      <c r="R23" s="764" t="str">
        <f aca="false">IF('rotation(7EA)'!Q58=0," ",$B23*'rotation(7EA)'!Q58)</f>
        <v> </v>
      </c>
      <c r="S23" s="764" t="str">
        <f aca="false">IF('rotation(7EA)'!R58=0," ",$B23*'rotation(7EA)'!R58)</f>
        <v> </v>
      </c>
      <c r="T23" s="764" t="str">
        <f aca="false">IF('rotation(7EA)'!S58=0," ",$B23*'rotation(7EA)'!S58)</f>
        <v> </v>
      </c>
      <c r="U23" s="764" t="str">
        <f aca="false">IF('rotation(7EA)'!T58=0," ",$B23*'rotation(7EA)'!T58)</f>
        <v> </v>
      </c>
      <c r="V23" s="764" t="str">
        <f aca="false">IF('rotation(7EA)'!U58=0," ",$B23*'rotation(7EA)'!U58)</f>
        <v> </v>
      </c>
      <c r="W23" s="764" t="str">
        <f aca="false">IF('rotation(7EA)'!V58=0," ",$B23*'rotation(7EA)'!V58)</f>
        <v> </v>
      </c>
      <c r="X23" s="666" t="n">
        <f aca="false">SUM(D23:W23)</f>
        <v>0</v>
      </c>
    </row>
    <row r="24" customFormat="false" ht="12.75" hidden="false" customHeight="false" outlineLevel="0" collapsed="false">
      <c r="A24" s="763" t="str">
        <f aca="false">'GTDB(7EA)'!A27</f>
        <v>1st Stage Shroud Blocks </v>
      </c>
      <c r="B24" s="763" t="n">
        <f aca="false">'GTDB(7EA)'!E27</f>
        <v>182.902</v>
      </c>
      <c r="C24" s="763" t="str">
        <f aca="false">IF('rotation(7EA)'!AA61=0," ",B24*'rotation(7EA)'!AA61)</f>
        <v> </v>
      </c>
      <c r="D24" s="764" t="str">
        <f aca="false">IF('rotation(7EA)'!C62=0," ",$B24*'rotation(7EA)'!C62)</f>
        <v> </v>
      </c>
      <c r="E24" s="764" t="str">
        <f aca="false">IF('rotation(7EA)'!D62=0," ",$B24*'rotation(7EA)'!D62)</f>
        <v> </v>
      </c>
      <c r="F24" s="764" t="str">
        <f aca="false">IF('rotation(7EA)'!E62=0," ",$B24*'rotation(7EA)'!E62)</f>
        <v> </v>
      </c>
      <c r="G24" s="764" t="str">
        <f aca="false">IF('rotation(7EA)'!F62=0," ",$B24*'rotation(7EA)'!F62)</f>
        <v> </v>
      </c>
      <c r="H24" s="764" t="str">
        <f aca="false">IF('rotation(7EA)'!G62=0," ",$B24*'rotation(7EA)'!G62)</f>
        <v> </v>
      </c>
      <c r="I24" s="764" t="str">
        <f aca="false">IF('rotation(7EA)'!H62=0," ",$B24*'rotation(7EA)'!H62)</f>
        <v> </v>
      </c>
      <c r="J24" s="764" t="str">
        <f aca="false">IF('rotation(7EA)'!I62=0," ",$B24*'rotation(7EA)'!I62)</f>
        <v> </v>
      </c>
      <c r="K24" s="764" t="str">
        <f aca="false">IF('rotation(7EA)'!J62=0," ",$B24*'rotation(7EA)'!J62)</f>
        <v> </v>
      </c>
      <c r="L24" s="764" t="str">
        <f aca="false">IF('rotation(7EA)'!K62=0," ",$B24*'rotation(7EA)'!K62)</f>
        <v> </v>
      </c>
      <c r="M24" s="764" t="str">
        <f aca="false">IF('rotation(7EA)'!L62=0," ",$B24*'rotation(7EA)'!L62)</f>
        <v> </v>
      </c>
      <c r="N24" s="764" t="str">
        <f aca="false">IF('rotation(7EA)'!M62=0," ",$B24*'rotation(7EA)'!M62)</f>
        <v> </v>
      </c>
      <c r="O24" s="764" t="str">
        <f aca="false">IF('rotation(7EA)'!N62=0," ",$B24*'rotation(7EA)'!N62)</f>
        <v> </v>
      </c>
      <c r="P24" s="764" t="str">
        <f aca="false">IF('rotation(7EA)'!O62=0," ",$B24*'rotation(7EA)'!O62)</f>
        <v> </v>
      </c>
      <c r="Q24" s="764" t="str">
        <f aca="false">IF('rotation(7EA)'!P62=0," ",$B24*'rotation(7EA)'!P62)</f>
        <v> </v>
      </c>
      <c r="R24" s="764" t="str">
        <f aca="false">IF('rotation(7EA)'!Q62=0," ",$B24*'rotation(7EA)'!Q62)</f>
        <v> </v>
      </c>
      <c r="S24" s="764" t="str">
        <f aca="false">IF('rotation(7EA)'!R62=0," ",$B24*'rotation(7EA)'!R62)</f>
        <v> </v>
      </c>
      <c r="T24" s="764" t="str">
        <f aca="false">IF('rotation(7EA)'!S62=0," ",$B24*'rotation(7EA)'!S62)</f>
        <v> </v>
      </c>
      <c r="U24" s="764" t="str">
        <f aca="false">IF('rotation(7EA)'!T62=0," ",$B24*'rotation(7EA)'!T62)</f>
        <v> </v>
      </c>
      <c r="V24" s="764" t="str">
        <f aca="false">IF('rotation(7EA)'!U62=0," ",$B24*'rotation(7EA)'!U62)</f>
        <v> </v>
      </c>
      <c r="W24" s="764" t="str">
        <f aca="false">IF('rotation(7EA)'!V62=0," ",$B24*'rotation(7EA)'!V62)</f>
        <v> </v>
      </c>
      <c r="X24" s="666" t="n">
        <f aca="false">SUM(D24:W24)</f>
        <v>0</v>
      </c>
    </row>
    <row r="25" customFormat="false" ht="12.75" hidden="false" customHeight="false" outlineLevel="0" collapsed="false">
      <c r="A25" s="763" t="str">
        <f aca="false">'GTDB(7EA)'!A28</f>
        <v>2nd Stage Shroud Blocks</v>
      </c>
      <c r="B25" s="763" t="n">
        <f aca="false">'GTDB(7EA)'!E28</f>
        <v>137.414</v>
      </c>
      <c r="C25" s="763" t="str">
        <f aca="false">IF('rotation(7EA)'!AA65=0," ",B25*'rotation(7EA)'!AA65)</f>
        <v> </v>
      </c>
      <c r="D25" s="764" t="str">
        <f aca="false">IF('rotation(7EA)'!C66=0," ",$B25*'rotation(7EA)'!C66)</f>
        <v> </v>
      </c>
      <c r="E25" s="764" t="str">
        <f aca="false">IF('rotation(7EA)'!D66=0," ",$B25*'rotation(7EA)'!D66)</f>
        <v> </v>
      </c>
      <c r="F25" s="764" t="str">
        <f aca="false">IF('rotation(7EA)'!E66=0," ",$B25*'rotation(7EA)'!E66)</f>
        <v> </v>
      </c>
      <c r="G25" s="764" t="str">
        <f aca="false">IF('rotation(7EA)'!F66=0," ",$B25*'rotation(7EA)'!F66)</f>
        <v> </v>
      </c>
      <c r="H25" s="764" t="str">
        <f aca="false">IF('rotation(7EA)'!G66=0," ",$B25*'rotation(7EA)'!G66)</f>
        <v> </v>
      </c>
      <c r="I25" s="764" t="str">
        <f aca="false">IF('rotation(7EA)'!H66=0," ",$B25*'rotation(7EA)'!H66)</f>
        <v> </v>
      </c>
      <c r="J25" s="764" t="str">
        <f aca="false">IF('rotation(7EA)'!I66=0," ",$B25*'rotation(7EA)'!I66)</f>
        <v> </v>
      </c>
      <c r="K25" s="764" t="str">
        <f aca="false">IF('rotation(7EA)'!J66=0," ",$B25*'rotation(7EA)'!J66)</f>
        <v> </v>
      </c>
      <c r="L25" s="764" t="str">
        <f aca="false">IF('rotation(7EA)'!K66=0," ",$B25*'rotation(7EA)'!K66)</f>
        <v> </v>
      </c>
      <c r="M25" s="764" t="str">
        <f aca="false">IF('rotation(7EA)'!L66=0," ",$B25*'rotation(7EA)'!L66)</f>
        <v> </v>
      </c>
      <c r="N25" s="764" t="str">
        <f aca="false">IF('rotation(7EA)'!M66=0," ",$B25*'rotation(7EA)'!M66)</f>
        <v> </v>
      </c>
      <c r="O25" s="764" t="str">
        <f aca="false">IF('rotation(7EA)'!N66=0," ",$B25*'rotation(7EA)'!N66)</f>
        <v> </v>
      </c>
      <c r="P25" s="764" t="str">
        <f aca="false">IF('rotation(7EA)'!O66=0," ",$B25*'rotation(7EA)'!O66)</f>
        <v> </v>
      </c>
      <c r="Q25" s="764" t="str">
        <f aca="false">IF('rotation(7EA)'!P66=0," ",$B25*'rotation(7EA)'!P66)</f>
        <v> </v>
      </c>
      <c r="R25" s="764" t="str">
        <f aca="false">IF('rotation(7EA)'!Q66=0," ",$B25*'rotation(7EA)'!Q66)</f>
        <v> </v>
      </c>
      <c r="S25" s="764" t="str">
        <f aca="false">IF('rotation(7EA)'!R66=0," ",$B25*'rotation(7EA)'!R66)</f>
        <v> </v>
      </c>
      <c r="T25" s="764" t="str">
        <f aca="false">IF('rotation(7EA)'!S66=0," ",$B25*'rotation(7EA)'!S66)</f>
        <v> </v>
      </c>
      <c r="U25" s="764" t="str">
        <f aca="false">IF('rotation(7EA)'!T66=0," ",$B25*'rotation(7EA)'!T66)</f>
        <v> </v>
      </c>
      <c r="V25" s="764" t="str">
        <f aca="false">IF('rotation(7EA)'!U66=0," ",$B25*'rotation(7EA)'!U66)</f>
        <v> </v>
      </c>
      <c r="W25" s="764" t="str">
        <f aca="false">IF('rotation(7EA)'!V66=0," ",$B25*'rotation(7EA)'!V66)</f>
        <v> </v>
      </c>
      <c r="X25" s="666" t="n">
        <f aca="false">SUM(D25:W25)</f>
        <v>0</v>
      </c>
    </row>
    <row r="26" customFormat="false" ht="12.75" hidden="false" customHeight="false" outlineLevel="0" collapsed="false">
      <c r="A26" s="763" t="str">
        <f aca="false">'GTDB(7EA)'!A29</f>
        <v>3rd Stage Shroud Blocks</v>
      </c>
      <c r="B26" s="763" t="n">
        <f aca="false">'GTDB(7EA)'!E29</f>
        <v>74.762</v>
      </c>
      <c r="C26" s="763" t="str">
        <f aca="false">IF('rotation(7EA)'!AA69=0," ",B26*'rotation(7EA)'!AA69)</f>
        <v> </v>
      </c>
      <c r="D26" s="764" t="str">
        <f aca="false">IF('rotation(7EA)'!C70=0," ",$B26*'rotation(7EA)'!C70)</f>
        <v> </v>
      </c>
      <c r="E26" s="764" t="str">
        <f aca="false">IF('rotation(7EA)'!D70=0," ",$B26*'rotation(7EA)'!D70)</f>
        <v> </v>
      </c>
      <c r="F26" s="764" t="str">
        <f aca="false">IF('rotation(7EA)'!E70=0," ",$B26*'rotation(7EA)'!E70)</f>
        <v> </v>
      </c>
      <c r="G26" s="764" t="str">
        <f aca="false">IF('rotation(7EA)'!F70=0," ",$B26*'rotation(7EA)'!F70)</f>
        <v> </v>
      </c>
      <c r="H26" s="764" t="str">
        <f aca="false">IF('rotation(7EA)'!G70=0," ",$B26*'rotation(7EA)'!G70)</f>
        <v> </v>
      </c>
      <c r="I26" s="764" t="str">
        <f aca="false">IF('rotation(7EA)'!H70=0," ",$B26*'rotation(7EA)'!H70)</f>
        <v> </v>
      </c>
      <c r="J26" s="764" t="str">
        <f aca="false">IF('rotation(7EA)'!I70=0," ",$B26*'rotation(7EA)'!I70)</f>
        <v> </v>
      </c>
      <c r="K26" s="764" t="str">
        <f aca="false">IF('rotation(7EA)'!J70=0," ",$B26*'rotation(7EA)'!J70)</f>
        <v> </v>
      </c>
      <c r="L26" s="764" t="str">
        <f aca="false">IF('rotation(7EA)'!K70=0," ",$B26*'rotation(7EA)'!K70)</f>
        <v> </v>
      </c>
      <c r="M26" s="764" t="str">
        <f aca="false">IF('rotation(7EA)'!L70=0," ",$B26*'rotation(7EA)'!L70)</f>
        <v> </v>
      </c>
      <c r="N26" s="764" t="str">
        <f aca="false">IF('rotation(7EA)'!M70=0," ",$B26*'rotation(7EA)'!M70)</f>
        <v> </v>
      </c>
      <c r="O26" s="764" t="str">
        <f aca="false">IF('rotation(7EA)'!N70=0," ",$B26*'rotation(7EA)'!N70)</f>
        <v> </v>
      </c>
      <c r="P26" s="764" t="str">
        <f aca="false">IF('rotation(7EA)'!O70=0," ",$B26*'rotation(7EA)'!O70)</f>
        <v> </v>
      </c>
      <c r="Q26" s="764" t="str">
        <f aca="false">IF('rotation(7EA)'!P70=0," ",$B26*'rotation(7EA)'!P70)</f>
        <v> </v>
      </c>
      <c r="R26" s="764" t="str">
        <f aca="false">IF('rotation(7EA)'!Q70=0," ",$B26*'rotation(7EA)'!Q70)</f>
        <v> </v>
      </c>
      <c r="S26" s="764" t="str">
        <f aca="false">IF('rotation(7EA)'!R70=0," ",$B26*'rotation(7EA)'!R70)</f>
        <v> </v>
      </c>
      <c r="T26" s="764" t="str">
        <f aca="false">IF('rotation(7EA)'!S70=0," ",$B26*'rotation(7EA)'!S70)</f>
        <v> </v>
      </c>
      <c r="U26" s="764" t="str">
        <f aca="false">IF('rotation(7EA)'!T70=0," ",$B26*'rotation(7EA)'!T70)</f>
        <v> </v>
      </c>
      <c r="V26" s="764" t="str">
        <f aca="false">IF('rotation(7EA)'!U70=0," ",$B26*'rotation(7EA)'!U70)</f>
        <v> </v>
      </c>
      <c r="W26" s="764" t="str">
        <f aca="false">IF('rotation(7EA)'!V70=0," ",$B26*'rotation(7EA)'!V70)</f>
        <v> </v>
      </c>
      <c r="X26" s="666" t="n">
        <f aca="false">SUM(D26:W26)</f>
        <v>0</v>
      </c>
    </row>
    <row r="27" customFormat="false" ht="12.75" hidden="false" customHeight="false" outlineLevel="0" collapsed="false">
      <c r="A27" s="759" t="s">
        <v>1362</v>
      </c>
      <c r="B27" s="763" t="n">
        <f aca="false">'GTDB(7EA)'!D12</f>
        <v>20.332</v>
      </c>
      <c r="C27" s="763"/>
      <c r="D27" s="764" t="str">
        <f aca="false">IF('rotation(7EA)'!C8=0," ",$B27*'rotation(7EA)'!C8)</f>
        <v> </v>
      </c>
      <c r="E27" s="764" t="str">
        <f aca="false">IF('rotation(7EA)'!D8=0," ",$B27*'rotation(7EA)'!D8)</f>
        <v> </v>
      </c>
      <c r="F27" s="764" t="str">
        <f aca="false">IF('rotation(7EA)'!E8=0," ",$B27*'rotation(7EA)'!E8)</f>
        <v> </v>
      </c>
      <c r="G27" s="764" t="str">
        <f aca="false">IF('rotation(7EA)'!F8=0," ",$B27*'rotation(7EA)'!F8)</f>
        <v> </v>
      </c>
      <c r="H27" s="764" t="str">
        <f aca="false">IF('rotation(7EA)'!G8=0," ",$B27*'rotation(7EA)'!G8)</f>
        <v> </v>
      </c>
      <c r="I27" s="764" t="str">
        <f aca="false">IF('rotation(7EA)'!H8=0," ",$B27*'rotation(7EA)'!H8)</f>
        <v> </v>
      </c>
      <c r="J27" s="764" t="str">
        <f aca="false">IF('rotation(7EA)'!I8=0," ",$B27*'rotation(7EA)'!I8)</f>
        <v> </v>
      </c>
      <c r="K27" s="764" t="str">
        <f aca="false">IF('rotation(7EA)'!J8=0," ",$B27*'rotation(7EA)'!J8)</f>
        <v> </v>
      </c>
      <c r="L27" s="764" t="str">
        <f aca="false">IF('rotation(7EA)'!K8=0," ",$B27*'rotation(7EA)'!K8)</f>
        <v> </v>
      </c>
      <c r="M27" s="764" t="str">
        <f aca="false">IF('rotation(7EA)'!L8=0," ",$B27*'rotation(7EA)'!L8)</f>
        <v> </v>
      </c>
      <c r="N27" s="764" t="str">
        <f aca="false">IF('rotation(7EA)'!M8=0," ",$B27*'rotation(7EA)'!M8)</f>
        <v> </v>
      </c>
      <c r="O27" s="764" t="str">
        <f aca="false">IF('rotation(7EA)'!N8=0," ",$B27*'rotation(7EA)'!N8)</f>
        <v> </v>
      </c>
      <c r="P27" s="764" t="str">
        <f aca="false">IF('rotation(7EA)'!O8=0," ",$B27*'rotation(7EA)'!O8)</f>
        <v> </v>
      </c>
      <c r="Q27" s="764" t="str">
        <f aca="false">IF('rotation(7EA)'!P8=0," ",$B27*'rotation(7EA)'!P8)</f>
        <v> </v>
      </c>
      <c r="R27" s="764" t="str">
        <f aca="false">IF('rotation(7EA)'!Q8=0," ",$B27*'rotation(7EA)'!Q8)</f>
        <v> </v>
      </c>
      <c r="S27" s="764" t="str">
        <f aca="false">IF('rotation(7EA)'!R8=0," ",$B27*'rotation(7EA)'!R8)</f>
        <v> </v>
      </c>
      <c r="T27" s="764" t="str">
        <f aca="false">IF('rotation(7EA)'!S8=0," ",$B27*'rotation(7EA)'!S8)</f>
        <v> </v>
      </c>
      <c r="U27" s="764" t="str">
        <f aca="false">IF('rotation(7EA)'!T8=0," ",$B27*'rotation(7EA)'!T8)</f>
        <v> </v>
      </c>
      <c r="V27" s="764" t="str">
        <f aca="false">IF('rotation(7EA)'!U8=0," ",$B27*'rotation(7EA)'!U8)</f>
        <v> </v>
      </c>
      <c r="W27" s="764" t="str">
        <f aca="false">IF('rotation(7EA)'!V8=0," ",$B27*'rotation(7EA)'!V8)</f>
        <v> </v>
      </c>
      <c r="X27" s="666" t="n">
        <f aca="false">SUM(D27:W27)</f>
        <v>0</v>
      </c>
    </row>
    <row r="28" customFormat="false" ht="12.75" hidden="false" customHeight="false" outlineLevel="0" collapsed="false">
      <c r="A28" s="759" t="s">
        <v>1363</v>
      </c>
      <c r="B28" s="763" t="n">
        <f aca="false">'GTDB(7EA)'!D13</f>
        <v>32.328</v>
      </c>
      <c r="C28" s="763"/>
      <c r="D28" s="764" t="str">
        <f aca="false">IF('rotation(7EA)'!C9=0," ",$B28*'rotation(7EA)'!C9)</f>
        <v> </v>
      </c>
      <c r="E28" s="764" t="str">
        <f aca="false">IF('rotation(7EA)'!D9=0," ",$B28*'rotation(7EA)'!D9)</f>
        <v> </v>
      </c>
      <c r="F28" s="764" t="str">
        <f aca="false">IF('rotation(7EA)'!E9=0," ",$B28*'rotation(7EA)'!E9)</f>
        <v> </v>
      </c>
      <c r="G28" s="764" t="str">
        <f aca="false">IF('rotation(7EA)'!F9=0," ",$B28*'rotation(7EA)'!F9)</f>
        <v> </v>
      </c>
      <c r="H28" s="764" t="str">
        <f aca="false">IF('rotation(7EA)'!G9=0," ",$B28*'rotation(7EA)'!G9)</f>
        <v> </v>
      </c>
      <c r="I28" s="764" t="str">
        <f aca="false">IF('rotation(7EA)'!H9=0," ",$B28*'rotation(7EA)'!H9)</f>
        <v> </v>
      </c>
      <c r="J28" s="764" t="str">
        <f aca="false">IF('rotation(7EA)'!I9=0," ",$B28*'rotation(7EA)'!I9)</f>
        <v> </v>
      </c>
      <c r="K28" s="764" t="str">
        <f aca="false">IF('rotation(7EA)'!J9=0," ",$B28*'rotation(7EA)'!J9)</f>
        <v> </v>
      </c>
      <c r="L28" s="764" t="str">
        <f aca="false">IF('rotation(7EA)'!K9=0," ",$B28*'rotation(7EA)'!K9)</f>
        <v> </v>
      </c>
      <c r="M28" s="764" t="str">
        <f aca="false">IF('rotation(7EA)'!L9=0," ",$B28*'rotation(7EA)'!L9)</f>
        <v> </v>
      </c>
      <c r="N28" s="764" t="str">
        <f aca="false">IF('rotation(7EA)'!M9=0," ",$B28*'rotation(7EA)'!M9)</f>
        <v> </v>
      </c>
      <c r="O28" s="764" t="str">
        <f aca="false">IF('rotation(7EA)'!N9=0," ",$B28*'rotation(7EA)'!N9)</f>
        <v> </v>
      </c>
      <c r="P28" s="764" t="str">
        <f aca="false">IF('rotation(7EA)'!O9=0," ",$B28*'rotation(7EA)'!O9)</f>
        <v> </v>
      </c>
      <c r="Q28" s="764" t="str">
        <f aca="false">IF('rotation(7EA)'!P9=0," ",$B28*'rotation(7EA)'!P9)</f>
        <v> </v>
      </c>
      <c r="R28" s="764" t="str">
        <f aca="false">IF('rotation(7EA)'!Q9=0," ",$B28*'rotation(7EA)'!Q9)</f>
        <v> </v>
      </c>
      <c r="S28" s="764" t="str">
        <f aca="false">IF('rotation(7EA)'!R9=0," ",$B28*'rotation(7EA)'!R9)</f>
        <v> </v>
      </c>
      <c r="T28" s="764" t="str">
        <f aca="false">IF('rotation(7EA)'!S9=0," ",$B28*'rotation(7EA)'!S9)</f>
        <v> </v>
      </c>
      <c r="U28" s="764" t="str">
        <f aca="false">IF('rotation(7EA)'!T9=0," ",$B28*'rotation(7EA)'!T9)</f>
        <v> </v>
      </c>
      <c r="V28" s="764" t="str">
        <f aca="false">IF('rotation(7EA)'!U9=0," ",$B28*'rotation(7EA)'!U9)</f>
        <v> </v>
      </c>
      <c r="W28" s="764" t="str">
        <f aca="false">IF('rotation(7EA)'!V9=0," ",$B28*'rotation(7EA)'!V9)</f>
        <v> </v>
      </c>
      <c r="X28" s="666" t="n">
        <f aca="false">SUM(D28:W28)</f>
        <v>0</v>
      </c>
    </row>
    <row r="29" customFormat="false" ht="12.75" hidden="false" customHeight="false" outlineLevel="0" collapsed="false">
      <c r="A29" s="759" t="s">
        <v>1364</v>
      </c>
      <c r="B29" s="763" t="n">
        <f aca="false">'GTDB(7EA)'!D14</f>
        <v>154.464</v>
      </c>
      <c r="C29" s="763"/>
      <c r="D29" s="764" t="str">
        <f aca="false">IF('rotation(7EA)'!C10=0," ",$B29*'rotation(7EA)'!C10)</f>
        <v> </v>
      </c>
      <c r="E29" s="764" t="str">
        <f aca="false">IF('rotation(7EA)'!D10=0," ",$B29*'rotation(7EA)'!D10)</f>
        <v> </v>
      </c>
      <c r="F29" s="764" t="str">
        <f aca="false">IF('rotation(7EA)'!E10=0," ",$B29*'rotation(7EA)'!E10)</f>
        <v> </v>
      </c>
      <c r="G29" s="764" t="str">
        <f aca="false">IF('rotation(7EA)'!F10=0," ",$B29*'rotation(7EA)'!F10)</f>
        <v> </v>
      </c>
      <c r="H29" s="764" t="str">
        <f aca="false">IF('rotation(7EA)'!G10=0," ",$B29*'rotation(7EA)'!G10)</f>
        <v> </v>
      </c>
      <c r="I29" s="764" t="str">
        <f aca="false">IF('rotation(7EA)'!H10=0," ",$B29*'rotation(7EA)'!H10)</f>
        <v> </v>
      </c>
      <c r="J29" s="764" t="str">
        <f aca="false">IF('rotation(7EA)'!I10=0," ",$B29*'rotation(7EA)'!I10)</f>
        <v> </v>
      </c>
      <c r="K29" s="764" t="str">
        <f aca="false">IF('rotation(7EA)'!J10=0," ",$B29*'rotation(7EA)'!J10)</f>
        <v> </v>
      </c>
      <c r="L29" s="764" t="str">
        <f aca="false">IF('rotation(7EA)'!K10=0," ",$B29*'rotation(7EA)'!K10)</f>
        <v> </v>
      </c>
      <c r="M29" s="764" t="str">
        <f aca="false">IF('rotation(7EA)'!L10=0," ",$B29*'rotation(7EA)'!L10)</f>
        <v> </v>
      </c>
      <c r="N29" s="764" t="str">
        <f aca="false">IF('rotation(7EA)'!M10=0," ",$B29*'rotation(7EA)'!M10)</f>
        <v> </v>
      </c>
      <c r="O29" s="764" t="str">
        <f aca="false">IF('rotation(7EA)'!N10=0," ",$B29*'rotation(7EA)'!N10)</f>
        <v> </v>
      </c>
      <c r="P29" s="764" t="str">
        <f aca="false">IF('rotation(7EA)'!O10=0," ",$B29*'rotation(7EA)'!O10)</f>
        <v> </v>
      </c>
      <c r="Q29" s="764" t="str">
        <f aca="false">IF('rotation(7EA)'!P10=0," ",$B29*'rotation(7EA)'!P10)</f>
        <v> </v>
      </c>
      <c r="R29" s="764" t="str">
        <f aca="false">IF('rotation(7EA)'!Q10=0," ",$B29*'rotation(7EA)'!Q10)</f>
        <v> </v>
      </c>
      <c r="S29" s="764" t="str">
        <f aca="false">IF('rotation(7EA)'!R10=0," ",$B29*'rotation(7EA)'!R10)</f>
        <v> </v>
      </c>
      <c r="T29" s="764" t="str">
        <f aca="false">IF('rotation(7EA)'!S10=0," ",$B29*'rotation(7EA)'!S10)</f>
        <v> </v>
      </c>
      <c r="U29" s="764" t="str">
        <f aca="false">IF('rotation(7EA)'!T10=0," ",$B29*'rotation(7EA)'!T10)</f>
        <v> </v>
      </c>
      <c r="V29" s="764" t="str">
        <f aca="false">IF('rotation(7EA)'!U10=0," ",$B29*'rotation(7EA)'!U10)</f>
        <v> </v>
      </c>
      <c r="W29" s="764" t="str">
        <f aca="false">IF('rotation(7EA)'!V10=0," ",$B29*'rotation(7EA)'!V10)</f>
        <v> </v>
      </c>
      <c r="X29" s="666" t="n">
        <f aca="false">SUM(D29:W29)</f>
        <v>0</v>
      </c>
    </row>
    <row r="30" customFormat="false" ht="15.75" hidden="false" customHeight="true" outlineLevel="0" collapsed="false">
      <c r="A30" s="756" t="s">
        <v>1365</v>
      </c>
      <c r="B30" s="666"/>
      <c r="C30" s="666" t="n">
        <f aca="false">SUM(C14:C29)</f>
        <v>0</v>
      </c>
      <c r="D30" s="666" t="n">
        <f aca="false">SUM(D14:D29)</f>
        <v>0</v>
      </c>
      <c r="E30" s="666" t="n">
        <f aca="false">SUM(E14:E29)</f>
        <v>0</v>
      </c>
      <c r="F30" s="666" t="n">
        <f aca="false">SUM(F14:F29)</f>
        <v>0</v>
      </c>
      <c r="G30" s="666" t="n">
        <f aca="false">SUM(G14:G29)</f>
        <v>0</v>
      </c>
      <c r="H30" s="666" t="n">
        <f aca="false">SUM(H14:H29)</f>
        <v>0</v>
      </c>
      <c r="I30" s="666" t="n">
        <f aca="false">SUM(I14:I29)</f>
        <v>0</v>
      </c>
      <c r="J30" s="666" t="n">
        <f aca="false">SUM(J14:J29)</f>
        <v>0</v>
      </c>
      <c r="K30" s="666" t="n">
        <f aca="false">SUM(K14:K29)</f>
        <v>0</v>
      </c>
      <c r="L30" s="666" t="n">
        <f aca="false">SUM(L14:L29)</f>
        <v>0</v>
      </c>
      <c r="M30" s="666" t="n">
        <f aca="false">SUM(M14:M29)</f>
        <v>0</v>
      </c>
      <c r="N30" s="666" t="n">
        <f aca="false">SUM(N14:N29)</f>
        <v>0</v>
      </c>
      <c r="O30" s="666" t="n">
        <f aca="false">SUM(O14:O29)</f>
        <v>0</v>
      </c>
      <c r="P30" s="666" t="n">
        <f aca="false">SUM(P14:P29)</f>
        <v>0</v>
      </c>
      <c r="Q30" s="666" t="n">
        <f aca="false">SUM(Q14:Q29)</f>
        <v>0</v>
      </c>
      <c r="R30" s="666" t="n">
        <f aca="false">SUM(R14:R29)</f>
        <v>0</v>
      </c>
      <c r="S30" s="666" t="n">
        <f aca="false">SUM(S14:S29)</f>
        <v>0</v>
      </c>
      <c r="T30" s="666" t="n">
        <f aca="false">SUM(T14:T29)</f>
        <v>0</v>
      </c>
      <c r="U30" s="666" t="n">
        <f aca="false">SUM(U14:U29)</f>
        <v>0</v>
      </c>
      <c r="V30" s="666" t="n">
        <f aca="false">SUM(V14:V29)</f>
        <v>0</v>
      </c>
      <c r="W30" s="666" t="n">
        <f aca="false">SUM(W14:W29)</f>
        <v>0</v>
      </c>
      <c r="X30" s="666" t="n">
        <f aca="false">SUM(D30:W30)</f>
        <v>0</v>
      </c>
    </row>
    <row r="31" customFormat="false" ht="16.5" hidden="false" customHeight="true" outlineLevel="0" collapsed="false">
      <c r="A31" s="756" t="s">
        <v>1366</v>
      </c>
      <c r="B31" s="765" t="n">
        <v>0.1</v>
      </c>
      <c r="C31" s="666" t="n">
        <f aca="false">C30*(1-$B31)</f>
        <v>0</v>
      </c>
      <c r="D31" s="666" t="n">
        <f aca="false">D30*(1-$B31)</f>
        <v>0</v>
      </c>
      <c r="E31" s="666" t="n">
        <f aca="false">E30*(1-$B31)</f>
        <v>0</v>
      </c>
      <c r="F31" s="666" t="n">
        <f aca="false">F30*(1-$B31)</f>
        <v>0</v>
      </c>
      <c r="G31" s="666" t="n">
        <f aca="false">G30*(1-$B31)</f>
        <v>0</v>
      </c>
      <c r="H31" s="666" t="n">
        <f aca="false">H30*(1-$B31)</f>
        <v>0</v>
      </c>
      <c r="I31" s="666" t="n">
        <f aca="false">I30*(1-$B31)</f>
        <v>0</v>
      </c>
      <c r="J31" s="666" t="n">
        <f aca="false">J30*(1-$B31)</f>
        <v>0</v>
      </c>
      <c r="K31" s="666" t="n">
        <f aca="false">K30*(1-$B31)</f>
        <v>0</v>
      </c>
      <c r="L31" s="666" t="n">
        <f aca="false">L30*(1-$B31)</f>
        <v>0</v>
      </c>
      <c r="M31" s="666" t="n">
        <f aca="false">M30*(1-$B31)</f>
        <v>0</v>
      </c>
      <c r="N31" s="666" t="n">
        <f aca="false">N30*(1-$B31)</f>
        <v>0</v>
      </c>
      <c r="O31" s="666" t="n">
        <f aca="false">O30*(1-$B31)</f>
        <v>0</v>
      </c>
      <c r="P31" s="666" t="n">
        <f aca="false">P30*(1-$B31)</f>
        <v>0</v>
      </c>
      <c r="Q31" s="666" t="n">
        <f aca="false">Q30*(1-$B31)</f>
        <v>0</v>
      </c>
      <c r="R31" s="666" t="n">
        <f aca="false">R30*(1-$B31)</f>
        <v>0</v>
      </c>
      <c r="S31" s="666" t="n">
        <f aca="false">S30*(1-$B31)</f>
        <v>0</v>
      </c>
      <c r="T31" s="666" t="n">
        <f aca="false">T30*(1-$B31)</f>
        <v>0</v>
      </c>
      <c r="U31" s="666" t="n">
        <f aca="false">U30*(1-$B31)</f>
        <v>0</v>
      </c>
      <c r="V31" s="666" t="n">
        <f aca="false">V30*(1-$B31)</f>
        <v>0</v>
      </c>
      <c r="W31" s="666" t="n">
        <f aca="false">W30*(1-$B31)</f>
        <v>0</v>
      </c>
      <c r="X31" s="666" t="n">
        <f aca="false">SUM(D31:W31)</f>
        <v>0</v>
      </c>
    </row>
    <row r="32" customFormat="false" ht="12.75" hidden="false" customHeight="true" outlineLevel="0" collapsed="false">
      <c r="A32" s="756" t="s">
        <v>1367</v>
      </c>
      <c r="B32" s="765" t="n">
        <v>0.03</v>
      </c>
      <c r="C32" s="666" t="n">
        <f aca="false">C31*(1+$B32)</f>
        <v>0</v>
      </c>
      <c r="D32" s="666" t="n">
        <f aca="false">D31*(1+$B32)</f>
        <v>0</v>
      </c>
      <c r="E32" s="666" t="n">
        <f aca="false">E31*(1+$B32)</f>
        <v>0</v>
      </c>
      <c r="F32" s="666" t="n">
        <f aca="false">F31*(1+$B32)</f>
        <v>0</v>
      </c>
      <c r="G32" s="666" t="n">
        <f aca="false">G31*(1+$B32)</f>
        <v>0</v>
      </c>
      <c r="H32" s="666" t="n">
        <f aca="false">H31*(1+$B32)</f>
        <v>0</v>
      </c>
      <c r="I32" s="666" t="n">
        <f aca="false">I31*(1+$B32)</f>
        <v>0</v>
      </c>
      <c r="J32" s="666" t="n">
        <f aca="false">J31*(1+$B32)</f>
        <v>0</v>
      </c>
      <c r="K32" s="666" t="n">
        <f aca="false">K31*(1+$B32)</f>
        <v>0</v>
      </c>
      <c r="L32" s="666" t="n">
        <f aca="false">L31*(1+$B32)</f>
        <v>0</v>
      </c>
      <c r="M32" s="666" t="n">
        <f aca="false">M31*(1+$B32)</f>
        <v>0</v>
      </c>
      <c r="N32" s="666" t="n">
        <f aca="false">N31*(1+$B32)</f>
        <v>0</v>
      </c>
      <c r="O32" s="666" t="n">
        <f aca="false">O31*(1+$B32)</f>
        <v>0</v>
      </c>
      <c r="P32" s="666" t="n">
        <f aca="false">P31*(1+$B32)</f>
        <v>0</v>
      </c>
      <c r="Q32" s="666" t="n">
        <f aca="false">Q31*(1+$B32)</f>
        <v>0</v>
      </c>
      <c r="R32" s="666" t="n">
        <f aca="false">R31*(1+$B32)</f>
        <v>0</v>
      </c>
      <c r="S32" s="666" t="n">
        <f aca="false">S31*(1+$B32)</f>
        <v>0</v>
      </c>
      <c r="T32" s="666" t="n">
        <f aca="false">T31*(1+$B32)</f>
        <v>0</v>
      </c>
      <c r="U32" s="666" t="n">
        <f aca="false">U31*(1+$B32)</f>
        <v>0</v>
      </c>
      <c r="V32" s="666" t="n">
        <f aca="false">V31*(1+$B32)</f>
        <v>0</v>
      </c>
      <c r="W32" s="666" t="n">
        <f aca="false">W31*(1+$B32)</f>
        <v>0</v>
      </c>
      <c r="X32" s="766" t="n">
        <f aca="false">SUM(D32:W32)</f>
        <v>0</v>
      </c>
    </row>
    <row r="33" customFormat="false" ht="12.75" hidden="false" customHeight="false" outlineLevel="0" collapsed="false">
      <c r="B33" s="666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</row>
    <row r="34" customFormat="false" ht="12.75" hidden="false" customHeight="false" outlineLevel="0" collapsed="false">
      <c r="B34" s="666"/>
      <c r="C34" s="666"/>
      <c r="D34" s="666"/>
      <c r="E34" s="666"/>
      <c r="F34" s="666"/>
      <c r="G34" s="666"/>
      <c r="H34" s="666"/>
      <c r="I34" s="666"/>
      <c r="J34" s="666"/>
      <c r="K34" s="666"/>
      <c r="L34" s="666"/>
      <c r="M34" s="666"/>
      <c r="N34" s="666"/>
      <c r="O34" s="666"/>
      <c r="P34" s="666"/>
      <c r="Q34" s="666"/>
      <c r="R34" s="666"/>
      <c r="S34" s="666"/>
      <c r="T34" s="666"/>
      <c r="U34" s="666"/>
      <c r="V34" s="666"/>
      <c r="W34" s="666"/>
      <c r="X34" s="666"/>
    </row>
    <row r="35" customFormat="false" ht="12.75" hidden="false" customHeight="false" outlineLevel="0" collapsed="false">
      <c r="A35" s="767" t="s">
        <v>1368</v>
      </c>
      <c r="B35" s="666"/>
      <c r="C35" s="666"/>
      <c r="D35" s="666" t="n">
        <v>1</v>
      </c>
      <c r="E35" s="666" t="n">
        <v>2</v>
      </c>
      <c r="F35" s="666" t="n">
        <v>3</v>
      </c>
      <c r="G35" s="666" t="n">
        <v>4</v>
      </c>
      <c r="H35" s="666" t="n">
        <v>5</v>
      </c>
      <c r="I35" s="666" t="n">
        <v>6</v>
      </c>
      <c r="J35" s="666" t="n">
        <v>7</v>
      </c>
      <c r="K35" s="666" t="n">
        <v>8</v>
      </c>
      <c r="L35" s="666" t="n">
        <v>9</v>
      </c>
      <c r="M35" s="666" t="n">
        <v>10</v>
      </c>
      <c r="N35" s="666" t="n">
        <v>11</v>
      </c>
      <c r="O35" s="666" t="n">
        <v>12</v>
      </c>
      <c r="P35" s="666" t="n">
        <v>13</v>
      </c>
      <c r="Q35" s="666" t="n">
        <v>14</v>
      </c>
      <c r="R35" s="666" t="n">
        <v>15</v>
      </c>
      <c r="S35" s="666" t="n">
        <v>16</v>
      </c>
      <c r="T35" s="666" t="n">
        <v>17</v>
      </c>
      <c r="U35" s="666" t="n">
        <v>18</v>
      </c>
      <c r="V35" s="666" t="n">
        <v>19</v>
      </c>
      <c r="W35" s="666" t="n">
        <v>20</v>
      </c>
      <c r="X35" s="666"/>
    </row>
    <row r="36" customFormat="false" ht="12.75" hidden="false" customHeight="false" outlineLevel="0" collapsed="false">
      <c r="A36" s="768" t="s">
        <v>1359</v>
      </c>
      <c r="B36" s="769" t="s">
        <v>1369</v>
      </c>
      <c r="C36" s="764"/>
      <c r="D36" s="764"/>
      <c r="E36" s="764"/>
      <c r="F36" s="764"/>
      <c r="G36" s="764"/>
      <c r="H36" s="764"/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666"/>
    </row>
    <row r="37" customFormat="false" ht="12.75" hidden="false" customHeight="false" outlineLevel="0" collapsed="false">
      <c r="A37" s="770" t="str">
        <f aca="false">'GTDB(7EA)'!A17</f>
        <v>Combustion Liners</v>
      </c>
      <c r="B37" s="763" t="n">
        <f aca="false">'GTDB(7EA)'!D17</f>
        <v>18</v>
      </c>
      <c r="C37" s="764" t="n">
        <v>0</v>
      </c>
      <c r="D37" s="764" t="str">
        <f aca="false">IF('rotation(7EA)'!C17=0," ",$B37*'rotation(7EA)'!C17)</f>
        <v> </v>
      </c>
      <c r="E37" s="764" t="str">
        <f aca="false">IF('rotation(7EA)'!D17=0," ",$B37*'rotation(7EA)'!D17)</f>
        <v> </v>
      </c>
      <c r="F37" s="764" t="str">
        <f aca="false">IF('rotation(7EA)'!E17=0," ",$B37*'rotation(7EA)'!E17)</f>
        <v> </v>
      </c>
      <c r="G37" s="764" t="str">
        <f aca="false">IF('rotation(7EA)'!F17=0," ",$B37*'rotation(7EA)'!F17)</f>
        <v> </v>
      </c>
      <c r="H37" s="764" t="str">
        <f aca="false">IF('rotation(7EA)'!G17=0," ",$B37*'rotation(7EA)'!G17)</f>
        <v> </v>
      </c>
      <c r="I37" s="764" t="str">
        <f aca="false">IF('rotation(7EA)'!H17=0," ",$B37*'rotation(7EA)'!H17)</f>
        <v> </v>
      </c>
      <c r="J37" s="764" t="str">
        <f aca="false">IF('rotation(7EA)'!I17=0," ",$B37*'rotation(7EA)'!I17)</f>
        <v> </v>
      </c>
      <c r="K37" s="764" t="str">
        <f aca="false">IF('rotation(7EA)'!J17=0," ",$B37*'rotation(7EA)'!J17)</f>
        <v> </v>
      </c>
      <c r="L37" s="764" t="str">
        <f aca="false">IF('rotation(7EA)'!K17=0," ",$B37*'rotation(7EA)'!K17)</f>
        <v> </v>
      </c>
      <c r="M37" s="764" t="str">
        <f aca="false">IF('rotation(7EA)'!L17=0," ",$B37*'rotation(7EA)'!L17)</f>
        <v> </v>
      </c>
      <c r="N37" s="764" t="str">
        <f aca="false">IF('rotation(7EA)'!M17=0," ",$B37*'rotation(7EA)'!M17)</f>
        <v> </v>
      </c>
      <c r="O37" s="764" t="str">
        <f aca="false">IF('rotation(7EA)'!N17=0," ",$B37*'rotation(7EA)'!N17)</f>
        <v> </v>
      </c>
      <c r="P37" s="764" t="str">
        <f aca="false">IF('rotation(7EA)'!O17=0," ",$B37*'rotation(7EA)'!O17)</f>
        <v> </v>
      </c>
      <c r="Q37" s="764" t="str">
        <f aca="false">IF('rotation(7EA)'!P17=0," ",$B37*'rotation(7EA)'!P17)</f>
        <v> </v>
      </c>
      <c r="R37" s="764" t="str">
        <f aca="false">IF('rotation(7EA)'!Q17=0," ",$B37*'rotation(7EA)'!Q17)</f>
        <v> </v>
      </c>
      <c r="S37" s="764" t="str">
        <f aca="false">IF('rotation(7EA)'!R17=0," ",$B37*'rotation(7EA)'!R17)</f>
        <v> </v>
      </c>
      <c r="T37" s="764" t="str">
        <f aca="false">IF('rotation(7EA)'!S17=0," ",$B37*'rotation(7EA)'!S17)</f>
        <v> </v>
      </c>
      <c r="U37" s="764" t="str">
        <f aca="false">IF('rotation(7EA)'!T17=0," ",$B37*'rotation(7EA)'!T17)</f>
        <v> </v>
      </c>
      <c r="V37" s="764" t="str">
        <f aca="false">IF('rotation(7EA)'!U17=0," ",$B37*'rotation(7EA)'!U17)</f>
        <v> </v>
      </c>
      <c r="W37" s="764" t="str">
        <f aca="false">IF('rotation(7EA)'!V17=0," ",$B37*'rotation(7EA)'!V17)</f>
        <v> </v>
      </c>
      <c r="X37" s="666" t="n">
        <f aca="false">SUM(D37:W37)</f>
        <v>0</v>
      </c>
    </row>
    <row r="38" customFormat="false" ht="12.75" hidden="false" customHeight="false" outlineLevel="0" collapsed="false">
      <c r="A38" s="770" t="str">
        <f aca="false">'GTDB(7EA)'!A18</f>
        <v>Transition Pieces</v>
      </c>
      <c r="B38" s="763" t="n">
        <f aca="false">'GTDB(7EA)'!D18</f>
        <v>18.5</v>
      </c>
      <c r="C38" s="764"/>
      <c r="D38" s="764" t="str">
        <f aca="false">IF('rotation(7EA)'!C21=0," ",$B38*'rotation(7EA)'!C21)</f>
        <v> </v>
      </c>
      <c r="E38" s="764" t="str">
        <f aca="false">IF('rotation(7EA)'!D21=0," ",$B38*'rotation(7EA)'!D21)</f>
        <v> </v>
      </c>
      <c r="F38" s="764" t="str">
        <f aca="false">IF('rotation(7EA)'!E21=0," ",$B38*'rotation(7EA)'!E21)</f>
        <v> </v>
      </c>
      <c r="G38" s="764" t="str">
        <f aca="false">IF('rotation(7EA)'!F21=0," ",$B38*'rotation(7EA)'!F21)</f>
        <v> </v>
      </c>
      <c r="H38" s="764" t="str">
        <f aca="false">IF('rotation(7EA)'!G21=0," ",$B38*'rotation(7EA)'!G21)</f>
        <v> </v>
      </c>
      <c r="I38" s="764" t="str">
        <f aca="false">IF('rotation(7EA)'!H21=0," ",$B38*'rotation(7EA)'!H21)</f>
        <v> </v>
      </c>
      <c r="J38" s="764" t="str">
        <f aca="false">IF('rotation(7EA)'!I21=0," ",$B38*'rotation(7EA)'!I21)</f>
        <v> </v>
      </c>
      <c r="K38" s="764" t="str">
        <f aca="false">IF('rotation(7EA)'!J21=0," ",$B38*'rotation(7EA)'!J21)</f>
        <v> </v>
      </c>
      <c r="L38" s="764" t="str">
        <f aca="false">IF('rotation(7EA)'!K21=0," ",$B38*'rotation(7EA)'!K21)</f>
        <v> </v>
      </c>
      <c r="M38" s="764" t="str">
        <f aca="false">IF('rotation(7EA)'!L21=0," ",$B38*'rotation(7EA)'!L21)</f>
        <v> </v>
      </c>
      <c r="N38" s="764" t="str">
        <f aca="false">IF('rotation(7EA)'!M21=0," ",$B38*'rotation(7EA)'!M21)</f>
        <v> </v>
      </c>
      <c r="O38" s="764" t="str">
        <f aca="false">IF('rotation(7EA)'!N21=0," ",$B38*'rotation(7EA)'!N21)</f>
        <v> </v>
      </c>
      <c r="P38" s="764" t="str">
        <f aca="false">IF('rotation(7EA)'!O21=0," ",$B38*'rotation(7EA)'!O21)</f>
        <v> </v>
      </c>
      <c r="Q38" s="764" t="str">
        <f aca="false">IF('rotation(7EA)'!P21=0," ",$B38*'rotation(7EA)'!P21)</f>
        <v> </v>
      </c>
      <c r="R38" s="764" t="str">
        <f aca="false">IF('rotation(7EA)'!Q21=0," ",$B38*'rotation(7EA)'!Q21)</f>
        <v> </v>
      </c>
      <c r="S38" s="764" t="str">
        <f aca="false">IF('rotation(7EA)'!R21=0," ",$B38*'rotation(7EA)'!R21)</f>
        <v> </v>
      </c>
      <c r="T38" s="764" t="str">
        <f aca="false">IF('rotation(7EA)'!S21=0," ",$B38*'rotation(7EA)'!S21)</f>
        <v> </v>
      </c>
      <c r="U38" s="764" t="str">
        <f aca="false">IF('rotation(7EA)'!T21=0," ",$B38*'rotation(7EA)'!T21)</f>
        <v> </v>
      </c>
      <c r="V38" s="764" t="str">
        <f aca="false">IF('rotation(7EA)'!U21=0," ",$B38*'rotation(7EA)'!U21)</f>
        <v> </v>
      </c>
      <c r="W38" s="764" t="str">
        <f aca="false">IF('rotation(7EA)'!V21=0," ",$B38*'rotation(7EA)'!V21)</f>
        <v> </v>
      </c>
      <c r="X38" s="666" t="n">
        <f aca="false">SUM(D38:W38)</f>
        <v>0</v>
      </c>
    </row>
    <row r="39" customFormat="false" ht="12.75" hidden="false" customHeight="false" outlineLevel="0" collapsed="false">
      <c r="A39" s="770" t="str">
        <f aca="false">'GTDB(7EA)'!A19</f>
        <v>Fuel Nozzles</v>
      </c>
      <c r="B39" s="763" t="n">
        <f aca="false">'GTDB(7EA)'!D19</f>
        <v>120</v>
      </c>
      <c r="C39" s="764"/>
      <c r="D39" s="764" t="str">
        <f aca="false">IF('rotation(7EA)'!C29=0," ",$B39*'rotation(7EA)'!C29)</f>
        <v> </v>
      </c>
      <c r="E39" s="764" t="str">
        <f aca="false">IF('rotation(7EA)'!D29=0," ",$B39*'rotation(7EA)'!D29)</f>
        <v> </v>
      </c>
      <c r="F39" s="764" t="str">
        <f aca="false">IF('rotation(7EA)'!E29=0," ",$B39*'rotation(7EA)'!E29)</f>
        <v> </v>
      </c>
      <c r="G39" s="764" t="str">
        <f aca="false">IF('rotation(7EA)'!F29=0," ",$B39*'rotation(7EA)'!F29)</f>
        <v> </v>
      </c>
      <c r="H39" s="764" t="str">
        <f aca="false">IF('rotation(7EA)'!G29=0," ",$B39*'rotation(7EA)'!G29)</f>
        <v> </v>
      </c>
      <c r="I39" s="764" t="str">
        <f aca="false">IF('rotation(7EA)'!H29=0," ",$B39*'rotation(7EA)'!H29)</f>
        <v> </v>
      </c>
      <c r="J39" s="764" t="str">
        <f aca="false">IF('rotation(7EA)'!I29=0," ",$B39*'rotation(7EA)'!I29)</f>
        <v> </v>
      </c>
      <c r="K39" s="764" t="str">
        <f aca="false">IF('rotation(7EA)'!J29=0," ",$B39*'rotation(7EA)'!J29)</f>
        <v> </v>
      </c>
      <c r="L39" s="764" t="str">
        <f aca="false">IF('rotation(7EA)'!K29=0," ",$B39*'rotation(7EA)'!K29)</f>
        <v> </v>
      </c>
      <c r="M39" s="764" t="str">
        <f aca="false">IF('rotation(7EA)'!L29=0," ",$B39*'rotation(7EA)'!L29)</f>
        <v> </v>
      </c>
      <c r="N39" s="764" t="str">
        <f aca="false">IF('rotation(7EA)'!M29=0," ",$B39*'rotation(7EA)'!M29)</f>
        <v> </v>
      </c>
      <c r="O39" s="764" t="str">
        <f aca="false">IF('rotation(7EA)'!N29=0," ",$B39*'rotation(7EA)'!N29)</f>
        <v> </v>
      </c>
      <c r="P39" s="764" t="str">
        <f aca="false">IF('rotation(7EA)'!O29=0," ",$B39*'rotation(7EA)'!O29)</f>
        <v> </v>
      </c>
      <c r="Q39" s="764" t="str">
        <f aca="false">IF('rotation(7EA)'!P29=0," ",$B39*'rotation(7EA)'!P29)</f>
        <v> </v>
      </c>
      <c r="R39" s="764" t="str">
        <f aca="false">IF('rotation(7EA)'!Q29=0," ",$B39*'rotation(7EA)'!Q29)</f>
        <v> </v>
      </c>
      <c r="S39" s="764" t="str">
        <f aca="false">IF('rotation(7EA)'!R29=0," ",$B39*'rotation(7EA)'!R29)</f>
        <v> </v>
      </c>
      <c r="T39" s="764" t="str">
        <f aca="false">IF('rotation(7EA)'!S29=0," ",$B39*'rotation(7EA)'!S29)</f>
        <v> </v>
      </c>
      <c r="U39" s="764" t="str">
        <f aca="false">IF('rotation(7EA)'!T29=0," ",$B39*'rotation(7EA)'!T29)</f>
        <v> </v>
      </c>
      <c r="V39" s="764" t="str">
        <f aca="false">IF('rotation(7EA)'!U29=0," ",$B39*'rotation(7EA)'!U29)</f>
        <v> </v>
      </c>
      <c r="W39" s="764" t="str">
        <f aca="false">IF('rotation(7EA)'!V29=0," ",$B39*'rotation(7EA)'!V29)</f>
        <v> </v>
      </c>
      <c r="X39" s="666" t="n">
        <f aca="false">SUM(D39:W39)</f>
        <v>0</v>
      </c>
    </row>
    <row r="40" customFormat="false" ht="12.75" hidden="false" customHeight="false" outlineLevel="0" collapsed="false">
      <c r="A40" s="770" t="str">
        <f aca="false">'GTDB(7EA)'!A20</f>
        <v>Stage 1 Nozzles</v>
      </c>
      <c r="B40" s="763" t="n">
        <f aca="false">'GTDB(7EA)'!D20</f>
        <v>46</v>
      </c>
      <c r="C40" s="764"/>
      <c r="D40" s="764" t="str">
        <f aca="false">IF('rotation(7EA)'!C33=0," ",$B40*'rotation(7EA)'!C33)</f>
        <v> </v>
      </c>
      <c r="E40" s="764" t="str">
        <f aca="false">IF('rotation(7EA)'!D33=0," ",$B40*'rotation(7EA)'!D33)</f>
        <v> </v>
      </c>
      <c r="F40" s="764" t="str">
        <f aca="false">IF('rotation(7EA)'!E33=0," ",$B40*'rotation(7EA)'!E33)</f>
        <v> </v>
      </c>
      <c r="G40" s="764" t="str">
        <f aca="false">IF('rotation(7EA)'!F33=0," ",$B40*'rotation(7EA)'!F33)</f>
        <v> </v>
      </c>
      <c r="H40" s="764" t="str">
        <f aca="false">IF('rotation(7EA)'!G33=0," ",$B40*'rotation(7EA)'!G33)</f>
        <v> </v>
      </c>
      <c r="I40" s="764" t="str">
        <f aca="false">IF('rotation(7EA)'!H33=0," ",$B40*'rotation(7EA)'!H33)</f>
        <v> </v>
      </c>
      <c r="J40" s="764" t="str">
        <f aca="false">IF('rotation(7EA)'!I33=0," ",$B40*'rotation(7EA)'!I33)</f>
        <v> </v>
      </c>
      <c r="K40" s="764" t="str">
        <f aca="false">IF('rotation(7EA)'!J33=0," ",$B40*'rotation(7EA)'!J33)</f>
        <v> </v>
      </c>
      <c r="L40" s="764" t="str">
        <f aca="false">IF('rotation(7EA)'!K33=0," ",$B40*'rotation(7EA)'!K33)</f>
        <v> </v>
      </c>
      <c r="M40" s="764" t="str">
        <f aca="false">IF('rotation(7EA)'!L33=0," ",$B40*'rotation(7EA)'!L33)</f>
        <v> </v>
      </c>
      <c r="N40" s="764" t="str">
        <f aca="false">IF('rotation(7EA)'!M33=0," ",$B40*'rotation(7EA)'!M33)</f>
        <v> </v>
      </c>
      <c r="O40" s="764" t="str">
        <f aca="false">IF('rotation(7EA)'!N33=0," ",$B40*'rotation(7EA)'!N33)</f>
        <v> </v>
      </c>
      <c r="P40" s="764" t="str">
        <f aca="false">IF('rotation(7EA)'!O33=0," ",$B40*'rotation(7EA)'!O33)</f>
        <v> </v>
      </c>
      <c r="Q40" s="764" t="str">
        <f aca="false">IF('rotation(7EA)'!P33=0," ",$B40*'rotation(7EA)'!P33)</f>
        <v> </v>
      </c>
      <c r="R40" s="764" t="str">
        <f aca="false">IF('rotation(7EA)'!Q33=0," ",$B40*'rotation(7EA)'!Q33)</f>
        <v> </v>
      </c>
      <c r="S40" s="764" t="str">
        <f aca="false">IF('rotation(7EA)'!R33=0," ",$B40*'rotation(7EA)'!R33)</f>
        <v> </v>
      </c>
      <c r="T40" s="764" t="str">
        <f aca="false">IF('rotation(7EA)'!S33=0," ",$B40*'rotation(7EA)'!S33)</f>
        <v> </v>
      </c>
      <c r="U40" s="764" t="str">
        <f aca="false">IF('rotation(7EA)'!T33=0," ",$B40*'rotation(7EA)'!T33)</f>
        <v> </v>
      </c>
      <c r="V40" s="764" t="str">
        <f aca="false">IF('rotation(7EA)'!U33=0," ",$B40*'rotation(7EA)'!U33)</f>
        <v> </v>
      </c>
      <c r="W40" s="764" t="str">
        <f aca="false">IF('rotation(7EA)'!V33=0," ",$B40*'rotation(7EA)'!V33)</f>
        <v> </v>
      </c>
      <c r="X40" s="666" t="n">
        <f aca="false">SUM(D40:W40)</f>
        <v>0</v>
      </c>
    </row>
    <row r="41" customFormat="false" ht="12.75" hidden="false" customHeight="false" outlineLevel="0" collapsed="false">
      <c r="A41" s="770" t="str">
        <f aca="false">'GTDB(7EA)'!A21</f>
        <v>Stage 2 Nozzles</v>
      </c>
      <c r="B41" s="763" t="n">
        <f aca="false">'GTDB(7EA)'!D21</f>
        <v>29.5</v>
      </c>
      <c r="C41" s="764"/>
      <c r="D41" s="764" t="str">
        <f aca="false">IF('rotation(7EA)'!C37=0," ",$B41*'rotation(7EA)'!C37)</f>
        <v> </v>
      </c>
      <c r="E41" s="764" t="str">
        <f aca="false">IF('rotation(7EA)'!D37=0," ",$B41*'rotation(7EA)'!D37)</f>
        <v> </v>
      </c>
      <c r="F41" s="764" t="str">
        <f aca="false">IF('rotation(7EA)'!E37=0," ",$B41*'rotation(7EA)'!E37)</f>
        <v> </v>
      </c>
      <c r="G41" s="764" t="str">
        <f aca="false">IF('rotation(7EA)'!F37=0," ",$B41*'rotation(7EA)'!F37)</f>
        <v> </v>
      </c>
      <c r="H41" s="764" t="str">
        <f aca="false">IF('rotation(7EA)'!G37=0," ",$B41*'rotation(7EA)'!G37)</f>
        <v> </v>
      </c>
      <c r="I41" s="764" t="str">
        <f aca="false">IF('rotation(7EA)'!H37=0," ",$B41*'rotation(7EA)'!H37)</f>
        <v> </v>
      </c>
      <c r="J41" s="764" t="str">
        <f aca="false">IF('rotation(7EA)'!I37=0," ",$B41*'rotation(7EA)'!I37)</f>
        <v> </v>
      </c>
      <c r="K41" s="764" t="str">
        <f aca="false">IF('rotation(7EA)'!J37=0," ",$B41*'rotation(7EA)'!J37)</f>
        <v> </v>
      </c>
      <c r="L41" s="764" t="str">
        <f aca="false">IF('rotation(7EA)'!K37=0," ",$B41*'rotation(7EA)'!K37)</f>
        <v> </v>
      </c>
      <c r="M41" s="764" t="str">
        <f aca="false">IF('rotation(7EA)'!L37=0," ",$B41*'rotation(7EA)'!L37)</f>
        <v> </v>
      </c>
      <c r="N41" s="764" t="str">
        <f aca="false">IF('rotation(7EA)'!M37=0," ",$B41*'rotation(7EA)'!M37)</f>
        <v> </v>
      </c>
      <c r="O41" s="764" t="str">
        <f aca="false">IF('rotation(7EA)'!N37=0," ",$B41*'rotation(7EA)'!N37)</f>
        <v> </v>
      </c>
      <c r="P41" s="764" t="str">
        <f aca="false">IF('rotation(7EA)'!O37=0," ",$B41*'rotation(7EA)'!O37)</f>
        <v> </v>
      </c>
      <c r="Q41" s="764" t="str">
        <f aca="false">IF('rotation(7EA)'!P37=0," ",$B41*'rotation(7EA)'!P37)</f>
        <v> </v>
      </c>
      <c r="R41" s="764" t="str">
        <f aca="false">IF('rotation(7EA)'!Q37=0," ",$B41*'rotation(7EA)'!Q37)</f>
        <v> </v>
      </c>
      <c r="S41" s="764" t="str">
        <f aca="false">IF('rotation(7EA)'!R37=0," ",$B41*'rotation(7EA)'!R37)</f>
        <v> </v>
      </c>
      <c r="T41" s="764" t="str">
        <f aca="false">IF('rotation(7EA)'!S37=0," ",$B41*'rotation(7EA)'!S37)</f>
        <v> </v>
      </c>
      <c r="U41" s="764" t="str">
        <f aca="false">IF('rotation(7EA)'!T37=0," ",$B41*'rotation(7EA)'!T37)</f>
        <v> </v>
      </c>
      <c r="V41" s="764" t="str">
        <f aca="false">IF('rotation(7EA)'!U37=0," ",$B41*'rotation(7EA)'!U37)</f>
        <v> </v>
      </c>
      <c r="W41" s="764" t="str">
        <f aca="false">IF('rotation(7EA)'!V37=0," ",$B41*'rotation(7EA)'!V37)</f>
        <v> </v>
      </c>
      <c r="X41" s="666" t="n">
        <f aca="false">SUM(D41:W41)</f>
        <v>0</v>
      </c>
    </row>
    <row r="42" customFormat="false" ht="12.75" hidden="false" customHeight="false" outlineLevel="0" collapsed="false">
      <c r="A42" s="770" t="str">
        <f aca="false">'GTDB(7EA)'!A22</f>
        <v>Stage 3 Nozzles</v>
      </c>
      <c r="B42" s="763" t="n">
        <f aca="false">'GTDB(7EA)'!D22</f>
        <v>26</v>
      </c>
      <c r="C42" s="764"/>
      <c r="D42" s="764" t="str">
        <f aca="false">IF('rotation(7EA)'!C41=0," ",$B42*'rotation(7EA)'!C41)</f>
        <v> </v>
      </c>
      <c r="E42" s="764" t="str">
        <f aca="false">IF('rotation(7EA)'!D41=0," ",$B42*'rotation(7EA)'!D41)</f>
        <v> </v>
      </c>
      <c r="F42" s="764" t="str">
        <f aca="false">IF('rotation(7EA)'!E41=0," ",$B42*'rotation(7EA)'!E41)</f>
        <v> </v>
      </c>
      <c r="G42" s="764" t="str">
        <f aca="false">IF('rotation(7EA)'!F41=0," ",$B42*'rotation(7EA)'!F41)</f>
        <v> </v>
      </c>
      <c r="H42" s="764" t="str">
        <f aca="false">IF('rotation(7EA)'!G41=0," ",$B42*'rotation(7EA)'!G41)</f>
        <v> </v>
      </c>
      <c r="I42" s="764" t="str">
        <f aca="false">IF('rotation(7EA)'!H41=0," ",$B42*'rotation(7EA)'!H41)</f>
        <v> </v>
      </c>
      <c r="J42" s="764" t="str">
        <f aca="false">IF('rotation(7EA)'!I41=0," ",$B42*'rotation(7EA)'!I41)</f>
        <v> </v>
      </c>
      <c r="K42" s="764" t="str">
        <f aca="false">IF('rotation(7EA)'!J41=0," ",$B42*'rotation(7EA)'!J41)</f>
        <v> </v>
      </c>
      <c r="L42" s="764" t="str">
        <f aca="false">IF('rotation(7EA)'!K41=0," ",$B42*'rotation(7EA)'!K41)</f>
        <v> </v>
      </c>
      <c r="M42" s="764" t="str">
        <f aca="false">IF('rotation(7EA)'!L41=0," ",$B42*'rotation(7EA)'!L41)</f>
        <v> </v>
      </c>
      <c r="N42" s="764" t="str">
        <f aca="false">IF('rotation(7EA)'!M41=0," ",$B42*'rotation(7EA)'!M41)</f>
        <v> </v>
      </c>
      <c r="O42" s="764" t="str">
        <f aca="false">IF('rotation(7EA)'!N41=0," ",$B42*'rotation(7EA)'!N41)</f>
        <v> </v>
      </c>
      <c r="P42" s="764" t="str">
        <f aca="false">IF('rotation(7EA)'!O41=0," ",$B42*'rotation(7EA)'!O41)</f>
        <v> </v>
      </c>
      <c r="Q42" s="764" t="str">
        <f aca="false">IF('rotation(7EA)'!P41=0," ",$B42*'rotation(7EA)'!P41)</f>
        <v> </v>
      </c>
      <c r="R42" s="764" t="str">
        <f aca="false">IF('rotation(7EA)'!Q41=0," ",$B42*'rotation(7EA)'!Q41)</f>
        <v> </v>
      </c>
      <c r="S42" s="764" t="str">
        <f aca="false">IF('rotation(7EA)'!R41=0," ",$B42*'rotation(7EA)'!R41)</f>
        <v> </v>
      </c>
      <c r="T42" s="764" t="str">
        <f aca="false">IF('rotation(7EA)'!S41=0," ",$B42*'rotation(7EA)'!S41)</f>
        <v> </v>
      </c>
      <c r="U42" s="764" t="str">
        <f aca="false">IF('rotation(7EA)'!T41=0," ",$B42*'rotation(7EA)'!T41)</f>
        <v> </v>
      </c>
      <c r="V42" s="764" t="str">
        <f aca="false">IF('rotation(7EA)'!U41=0," ",$B42*'rotation(7EA)'!U41)</f>
        <v> </v>
      </c>
      <c r="W42" s="764" t="str">
        <f aca="false">IF('rotation(7EA)'!V41=0," ",$B42*'rotation(7EA)'!V41)</f>
        <v> </v>
      </c>
      <c r="X42" s="666" t="n">
        <f aca="false">SUM(D42:W42)</f>
        <v>0</v>
      </c>
    </row>
    <row r="43" customFormat="false" ht="12.75" hidden="false" customHeight="false" outlineLevel="0" collapsed="false">
      <c r="A43" s="770" t="str">
        <f aca="false">'GTDB(7EA)'!A23</f>
        <v>Stage 1 Buckets</v>
      </c>
      <c r="B43" s="763" t="n">
        <f aca="false">'GTDB(7EA)'!D23</f>
        <v>74.5</v>
      </c>
      <c r="C43" s="764"/>
      <c r="D43" s="764" t="str">
        <f aca="false">IF('rotation(7EA)'!C45=0," ",$B43*'rotation(7EA)'!C45)</f>
        <v> </v>
      </c>
      <c r="E43" s="764" t="str">
        <f aca="false">IF('rotation(7EA)'!D45=0," ",$B43*'rotation(7EA)'!D45)</f>
        <v> </v>
      </c>
      <c r="F43" s="764" t="str">
        <f aca="false">IF('rotation(7EA)'!E45=0," ",$B43*'rotation(7EA)'!E45)</f>
        <v> </v>
      </c>
      <c r="G43" s="764" t="str">
        <f aca="false">IF('rotation(7EA)'!F45=0," ",$B43*'rotation(7EA)'!F45)</f>
        <v> </v>
      </c>
      <c r="H43" s="764" t="str">
        <f aca="false">IF('rotation(7EA)'!G45=0," ",$B43*'rotation(7EA)'!G45)</f>
        <v> </v>
      </c>
      <c r="I43" s="764" t="str">
        <f aca="false">IF('rotation(7EA)'!H45=0," ",$B43*'rotation(7EA)'!H45)</f>
        <v> </v>
      </c>
      <c r="J43" s="764" t="str">
        <f aca="false">IF('rotation(7EA)'!I45=0," ",$B43*'rotation(7EA)'!I45)</f>
        <v> </v>
      </c>
      <c r="K43" s="764" t="str">
        <f aca="false">IF('rotation(7EA)'!J45=0," ",$B43*'rotation(7EA)'!J45)</f>
        <v> </v>
      </c>
      <c r="L43" s="764" t="str">
        <f aca="false">IF('rotation(7EA)'!K45=0," ",$B43*'rotation(7EA)'!K45)</f>
        <v> </v>
      </c>
      <c r="M43" s="764" t="str">
        <f aca="false">IF('rotation(7EA)'!L45=0," ",$B43*'rotation(7EA)'!L45)</f>
        <v> </v>
      </c>
      <c r="N43" s="764" t="str">
        <f aca="false">IF('rotation(7EA)'!M45=0," ",$B43*'rotation(7EA)'!M45)</f>
        <v> </v>
      </c>
      <c r="O43" s="764" t="str">
        <f aca="false">IF('rotation(7EA)'!N45=0," ",$B43*'rotation(7EA)'!N45)</f>
        <v> </v>
      </c>
      <c r="P43" s="764" t="str">
        <f aca="false">IF('rotation(7EA)'!O45=0," ",$B43*'rotation(7EA)'!O45)</f>
        <v> </v>
      </c>
      <c r="Q43" s="764" t="str">
        <f aca="false">IF('rotation(7EA)'!P45=0," ",$B43*'rotation(7EA)'!P45)</f>
        <v> </v>
      </c>
      <c r="R43" s="764" t="str">
        <f aca="false">IF('rotation(7EA)'!Q45=0," ",$B43*'rotation(7EA)'!Q45)</f>
        <v> </v>
      </c>
      <c r="S43" s="764" t="str">
        <f aca="false">IF('rotation(7EA)'!R45=0," ",$B43*'rotation(7EA)'!R45)</f>
        <v> </v>
      </c>
      <c r="T43" s="764" t="str">
        <f aca="false">IF('rotation(7EA)'!S45=0," ",$B43*'rotation(7EA)'!S45)</f>
        <v> </v>
      </c>
      <c r="U43" s="764" t="str">
        <f aca="false">IF('rotation(7EA)'!T45=0," ",$B43*'rotation(7EA)'!T45)</f>
        <v> </v>
      </c>
      <c r="V43" s="764" t="str">
        <f aca="false">IF('rotation(7EA)'!U45=0," ",$B43*'rotation(7EA)'!U45)</f>
        <v> </v>
      </c>
      <c r="W43" s="764" t="str">
        <f aca="false">IF('rotation(7EA)'!V45=0," ",$B43*'rotation(7EA)'!V45)</f>
        <v> </v>
      </c>
      <c r="X43" s="666" t="n">
        <f aca="false">SUM(D43:W43)</f>
        <v>0</v>
      </c>
    </row>
    <row r="44" customFormat="false" ht="12.75" hidden="false" customHeight="false" outlineLevel="0" collapsed="false">
      <c r="A44" s="770" t="str">
        <f aca="false">'GTDB(7EA)'!A24</f>
        <v>Stage 2 Buckets</v>
      </c>
      <c r="B44" s="763" t="n">
        <f aca="false">'GTDB(7EA)'!D24</f>
        <v>39</v>
      </c>
      <c r="C44" s="764"/>
      <c r="D44" s="764" t="str">
        <f aca="false">IF('rotation(7EA)'!C49=0," ",$B44*'rotation(7EA)'!C49)</f>
        <v> </v>
      </c>
      <c r="E44" s="764" t="str">
        <f aca="false">IF('rotation(7EA)'!D49=0," ",$B44*'rotation(7EA)'!D49)</f>
        <v> </v>
      </c>
      <c r="F44" s="764" t="str">
        <f aca="false">IF('rotation(7EA)'!E49=0," ",$B44*'rotation(7EA)'!E49)</f>
        <v> </v>
      </c>
      <c r="G44" s="764" t="str">
        <f aca="false">IF('rotation(7EA)'!F49=0," ",$B44*'rotation(7EA)'!F49)</f>
        <v> </v>
      </c>
      <c r="H44" s="764" t="str">
        <f aca="false">IF('rotation(7EA)'!G49=0," ",$B44*'rotation(7EA)'!G49)</f>
        <v> </v>
      </c>
      <c r="I44" s="764" t="str">
        <f aca="false">IF('rotation(7EA)'!H49=0," ",$B44*'rotation(7EA)'!H49)</f>
        <v> </v>
      </c>
      <c r="J44" s="764" t="str">
        <f aca="false">IF('rotation(7EA)'!I49=0," ",$B44*'rotation(7EA)'!I49)</f>
        <v> </v>
      </c>
      <c r="K44" s="764" t="str">
        <f aca="false">IF('rotation(7EA)'!J49=0," ",$B44*'rotation(7EA)'!J49)</f>
        <v> </v>
      </c>
      <c r="L44" s="764" t="str">
        <f aca="false">IF('rotation(7EA)'!K49=0," ",$B44*'rotation(7EA)'!K49)</f>
        <v> </v>
      </c>
      <c r="M44" s="764" t="str">
        <f aca="false">IF('rotation(7EA)'!L49=0," ",$B44*'rotation(7EA)'!L49)</f>
        <v> </v>
      </c>
      <c r="N44" s="764" t="str">
        <f aca="false">IF('rotation(7EA)'!M49=0," ",$B44*'rotation(7EA)'!M49)</f>
        <v> </v>
      </c>
      <c r="O44" s="764" t="str">
        <f aca="false">IF('rotation(7EA)'!N49=0," ",$B44*'rotation(7EA)'!N49)</f>
        <v> </v>
      </c>
      <c r="P44" s="764" t="str">
        <f aca="false">IF('rotation(7EA)'!O49=0," ",$B44*'rotation(7EA)'!O49)</f>
        <v> </v>
      </c>
      <c r="Q44" s="764" t="str">
        <f aca="false">IF('rotation(7EA)'!P49=0," ",$B44*'rotation(7EA)'!P49)</f>
        <v> </v>
      </c>
      <c r="R44" s="764" t="str">
        <f aca="false">IF('rotation(7EA)'!Q49=0," ",$B44*'rotation(7EA)'!Q49)</f>
        <v> </v>
      </c>
      <c r="S44" s="764" t="str">
        <f aca="false">IF('rotation(7EA)'!R49=0," ",$B44*'rotation(7EA)'!R49)</f>
        <v> </v>
      </c>
      <c r="T44" s="764" t="str">
        <f aca="false">IF('rotation(7EA)'!S49=0," ",$B44*'rotation(7EA)'!S49)</f>
        <v> </v>
      </c>
      <c r="U44" s="764" t="str">
        <f aca="false">IF('rotation(7EA)'!T49=0," ",$B44*'rotation(7EA)'!T49)</f>
        <v> </v>
      </c>
      <c r="V44" s="764" t="str">
        <f aca="false">IF('rotation(7EA)'!U49=0," ",$B44*'rotation(7EA)'!U49)</f>
        <v> </v>
      </c>
      <c r="W44" s="764" t="str">
        <f aca="false">IF('rotation(7EA)'!V49=0," ",$B44*'rotation(7EA)'!V49)</f>
        <v> </v>
      </c>
      <c r="X44" s="666" t="n">
        <f aca="false">SUM(D44:W44)</f>
        <v>0</v>
      </c>
    </row>
    <row r="45" customFormat="false" ht="12.75" hidden="false" customHeight="false" outlineLevel="0" collapsed="false">
      <c r="A45" s="770" t="str">
        <f aca="false">'GTDB(7EA)'!A25</f>
        <v>Stage 3 Buckets</v>
      </c>
      <c r="B45" s="763" t="n">
        <f aca="false">'GTDB(7EA)'!D25</f>
        <v>42</v>
      </c>
      <c r="C45" s="764"/>
      <c r="D45" s="764" t="str">
        <f aca="false">IF('rotation(7EA)'!C53=0," ",$B45*'rotation(7EA)'!C53)</f>
        <v> </v>
      </c>
      <c r="E45" s="764" t="str">
        <f aca="false">IF('rotation(7EA)'!D53=0," ",$B45*'rotation(7EA)'!D53)</f>
        <v> </v>
      </c>
      <c r="F45" s="764" t="str">
        <f aca="false">IF('rotation(7EA)'!E53=0," ",$B45*'rotation(7EA)'!E53)</f>
        <v> </v>
      </c>
      <c r="G45" s="764" t="str">
        <f aca="false">IF('rotation(7EA)'!F53=0," ",$B45*'rotation(7EA)'!F53)</f>
        <v> </v>
      </c>
      <c r="H45" s="764" t="str">
        <f aca="false">IF('rotation(7EA)'!G53=0," ",$B45*'rotation(7EA)'!G53)</f>
        <v> </v>
      </c>
      <c r="I45" s="764" t="str">
        <f aca="false">IF('rotation(7EA)'!H53=0," ",$B45*'rotation(7EA)'!H53)</f>
        <v> </v>
      </c>
      <c r="J45" s="764" t="str">
        <f aca="false">IF('rotation(7EA)'!I53=0," ",$B45*'rotation(7EA)'!I53)</f>
        <v> </v>
      </c>
      <c r="K45" s="764" t="str">
        <f aca="false">IF('rotation(7EA)'!J53=0," ",$B45*'rotation(7EA)'!J53)</f>
        <v> </v>
      </c>
      <c r="L45" s="764" t="str">
        <f aca="false">IF('rotation(7EA)'!K53=0," ",$B45*'rotation(7EA)'!K53)</f>
        <v> </v>
      </c>
      <c r="M45" s="764" t="str">
        <f aca="false">IF('rotation(7EA)'!L53=0," ",$B45*'rotation(7EA)'!L53)</f>
        <v> </v>
      </c>
      <c r="N45" s="764" t="str">
        <f aca="false">IF('rotation(7EA)'!M53=0," ",$B45*'rotation(7EA)'!M53)</f>
        <v> </v>
      </c>
      <c r="O45" s="764" t="str">
        <f aca="false">IF('rotation(7EA)'!N53=0," ",$B45*'rotation(7EA)'!N53)</f>
        <v> </v>
      </c>
      <c r="P45" s="764" t="str">
        <f aca="false">IF('rotation(7EA)'!O53=0," ",$B45*'rotation(7EA)'!O53)</f>
        <v> </v>
      </c>
      <c r="Q45" s="764" t="str">
        <f aca="false">IF('rotation(7EA)'!P53=0," ",$B45*'rotation(7EA)'!P53)</f>
        <v> </v>
      </c>
      <c r="R45" s="764" t="str">
        <f aca="false">IF('rotation(7EA)'!Q53=0," ",$B45*'rotation(7EA)'!Q53)</f>
        <v> </v>
      </c>
      <c r="S45" s="764" t="str">
        <f aca="false">IF('rotation(7EA)'!R53=0," ",$B45*'rotation(7EA)'!R53)</f>
        <v> </v>
      </c>
      <c r="T45" s="764" t="str">
        <f aca="false">IF('rotation(7EA)'!S53=0," ",$B45*'rotation(7EA)'!S53)</f>
        <v> </v>
      </c>
      <c r="U45" s="764" t="str">
        <f aca="false">IF('rotation(7EA)'!T53=0," ",$B45*'rotation(7EA)'!T53)</f>
        <v> </v>
      </c>
      <c r="V45" s="764" t="str">
        <f aca="false">IF('rotation(7EA)'!U53=0," ",$B45*'rotation(7EA)'!U53)</f>
        <v> </v>
      </c>
      <c r="W45" s="764" t="str">
        <f aca="false">IF('rotation(7EA)'!V53=0," ",$B45*'rotation(7EA)'!V53)</f>
        <v> </v>
      </c>
      <c r="X45" s="666" t="n">
        <f aca="false">SUM(D45:W45)</f>
        <v>0</v>
      </c>
    </row>
    <row r="46" customFormat="false" ht="12.75" hidden="false" customHeight="false" outlineLevel="0" collapsed="false">
      <c r="A46" s="770" t="str">
        <f aca="false">'GTDB(7EA)'!A26</f>
        <v>Row 1 Support Ring</v>
      </c>
      <c r="B46" s="763" t="n">
        <f aca="false">'GTDB(7EA)'!D26</f>
        <v>25</v>
      </c>
      <c r="C46" s="764"/>
      <c r="D46" s="764" t="str">
        <f aca="false">IF('rotation(7EA)'!C57=0," ",$B46*'rotation(7EA)'!C57)</f>
        <v> </v>
      </c>
      <c r="E46" s="764" t="str">
        <f aca="false">IF('rotation(7EA)'!D57=0," ",$B46*'rotation(7EA)'!D57)</f>
        <v> </v>
      </c>
      <c r="F46" s="764" t="str">
        <f aca="false">IF('rotation(7EA)'!E57=0," ",$B46*'rotation(7EA)'!E57)</f>
        <v> </v>
      </c>
      <c r="G46" s="764" t="str">
        <f aca="false">IF('rotation(7EA)'!F57=0," ",$B46*'rotation(7EA)'!F57)</f>
        <v> </v>
      </c>
      <c r="H46" s="764" t="str">
        <f aca="false">IF('rotation(7EA)'!G57=0," ",$B46*'rotation(7EA)'!G57)</f>
        <v> </v>
      </c>
      <c r="I46" s="764" t="str">
        <f aca="false">IF('rotation(7EA)'!H57=0," ",$B46*'rotation(7EA)'!H57)</f>
        <v> </v>
      </c>
      <c r="J46" s="764" t="str">
        <f aca="false">IF('rotation(7EA)'!I57=0," ",$B46*'rotation(7EA)'!I57)</f>
        <v> </v>
      </c>
      <c r="K46" s="764" t="str">
        <f aca="false">IF('rotation(7EA)'!J57=0," ",$B46*'rotation(7EA)'!J57)</f>
        <v> </v>
      </c>
      <c r="L46" s="764" t="str">
        <f aca="false">IF('rotation(7EA)'!K57=0," ",$B46*'rotation(7EA)'!K57)</f>
        <v> </v>
      </c>
      <c r="M46" s="764" t="str">
        <f aca="false">IF('rotation(7EA)'!L57=0," ",$B46*'rotation(7EA)'!L57)</f>
        <v> </v>
      </c>
      <c r="N46" s="764" t="str">
        <f aca="false">IF('rotation(7EA)'!M57=0," ",$B46*'rotation(7EA)'!M57)</f>
        <v> </v>
      </c>
      <c r="O46" s="764" t="str">
        <f aca="false">IF('rotation(7EA)'!N57=0," ",$B46*'rotation(7EA)'!N57)</f>
        <v> </v>
      </c>
      <c r="P46" s="764" t="str">
        <f aca="false">IF('rotation(7EA)'!O57=0," ",$B46*'rotation(7EA)'!O57)</f>
        <v> </v>
      </c>
      <c r="Q46" s="764" t="str">
        <f aca="false">IF('rotation(7EA)'!P57=0," ",$B46*'rotation(7EA)'!P57)</f>
        <v> </v>
      </c>
      <c r="R46" s="764" t="str">
        <f aca="false">IF('rotation(7EA)'!Q57=0," ",$B46*'rotation(7EA)'!Q57)</f>
        <v> </v>
      </c>
      <c r="S46" s="764" t="str">
        <f aca="false">IF('rotation(7EA)'!R57=0," ",$B46*'rotation(7EA)'!R57)</f>
        <v> </v>
      </c>
      <c r="T46" s="764" t="str">
        <f aca="false">IF('rotation(7EA)'!S57=0," ",$B46*'rotation(7EA)'!S57)</f>
        <v> </v>
      </c>
      <c r="U46" s="764" t="str">
        <f aca="false">IF('rotation(7EA)'!T57=0," ",$B46*'rotation(7EA)'!T57)</f>
        <v> </v>
      </c>
      <c r="V46" s="764" t="str">
        <f aca="false">IF('rotation(7EA)'!U57=0," ",$B46*'rotation(7EA)'!U57)</f>
        <v> </v>
      </c>
      <c r="W46" s="764" t="str">
        <f aca="false">IF('rotation(7EA)'!V57=0," ",$B46*'rotation(7EA)'!V57)</f>
        <v> </v>
      </c>
      <c r="X46" s="666" t="n">
        <f aca="false">SUM(D46:W46)</f>
        <v>0</v>
      </c>
    </row>
    <row r="47" customFormat="false" ht="12.75" hidden="false" customHeight="false" outlineLevel="0" collapsed="false">
      <c r="A47" s="770" t="str">
        <f aca="false">'GTDB(7EA)'!A27</f>
        <v>1st Stage Shroud Blocks </v>
      </c>
      <c r="B47" s="763" t="n">
        <f aca="false">'GTDB(7EA)'!D27</f>
        <v>15.4</v>
      </c>
      <c r="C47" s="764"/>
      <c r="D47" s="764" t="str">
        <f aca="false">IF('rotation(7EA)'!C61=0," ",$B47*'rotation(7EA)'!C61)</f>
        <v> </v>
      </c>
      <c r="E47" s="764" t="str">
        <f aca="false">IF('rotation(7EA)'!D61=0," ",$B47*'rotation(7EA)'!D61)</f>
        <v> </v>
      </c>
      <c r="F47" s="764" t="str">
        <f aca="false">IF('rotation(7EA)'!E61=0," ",$B47*'rotation(7EA)'!E61)</f>
        <v> </v>
      </c>
      <c r="G47" s="764" t="str">
        <f aca="false">IF('rotation(7EA)'!F61=0," ",$B47*'rotation(7EA)'!F61)</f>
        <v> </v>
      </c>
      <c r="H47" s="764" t="str">
        <f aca="false">IF('rotation(7EA)'!G61=0," ",$B47*'rotation(7EA)'!G61)</f>
        <v> </v>
      </c>
      <c r="I47" s="764" t="str">
        <f aca="false">IF('rotation(7EA)'!H61=0," ",$B47*'rotation(7EA)'!H61)</f>
        <v> </v>
      </c>
      <c r="J47" s="764" t="str">
        <f aca="false">IF('rotation(7EA)'!I61=0," ",$B47*'rotation(7EA)'!I61)</f>
        <v> </v>
      </c>
      <c r="K47" s="764" t="str">
        <f aca="false">IF('rotation(7EA)'!J61=0," ",$B47*'rotation(7EA)'!J61)</f>
        <v> </v>
      </c>
      <c r="L47" s="764" t="str">
        <f aca="false">IF('rotation(7EA)'!K61=0," ",$B47*'rotation(7EA)'!K61)</f>
        <v> </v>
      </c>
      <c r="M47" s="764" t="str">
        <f aca="false">IF('rotation(7EA)'!L61=0," ",$B47*'rotation(7EA)'!L61)</f>
        <v> </v>
      </c>
      <c r="N47" s="764" t="str">
        <f aca="false">IF('rotation(7EA)'!M61=0," ",$B47*'rotation(7EA)'!M61)</f>
        <v> </v>
      </c>
      <c r="O47" s="764" t="str">
        <f aca="false">IF('rotation(7EA)'!N61=0," ",$B47*'rotation(7EA)'!N61)</f>
        <v> </v>
      </c>
      <c r="P47" s="764" t="str">
        <f aca="false">IF('rotation(7EA)'!O61=0," ",$B47*'rotation(7EA)'!O61)</f>
        <v> </v>
      </c>
      <c r="Q47" s="764" t="str">
        <f aca="false">IF('rotation(7EA)'!P61=0," ",$B47*'rotation(7EA)'!P61)</f>
        <v> </v>
      </c>
      <c r="R47" s="764" t="str">
        <f aca="false">IF('rotation(7EA)'!Q61=0," ",$B47*'rotation(7EA)'!Q61)</f>
        <v> </v>
      </c>
      <c r="S47" s="764" t="str">
        <f aca="false">IF('rotation(7EA)'!R61=0," ",$B47*'rotation(7EA)'!R61)</f>
        <v> </v>
      </c>
      <c r="T47" s="764" t="str">
        <f aca="false">IF('rotation(7EA)'!S61=0," ",$B47*'rotation(7EA)'!S61)</f>
        <v> </v>
      </c>
      <c r="U47" s="764" t="str">
        <f aca="false">IF('rotation(7EA)'!T61=0," ",$B47*'rotation(7EA)'!T61)</f>
        <v> </v>
      </c>
      <c r="V47" s="764" t="str">
        <f aca="false">IF('rotation(7EA)'!U61=0," ",$B47*'rotation(7EA)'!U61)</f>
        <v> </v>
      </c>
      <c r="W47" s="764" t="str">
        <f aca="false">IF('rotation(7EA)'!V61=0," ",$B47*'rotation(7EA)'!V61)</f>
        <v> </v>
      </c>
      <c r="X47" s="666" t="n">
        <f aca="false">SUM(D47:W47)</f>
        <v>0</v>
      </c>
    </row>
    <row r="48" customFormat="false" ht="12.75" hidden="false" customHeight="false" outlineLevel="0" collapsed="false">
      <c r="A48" s="770" t="str">
        <f aca="false">'GTDB(7EA)'!A28</f>
        <v>2nd Stage Shroud Blocks</v>
      </c>
      <c r="B48" s="763" t="n">
        <f aca="false">'GTDB(7EA)'!D28</f>
        <v>14.4</v>
      </c>
      <c r="C48" s="764"/>
      <c r="D48" s="764" t="str">
        <f aca="false">IF('rotation(7EA)'!C65=0," ",$B48*'rotation(7EA)'!C65)</f>
        <v> </v>
      </c>
      <c r="E48" s="764" t="str">
        <f aca="false">IF('rotation(7EA)'!D65=0," ",$B48*'rotation(7EA)'!D65)</f>
        <v> </v>
      </c>
      <c r="F48" s="764" t="str">
        <f aca="false">IF('rotation(7EA)'!E65=0," ",$B48*'rotation(7EA)'!E65)</f>
        <v> </v>
      </c>
      <c r="G48" s="764" t="str">
        <f aca="false">IF('rotation(7EA)'!F65=0," ",$B48*'rotation(7EA)'!F65)</f>
        <v> </v>
      </c>
      <c r="H48" s="764" t="str">
        <f aca="false">IF('rotation(7EA)'!G65=0," ",$B48*'rotation(7EA)'!G65)</f>
        <v> </v>
      </c>
      <c r="I48" s="764" t="str">
        <f aca="false">IF('rotation(7EA)'!H65=0," ",$B48*'rotation(7EA)'!H65)</f>
        <v> </v>
      </c>
      <c r="J48" s="764" t="str">
        <f aca="false">IF('rotation(7EA)'!I65=0," ",$B48*'rotation(7EA)'!I65)</f>
        <v> </v>
      </c>
      <c r="K48" s="764" t="str">
        <f aca="false">IF('rotation(7EA)'!J65=0," ",$B48*'rotation(7EA)'!J65)</f>
        <v> </v>
      </c>
      <c r="L48" s="764" t="str">
        <f aca="false">IF('rotation(7EA)'!K65=0," ",$B48*'rotation(7EA)'!K65)</f>
        <v> </v>
      </c>
      <c r="M48" s="764" t="str">
        <f aca="false">IF('rotation(7EA)'!L65=0," ",$B48*'rotation(7EA)'!L65)</f>
        <v> </v>
      </c>
      <c r="N48" s="764" t="str">
        <f aca="false">IF('rotation(7EA)'!M65=0," ",$B48*'rotation(7EA)'!M65)</f>
        <v> </v>
      </c>
      <c r="O48" s="764" t="str">
        <f aca="false">IF('rotation(7EA)'!N65=0," ",$B48*'rotation(7EA)'!N65)</f>
        <v> </v>
      </c>
      <c r="P48" s="764" t="str">
        <f aca="false">IF('rotation(7EA)'!O65=0," ",$B48*'rotation(7EA)'!O65)</f>
        <v> </v>
      </c>
      <c r="Q48" s="764" t="str">
        <f aca="false">IF('rotation(7EA)'!P65=0," ",$B48*'rotation(7EA)'!P65)</f>
        <v> </v>
      </c>
      <c r="R48" s="764" t="str">
        <f aca="false">IF('rotation(7EA)'!Q65=0," ",$B48*'rotation(7EA)'!Q65)</f>
        <v> </v>
      </c>
      <c r="S48" s="764" t="str">
        <f aca="false">IF('rotation(7EA)'!R65=0," ",$B48*'rotation(7EA)'!R65)</f>
        <v> </v>
      </c>
      <c r="T48" s="764" t="str">
        <f aca="false">IF('rotation(7EA)'!S65=0," ",$B48*'rotation(7EA)'!S65)</f>
        <v> </v>
      </c>
      <c r="U48" s="764" t="str">
        <f aca="false">IF('rotation(7EA)'!T65=0," ",$B48*'rotation(7EA)'!T65)</f>
        <v> </v>
      </c>
      <c r="V48" s="764" t="str">
        <f aca="false">IF('rotation(7EA)'!U65=0," ",$B48*'rotation(7EA)'!U65)</f>
        <v> </v>
      </c>
      <c r="W48" s="764" t="str">
        <f aca="false">IF('rotation(7EA)'!V65=0," ",$B48*'rotation(7EA)'!V65)</f>
        <v> </v>
      </c>
      <c r="X48" s="666" t="n">
        <f aca="false">SUM(D48:W48)</f>
        <v>0</v>
      </c>
    </row>
    <row r="49" customFormat="false" ht="12.75" hidden="false" customHeight="false" outlineLevel="0" collapsed="false">
      <c r="A49" s="770" t="str">
        <f aca="false">'GTDB(7EA)'!A29</f>
        <v>3rd Stage Shroud Blocks</v>
      </c>
      <c r="B49" s="763" t="n">
        <f aca="false">'GTDB(7EA)'!D29</f>
        <v>13.4</v>
      </c>
      <c r="C49" s="764"/>
      <c r="D49" s="764" t="str">
        <f aca="false">IF('rotation(7EA)'!C69=0," ",$B49*'rotation(7EA)'!C69)</f>
        <v> </v>
      </c>
      <c r="E49" s="764" t="str">
        <f aca="false">IF('rotation(7EA)'!D69=0," ",$B49*'rotation(7EA)'!D69)</f>
        <v> </v>
      </c>
      <c r="F49" s="764" t="str">
        <f aca="false">IF('rotation(7EA)'!E69=0," ",$B49*'rotation(7EA)'!E69)</f>
        <v> </v>
      </c>
      <c r="G49" s="764" t="str">
        <f aca="false">IF('rotation(7EA)'!F69=0," ",$B49*'rotation(7EA)'!F69)</f>
        <v> </v>
      </c>
      <c r="H49" s="764" t="str">
        <f aca="false">IF('rotation(7EA)'!G69=0," ",$B49*'rotation(7EA)'!G69)</f>
        <v> </v>
      </c>
      <c r="I49" s="764" t="str">
        <f aca="false">IF('rotation(7EA)'!H69=0," ",$B49*'rotation(7EA)'!H69)</f>
        <v> </v>
      </c>
      <c r="J49" s="764" t="str">
        <f aca="false">IF('rotation(7EA)'!I69=0," ",$B49*'rotation(7EA)'!I69)</f>
        <v> </v>
      </c>
      <c r="K49" s="764" t="str">
        <f aca="false">IF('rotation(7EA)'!J69=0," ",$B49*'rotation(7EA)'!J69)</f>
        <v> </v>
      </c>
      <c r="L49" s="764" t="str">
        <f aca="false">IF('rotation(7EA)'!K69=0," ",$B49*'rotation(7EA)'!K69)</f>
        <v> </v>
      </c>
      <c r="M49" s="764" t="str">
        <f aca="false">IF('rotation(7EA)'!L69=0," ",$B49*'rotation(7EA)'!L69)</f>
        <v> </v>
      </c>
      <c r="N49" s="764" t="str">
        <f aca="false">IF('rotation(7EA)'!M69=0," ",$B49*'rotation(7EA)'!M69)</f>
        <v> </v>
      </c>
      <c r="O49" s="764" t="str">
        <f aca="false">IF('rotation(7EA)'!N69=0," ",$B49*'rotation(7EA)'!N69)</f>
        <v> </v>
      </c>
      <c r="P49" s="764" t="str">
        <f aca="false">IF('rotation(7EA)'!O69=0," ",$B49*'rotation(7EA)'!O69)</f>
        <v> </v>
      </c>
      <c r="Q49" s="764" t="str">
        <f aca="false">IF('rotation(7EA)'!P69=0," ",$B49*'rotation(7EA)'!P69)</f>
        <v> </v>
      </c>
      <c r="R49" s="764" t="str">
        <f aca="false">IF('rotation(7EA)'!Q69=0," ",$B49*'rotation(7EA)'!Q69)</f>
        <v> </v>
      </c>
      <c r="S49" s="764" t="str">
        <f aca="false">IF('rotation(7EA)'!R69=0," ",$B49*'rotation(7EA)'!R69)</f>
        <v> </v>
      </c>
      <c r="T49" s="764" t="str">
        <f aca="false">IF('rotation(7EA)'!S69=0," ",$B49*'rotation(7EA)'!S69)</f>
        <v> </v>
      </c>
      <c r="U49" s="764" t="str">
        <f aca="false">IF('rotation(7EA)'!T69=0," ",$B49*'rotation(7EA)'!T69)</f>
        <v> </v>
      </c>
      <c r="V49" s="764" t="str">
        <f aca="false">IF('rotation(7EA)'!U69=0," ",$B49*'rotation(7EA)'!U69)</f>
        <v> </v>
      </c>
      <c r="W49" s="764" t="str">
        <f aca="false">IF('rotation(7EA)'!V69=0," ",$B49*'rotation(7EA)'!V69)</f>
        <v> </v>
      </c>
      <c r="X49" s="666" t="n">
        <f aca="false">SUM(D49:W49)</f>
        <v>0</v>
      </c>
    </row>
    <row r="50" customFormat="false" ht="12.75" hidden="false" customHeight="false" outlineLevel="0" collapsed="false">
      <c r="A50" s="771"/>
      <c r="B50" s="681"/>
      <c r="C50" s="681"/>
      <c r="D50" s="681"/>
      <c r="E50" s="681"/>
      <c r="F50" s="681"/>
      <c r="G50" s="681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66"/>
    </row>
    <row r="51" customFormat="false" ht="12.75" hidden="false" customHeight="false" outlineLevel="0" collapsed="false">
      <c r="A51" s="772" t="s">
        <v>1370</v>
      </c>
      <c r="B51" s="765" t="n">
        <v>0.02</v>
      </c>
      <c r="C51" s="681"/>
      <c r="D51" s="681" t="n">
        <f aca="false">SUM(D37:D49)*(1-$B51)</f>
        <v>0</v>
      </c>
      <c r="E51" s="681" t="n">
        <f aca="false">SUM(E37:E49)*(1-$B51)</f>
        <v>0</v>
      </c>
      <c r="F51" s="681" t="n">
        <f aca="false">SUM(F37:F49)*(1-$B51)</f>
        <v>0</v>
      </c>
      <c r="G51" s="681" t="n">
        <f aca="false">SUM(G37:G49)*(1-$B51)</f>
        <v>0</v>
      </c>
      <c r="H51" s="681" t="n">
        <f aca="false">SUM(H37:H49)*(1-$B51)</f>
        <v>0</v>
      </c>
      <c r="I51" s="681" t="n">
        <f aca="false">SUM(I37:I49)*(1-$B51)</f>
        <v>0</v>
      </c>
      <c r="J51" s="681" t="n">
        <f aca="false">SUM(J37:J49)*(1-$B51)</f>
        <v>0</v>
      </c>
      <c r="K51" s="681" t="n">
        <f aca="false">SUM(K37:K49)*(1-$B51)</f>
        <v>0</v>
      </c>
      <c r="L51" s="681" t="n">
        <f aca="false">SUM(L37:L49)*(1-$B51)</f>
        <v>0</v>
      </c>
      <c r="M51" s="681" t="n">
        <f aca="false">SUM(M37:M49)*(1-$B51)</f>
        <v>0</v>
      </c>
      <c r="N51" s="681" t="n">
        <f aca="false">SUM(N37:N49)*(1-$B51)</f>
        <v>0</v>
      </c>
      <c r="O51" s="681" t="n">
        <f aca="false">SUM(O37:O49)*(1-$B51)</f>
        <v>0</v>
      </c>
      <c r="P51" s="681" t="n">
        <f aca="false">SUM(P37:P49)*(1-$B51)</f>
        <v>0</v>
      </c>
      <c r="Q51" s="681" t="n">
        <f aca="false">SUM(Q37:Q49)*(1-$B51)</f>
        <v>0</v>
      </c>
      <c r="R51" s="681" t="n">
        <f aca="false">SUM(R37:R49)*(1-$B51)</f>
        <v>0</v>
      </c>
      <c r="S51" s="681" t="n">
        <f aca="false">SUM(S37:S49)*(1-$B51)</f>
        <v>0</v>
      </c>
      <c r="T51" s="681" t="n">
        <f aca="false">SUM(T37:T49)*(1-$B51)</f>
        <v>0</v>
      </c>
      <c r="U51" s="681" t="n">
        <f aca="false">SUM(U37:U49)*(1-$B51)</f>
        <v>0</v>
      </c>
      <c r="V51" s="681" t="n">
        <f aca="false">SUM(V37:V49)*(1-$B51)</f>
        <v>0</v>
      </c>
      <c r="W51" s="681" t="n">
        <f aca="false">SUM(W37:W49)*(1-$B51)</f>
        <v>0</v>
      </c>
      <c r="X51" s="666" t="n">
        <f aca="false">SUM(D51:W51)</f>
        <v>0</v>
      </c>
    </row>
    <row r="52" customFormat="false" ht="12.75" hidden="false" customHeight="false" outlineLevel="0" collapsed="false">
      <c r="A52" s="772" t="s">
        <v>1371</v>
      </c>
      <c r="B52" s="765" t="n">
        <v>0.01</v>
      </c>
      <c r="C52" s="681"/>
      <c r="D52" s="681" t="n">
        <f aca="false">D51*(1+$B52)</f>
        <v>0</v>
      </c>
      <c r="E52" s="681" t="n">
        <f aca="false">E51*(1+$B52)</f>
        <v>0</v>
      </c>
      <c r="F52" s="681" t="n">
        <f aca="false">F51*(1+$B52)</f>
        <v>0</v>
      </c>
      <c r="G52" s="681" t="n">
        <f aca="false">G51*(1+$B52)</f>
        <v>0</v>
      </c>
      <c r="H52" s="681" t="n">
        <f aca="false">H51*(1+$B52)</f>
        <v>0</v>
      </c>
      <c r="I52" s="681" t="n">
        <f aca="false">I51*(1+$B52)</f>
        <v>0</v>
      </c>
      <c r="J52" s="681" t="n">
        <f aca="false">J51*(1+$B52)</f>
        <v>0</v>
      </c>
      <c r="K52" s="681" t="n">
        <f aca="false">K51*(1+$B52)</f>
        <v>0</v>
      </c>
      <c r="L52" s="681" t="n">
        <f aca="false">L51*(1+$B52)</f>
        <v>0</v>
      </c>
      <c r="M52" s="681" t="n">
        <f aca="false">M51*(1+$B52)</f>
        <v>0</v>
      </c>
      <c r="N52" s="681" t="n">
        <f aca="false">N51*(1+$B52)</f>
        <v>0</v>
      </c>
      <c r="O52" s="681" t="n">
        <f aca="false">O51*(1+$B52)</f>
        <v>0</v>
      </c>
      <c r="P52" s="681" t="n">
        <f aca="false">P51*(1+$B52)</f>
        <v>0</v>
      </c>
      <c r="Q52" s="681" t="n">
        <f aca="false">Q51*(1+$B52)</f>
        <v>0</v>
      </c>
      <c r="R52" s="681" t="n">
        <f aca="false">R51*(1+$B52)</f>
        <v>0</v>
      </c>
      <c r="S52" s="681" t="n">
        <f aca="false">S51*(1+$B52)</f>
        <v>0</v>
      </c>
      <c r="T52" s="681" t="n">
        <f aca="false">T51*(1+$B52)</f>
        <v>0</v>
      </c>
      <c r="U52" s="681" t="n">
        <f aca="false">U51*(1+$B52)</f>
        <v>0</v>
      </c>
      <c r="V52" s="681" t="n">
        <f aca="false">V51*(1+$B52)</f>
        <v>0</v>
      </c>
      <c r="W52" s="681" t="n">
        <f aca="false">W51*(1+$B52)</f>
        <v>0</v>
      </c>
      <c r="X52" s="766" t="n">
        <f aca="false">SUM(D52:W52)</f>
        <v>0</v>
      </c>
    </row>
    <row r="53" customFormat="false" ht="12.75" hidden="false" customHeight="false" outlineLevel="0" collapsed="false">
      <c r="B53" s="666"/>
      <c r="C53" s="666"/>
      <c r="D53" s="666"/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6"/>
      <c r="Q53" s="666"/>
      <c r="R53" s="666"/>
      <c r="S53" s="666"/>
      <c r="T53" s="666"/>
      <c r="U53" s="666"/>
      <c r="V53" s="666"/>
      <c r="W53" s="666"/>
      <c r="X53" s="666"/>
    </row>
    <row r="54" customFormat="false" ht="12.75" hidden="false" customHeight="false" outlineLevel="0" collapsed="false">
      <c r="A54" s="756" t="s">
        <v>1372</v>
      </c>
      <c r="B54" s="666"/>
      <c r="C54" s="666"/>
      <c r="D54" s="666" t="n">
        <f aca="false">D10+D32+D52</f>
        <v>0</v>
      </c>
      <c r="E54" s="666" t="n">
        <f aca="false">E10+E32+E52</f>
        <v>0</v>
      </c>
      <c r="F54" s="666" t="n">
        <f aca="false">F10+F32+F52</f>
        <v>0</v>
      </c>
      <c r="G54" s="666" t="n">
        <f aca="false">G10+G32+G52</f>
        <v>0</v>
      </c>
      <c r="H54" s="666" t="n">
        <f aca="false">H10+H32+H52</f>
        <v>0</v>
      </c>
      <c r="I54" s="666" t="n">
        <f aca="false">I10+I32+I52</f>
        <v>0</v>
      </c>
      <c r="J54" s="666" t="n">
        <f aca="false">J10+J32+J52</f>
        <v>0</v>
      </c>
      <c r="K54" s="666" t="n">
        <f aca="false">K10+K32+K52</f>
        <v>0</v>
      </c>
      <c r="L54" s="666" t="n">
        <f aca="false">L10+L32+L52</f>
        <v>0</v>
      </c>
      <c r="M54" s="666" t="n">
        <f aca="false">M10+M32+M52</f>
        <v>0</v>
      </c>
      <c r="N54" s="666" t="n">
        <f aca="false">N10+N32+N52</f>
        <v>0</v>
      </c>
      <c r="O54" s="666" t="n">
        <f aca="false">O10+O32+O52</f>
        <v>0</v>
      </c>
      <c r="P54" s="666" t="n">
        <f aca="false">P10+P32+P52</f>
        <v>0</v>
      </c>
      <c r="Q54" s="666" t="n">
        <f aca="false">Q10+Q32+Q52</f>
        <v>0</v>
      </c>
      <c r="R54" s="666" t="n">
        <f aca="false">R10+R32+R52</f>
        <v>0</v>
      </c>
      <c r="S54" s="666" t="n">
        <f aca="false">S10+S32+S52</f>
        <v>0</v>
      </c>
      <c r="T54" s="666" t="n">
        <f aca="false">T10+T32+T52</f>
        <v>0</v>
      </c>
      <c r="U54" s="666" t="n">
        <f aca="false">U10+U32+U52</f>
        <v>0</v>
      </c>
      <c r="V54" s="666" t="n">
        <f aca="false">V10+V32+V52</f>
        <v>0</v>
      </c>
      <c r="W54" s="666" t="n">
        <f aca="false">W10+W32+W52</f>
        <v>0</v>
      </c>
      <c r="X54" s="773" t="n">
        <f aca="false">SUM(D54:W54)</f>
        <v>0</v>
      </c>
    </row>
    <row r="55" customFormat="false" ht="12.75" hidden="false" customHeight="false" outlineLevel="0" collapsed="false">
      <c r="B55" s="666"/>
      <c r="C55" s="666"/>
      <c r="D55" s="666"/>
      <c r="E55" s="666"/>
      <c r="F55" s="666"/>
      <c r="G55" s="666"/>
      <c r="H55" s="666"/>
      <c r="I55" s="666"/>
      <c r="J55" s="666"/>
      <c r="K55" s="666"/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</row>
    <row r="56" customFormat="false" ht="12.75" hidden="false" customHeight="false" outlineLevel="0" collapsed="false">
      <c r="B56" s="666"/>
      <c r="C56" s="666"/>
      <c r="D56" s="666"/>
      <c r="E56" s="666"/>
      <c r="F56" s="666"/>
      <c r="G56" s="666"/>
      <c r="H56" s="666"/>
      <c r="I56" s="666"/>
      <c r="J56" s="666"/>
      <c r="K56" s="666"/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</row>
    <row r="57" customFormat="false" ht="12.75" hidden="false" customHeight="false" outlineLevel="0" collapsed="false">
      <c r="B57" s="666"/>
      <c r="C57" s="666"/>
      <c r="D57" s="666"/>
      <c r="E57" s="666"/>
      <c r="F57" s="666"/>
      <c r="G57" s="666"/>
      <c r="H57" s="666"/>
      <c r="I57" s="666"/>
      <c r="J57" s="666"/>
      <c r="K57" s="666"/>
      <c r="L57" s="666"/>
      <c r="M57" s="666"/>
      <c r="N57" s="666"/>
      <c r="O57" s="666"/>
      <c r="P57" s="666"/>
      <c r="Q57" s="666"/>
      <c r="R57" s="666"/>
      <c r="S57" s="666"/>
      <c r="T57" s="666"/>
      <c r="U57" s="666"/>
      <c r="V57" s="666"/>
      <c r="W57" s="666"/>
      <c r="X57" s="666"/>
    </row>
    <row r="58" customFormat="false" ht="12.75" hidden="false" customHeight="false" outlineLevel="0" collapsed="false">
      <c r="B58" s="666"/>
      <c r="C58" s="666"/>
      <c r="D58" s="666"/>
      <c r="E58" s="666"/>
      <c r="F58" s="666"/>
      <c r="G58" s="666"/>
      <c r="H58" s="666"/>
      <c r="I58" s="666"/>
      <c r="J58" s="666"/>
      <c r="K58" s="666"/>
      <c r="L58" s="666"/>
      <c r="M58" s="666"/>
      <c r="N58" s="666"/>
      <c r="O58" s="666"/>
      <c r="P58" s="666"/>
      <c r="Q58" s="666"/>
      <c r="R58" s="666"/>
      <c r="S58" s="666"/>
      <c r="T58" s="666"/>
      <c r="U58" s="666"/>
      <c r="V58" s="666"/>
      <c r="W58" s="666"/>
      <c r="X58" s="666"/>
    </row>
    <row r="59" customFormat="false" ht="12.75" hidden="false" customHeight="false" outlineLevel="0" collapsed="false">
      <c r="B59" s="666"/>
      <c r="C59" s="666"/>
      <c r="D59" s="666"/>
      <c r="E59" s="666"/>
      <c r="F59" s="666"/>
      <c r="G59" s="666"/>
      <c r="H59" s="666"/>
      <c r="I59" s="666"/>
      <c r="J59" s="666"/>
      <c r="K59" s="666"/>
      <c r="L59" s="666"/>
      <c r="M59" s="666"/>
      <c r="N59" s="666"/>
      <c r="O59" s="666"/>
      <c r="P59" s="666"/>
      <c r="Q59" s="666"/>
      <c r="R59" s="666"/>
      <c r="S59" s="666"/>
      <c r="T59" s="666"/>
      <c r="U59" s="666"/>
      <c r="V59" s="666"/>
      <c r="W59" s="666"/>
      <c r="X59" s="666"/>
    </row>
    <row r="60" customFormat="false" ht="12.75" hidden="false" customHeight="false" outlineLevel="0" collapsed="false">
      <c r="B60" s="666"/>
      <c r="C60" s="666"/>
      <c r="D60" s="666"/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6"/>
      <c r="Q60" s="666"/>
      <c r="R60" s="666"/>
      <c r="S60" s="666"/>
      <c r="T60" s="666"/>
      <c r="U60" s="666"/>
      <c r="V60" s="666"/>
      <c r="W60" s="666"/>
      <c r="X60" s="666"/>
    </row>
    <row r="61" customFormat="false" ht="12.75" hidden="false" customHeight="false" outlineLevel="0" collapsed="false">
      <c r="B61" s="666"/>
      <c r="C61" s="666"/>
      <c r="D61" s="666"/>
      <c r="E61" s="666"/>
      <c r="F61" s="666"/>
      <c r="G61" s="666"/>
      <c r="H61" s="666"/>
      <c r="I61" s="666"/>
      <c r="J61" s="666"/>
      <c r="K61" s="666"/>
      <c r="L61" s="666"/>
      <c r="M61" s="666"/>
      <c r="N61" s="666"/>
      <c r="O61" s="666"/>
      <c r="P61" s="666"/>
      <c r="Q61" s="666"/>
      <c r="R61" s="666"/>
      <c r="S61" s="666"/>
      <c r="T61" s="666"/>
      <c r="U61" s="666"/>
      <c r="V61" s="666"/>
      <c r="W61" s="666"/>
      <c r="X61" s="666"/>
    </row>
    <row r="62" customFormat="false" ht="12.75" hidden="false" customHeight="false" outlineLevel="0" collapsed="false">
      <c r="B62" s="666"/>
      <c r="C62" s="666"/>
      <c r="D62" s="666"/>
      <c r="E62" s="666"/>
      <c r="F62" s="666"/>
      <c r="G62" s="666"/>
      <c r="H62" s="666"/>
      <c r="I62" s="666"/>
      <c r="J62" s="666"/>
      <c r="K62" s="666"/>
      <c r="L62" s="666"/>
      <c r="M62" s="666"/>
      <c r="N62" s="666"/>
      <c r="O62" s="666"/>
      <c r="P62" s="666"/>
      <c r="Q62" s="666"/>
      <c r="R62" s="666"/>
      <c r="S62" s="666"/>
      <c r="T62" s="666"/>
      <c r="U62" s="666"/>
      <c r="V62" s="666"/>
      <c r="W62" s="666"/>
      <c r="X62" s="666"/>
    </row>
    <row r="63" customFormat="false" ht="12.75" hidden="false" customHeight="false" outlineLevel="0" collapsed="false">
      <c r="B63" s="666"/>
      <c r="C63" s="666"/>
      <c r="D63" s="666"/>
      <c r="E63" s="666"/>
      <c r="F63" s="666"/>
      <c r="G63" s="666"/>
      <c r="H63" s="666"/>
      <c r="I63" s="666"/>
      <c r="J63" s="666"/>
      <c r="K63" s="666"/>
      <c r="L63" s="666"/>
      <c r="M63" s="666"/>
      <c r="N63" s="666"/>
      <c r="O63" s="666"/>
      <c r="P63" s="666"/>
      <c r="Q63" s="666"/>
      <c r="R63" s="666"/>
      <c r="S63" s="666"/>
      <c r="T63" s="666"/>
      <c r="U63" s="666"/>
      <c r="V63" s="666"/>
      <c r="W63" s="666"/>
      <c r="X63" s="666"/>
    </row>
    <row r="64" customFormat="false" ht="12.75" hidden="false" customHeight="false" outlineLevel="0" collapsed="false"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66"/>
      <c r="N64" s="666"/>
      <c r="O64" s="666"/>
      <c r="P64" s="666"/>
      <c r="Q64" s="666"/>
      <c r="R64" s="666"/>
      <c r="S64" s="666"/>
      <c r="T64" s="666"/>
      <c r="U64" s="666"/>
      <c r="V64" s="666"/>
      <c r="W64" s="666"/>
      <c r="X64" s="666"/>
    </row>
    <row r="65" customFormat="false" ht="12.75" hidden="false" customHeight="false" outlineLevel="0" collapsed="false">
      <c r="B65" s="666"/>
      <c r="C65" s="666"/>
      <c r="D65" s="666"/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6"/>
      <c r="Q65" s="666"/>
      <c r="R65" s="666"/>
      <c r="S65" s="666"/>
      <c r="T65" s="666"/>
      <c r="U65" s="666"/>
      <c r="V65" s="666"/>
      <c r="W65" s="666"/>
      <c r="X65" s="666"/>
    </row>
    <row r="66" customFormat="false" ht="12.75" hidden="false" customHeight="false" outlineLevel="0" collapsed="false">
      <c r="B66" s="666"/>
      <c r="C66" s="666"/>
      <c r="D66" s="666"/>
      <c r="E66" s="666"/>
      <c r="F66" s="666"/>
      <c r="G66" s="666"/>
      <c r="H66" s="666"/>
      <c r="I66" s="666"/>
      <c r="J66" s="666"/>
      <c r="K66" s="666"/>
      <c r="L66" s="666"/>
      <c r="M66" s="666"/>
      <c r="N66" s="666"/>
      <c r="O66" s="666"/>
      <c r="P66" s="666"/>
      <c r="Q66" s="666"/>
      <c r="R66" s="666"/>
      <c r="S66" s="666"/>
      <c r="T66" s="666"/>
      <c r="U66" s="666"/>
      <c r="V66" s="666"/>
      <c r="W66" s="666"/>
      <c r="X66" s="666"/>
    </row>
    <row r="67" customFormat="false" ht="12.75" hidden="false" customHeight="false" outlineLevel="0" collapsed="false">
      <c r="B67" s="666"/>
      <c r="C67" s="666"/>
      <c r="D67" s="666"/>
      <c r="E67" s="666"/>
      <c r="F67" s="666"/>
      <c r="G67" s="666"/>
      <c r="H67" s="666"/>
      <c r="I67" s="666"/>
      <c r="J67" s="666"/>
      <c r="K67" s="666"/>
      <c r="L67" s="666"/>
      <c r="M67" s="666"/>
      <c r="N67" s="666"/>
      <c r="O67" s="666"/>
      <c r="P67" s="666"/>
      <c r="Q67" s="666"/>
      <c r="R67" s="666"/>
      <c r="S67" s="666"/>
      <c r="T67" s="666"/>
      <c r="U67" s="666"/>
      <c r="V67" s="666"/>
      <c r="W67" s="666"/>
      <c r="X67" s="666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  <colBreaks count="1" manualBreakCount="1">
    <brk id="12" man="true" max="65535" min="0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S369"/>
  <sheetViews>
    <sheetView showFormulas="false" showGridLines="true" showRowColHeaders="true" showZeros="true" rightToLeft="false" tabSelected="false" showOutlineSymbols="true" defaultGridColor="true" view="normal" topLeftCell="A5" colorId="64" zoomScale="75" zoomScaleNormal="75" zoomScalePageLayoutView="100" workbookViewId="0">
      <selection pane="topLeft" activeCell="C35" activeCellId="0" sqref="C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66" width="15.28"/>
    <col collapsed="false" customWidth="true" hidden="true" outlineLevel="0" max="4" min="4" style="0" width="12.7"/>
    <col collapsed="false" customWidth="true" hidden="false" outlineLevel="0" max="5" min="5" style="0" width="12.7"/>
    <col collapsed="false" customWidth="true" hidden="false" outlineLevel="0" max="6" min="6" style="0" width="38.56"/>
    <col collapsed="false" customWidth="true" hidden="false" outlineLevel="0" max="8" min="7" style="0" width="12.7"/>
  </cols>
  <sheetData>
    <row r="1" customFormat="false" ht="15" hidden="false" customHeight="true" outlineLevel="0" collapsed="false">
      <c r="A1" s="117" t="str">
        <f aca="false">Scope!$A$1</f>
        <v>AES Corp, Dallas, TX (640 MW)</v>
      </c>
      <c r="B1" s="117"/>
      <c r="C1" s="117"/>
      <c r="D1" s="667"/>
      <c r="E1" s="667"/>
      <c r="F1" s="667"/>
      <c r="G1" s="667"/>
      <c r="H1" s="667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customFormat="false" ht="15" hidden="false" customHeight="true" outlineLevel="0" collapsed="false">
      <c r="A2" s="117"/>
      <c r="B2" s="117"/>
      <c r="C2" s="117"/>
      <c r="D2" s="667"/>
      <c r="E2" s="667"/>
      <c r="F2" s="667"/>
      <c r="G2" s="667"/>
      <c r="H2" s="667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</row>
    <row r="3" customFormat="false" ht="13.5" hidden="false" customHeight="true" outlineLevel="0" collapsed="false">
      <c r="A3" s="668" t="s">
        <v>12</v>
      </c>
      <c r="B3" s="668"/>
      <c r="C3" s="668"/>
      <c r="D3" s="667"/>
      <c r="E3" s="667"/>
      <c r="F3" s="667"/>
      <c r="G3" s="667"/>
      <c r="H3" s="667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</row>
    <row r="4" customFormat="false" ht="12.75" hidden="false" customHeight="false" outlineLevel="0" collapsed="false">
      <c r="A4" s="207"/>
      <c r="B4" s="207"/>
      <c r="C4" s="7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customFormat="false" ht="12.75" hidden="false" customHeight="false" outlineLevel="0" collapsed="false">
      <c r="A5" s="207"/>
      <c r="B5" s="669" t="s">
        <v>1278</v>
      </c>
      <c r="C5" s="670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customFormat="false" ht="12.75" hidden="false" customHeight="false" outlineLevel="0" collapsed="false">
      <c r="A6" s="2"/>
      <c r="B6" s="2"/>
      <c r="C6" s="7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customFormat="false" ht="13.5" hidden="false" customHeight="false" outlineLevel="0" collapsed="false">
      <c r="A7" s="2"/>
      <c r="B7" s="2"/>
      <c r="C7" s="671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customFormat="false" ht="13.5" hidden="false" customHeight="false" outlineLevel="0" collapsed="false">
      <c r="A8" s="672" t="s">
        <v>1279</v>
      </c>
      <c r="B8" s="700"/>
      <c r="C8" s="674" t="s">
        <v>1142</v>
      </c>
      <c r="D8" s="701" t="s">
        <v>1141</v>
      </c>
      <c r="E8" s="702" t="s">
        <v>1280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customFormat="false" ht="12.75" hidden="false" customHeight="false" outlineLevel="0" collapsed="false">
      <c r="A9" s="682"/>
      <c r="B9" s="681"/>
      <c r="C9" s="678"/>
      <c r="D9" s="703"/>
      <c r="E9" s="704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customFormat="false" ht="12.75" hidden="false" customHeight="false" outlineLevel="0" collapsed="false">
      <c r="A10" s="682"/>
      <c r="B10" s="681"/>
      <c r="C10" s="680"/>
      <c r="D10" s="681"/>
      <c r="E10" s="705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customFormat="false" ht="12.75" hidden="false" customHeight="false" outlineLevel="0" collapsed="false">
      <c r="A11" s="706" t="str">
        <f aca="false">UPPER('GTDB(W501D5)'!A17)</f>
        <v>BASKETS</v>
      </c>
      <c r="B11" s="687"/>
      <c r="C11" s="705" t="n">
        <f aca="false">'GTDB(W501D5A)'!E17*1000*E11</f>
        <v>0</v>
      </c>
      <c r="D11" s="687" t="n">
        <v>0</v>
      </c>
      <c r="E11" s="68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</row>
    <row r="12" customFormat="false" ht="12.75" hidden="false" customHeight="false" outlineLevel="0" collapsed="false">
      <c r="A12" s="706" t="str">
        <f aca="false">UPPER('GTDB(W501D5)'!A18)</f>
        <v>TRANSITION PIECES</v>
      </c>
      <c r="B12" s="687"/>
      <c r="C12" s="705" t="n">
        <f aca="false">'GTDB(W501D5A)'!E18*1000*E12</f>
        <v>0</v>
      </c>
      <c r="D12" s="687" t="n">
        <v>0</v>
      </c>
      <c r="E12" s="68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</row>
    <row r="13" customFormat="false" ht="12.75" hidden="false" customHeight="false" outlineLevel="0" collapsed="false">
      <c r="A13" s="706" t="str">
        <f aca="false">UPPER('GTDB(W501D5)'!A19)</f>
        <v>TRANSITION SEALS</v>
      </c>
      <c r="B13" s="687"/>
      <c r="C13" s="705" t="n">
        <f aca="false">'GTDB(W501D5A)'!E19*1000*E13</f>
        <v>0</v>
      </c>
      <c r="D13" s="687" t="n">
        <v>0</v>
      </c>
      <c r="E13" s="685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</row>
    <row r="14" customFormat="false" ht="12.75" hidden="false" customHeight="false" outlineLevel="0" collapsed="false">
      <c r="A14" s="706" t="str">
        <f aca="false">UPPER('GTDB(W501D5)'!A20)</f>
        <v>FUEL NOZZLES</v>
      </c>
      <c r="B14" s="687"/>
      <c r="C14" s="705" t="n">
        <f aca="false">'GTDB(W501D5A)'!E20*1000*E14</f>
        <v>0</v>
      </c>
      <c r="D14" s="687" t="n">
        <v>0</v>
      </c>
      <c r="E14" s="68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</row>
    <row r="15" customFormat="false" ht="12.75" hidden="false" customHeight="false" outlineLevel="0" collapsed="false">
      <c r="A15" s="706" t="str">
        <f aca="false">UPPER('GTDB(W501D5)'!A21)</f>
        <v>CLAMSHELLS</v>
      </c>
      <c r="B15" s="687"/>
      <c r="C15" s="705" t="n">
        <f aca="false">'GTDB(W501D5A)'!E21*1000*E15</f>
        <v>0</v>
      </c>
      <c r="D15" s="687" t="n">
        <v>0</v>
      </c>
      <c r="E15" s="68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</row>
    <row r="16" customFormat="false" ht="12.75" hidden="false" customHeight="false" outlineLevel="0" collapsed="false">
      <c r="A16" s="706" t="str">
        <f aca="false">UPPER('GTDB(W501D5)'!A22)</f>
        <v>ROW 1 BLADES</v>
      </c>
      <c r="B16" s="687"/>
      <c r="C16" s="705" t="n">
        <f aca="false">'GTDB(W501D5A)'!E22*1000*E16</f>
        <v>0</v>
      </c>
      <c r="D16" s="687" t="n">
        <v>0</v>
      </c>
      <c r="E16" s="68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</row>
    <row r="17" customFormat="false" ht="12.75" hidden="false" customHeight="false" outlineLevel="0" collapsed="false">
      <c r="A17" s="706" t="str">
        <f aca="false">UPPER('GTDB(W501D5)'!A23)</f>
        <v>ROW 2 BLADES</v>
      </c>
      <c r="B17" s="687"/>
      <c r="C17" s="705" t="n">
        <f aca="false">'GTDB(W501D5A)'!E23*1000*E17</f>
        <v>0</v>
      </c>
      <c r="D17" s="687" t="n">
        <v>0</v>
      </c>
      <c r="E17" s="68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</row>
    <row r="18" customFormat="false" ht="12.75" hidden="false" customHeight="false" outlineLevel="0" collapsed="false">
      <c r="A18" s="706" t="str">
        <f aca="false">UPPER('GTDB(W501D5)'!A24)</f>
        <v>ROW 3 BLADES</v>
      </c>
      <c r="B18" s="687"/>
      <c r="C18" s="705" t="n">
        <f aca="false">'GTDB(W501D5A)'!E24*1000*E18</f>
        <v>0</v>
      </c>
      <c r="D18" s="687" t="n">
        <v>0</v>
      </c>
      <c r="E18" s="685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</row>
    <row r="19" customFormat="false" ht="12.75" hidden="false" customHeight="false" outlineLevel="0" collapsed="false">
      <c r="A19" s="706" t="str">
        <f aca="false">UPPER('GTDB(W501D5)'!A25)</f>
        <v>ROW 4 BLADES</v>
      </c>
      <c r="B19" s="687"/>
      <c r="C19" s="705" t="n">
        <f aca="false">'GTDB(W501D5A)'!E25*1000*E19</f>
        <v>0</v>
      </c>
      <c r="D19" s="687" t="n">
        <v>0</v>
      </c>
      <c r="E19" s="68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</row>
    <row r="20" customFormat="false" ht="12.75" hidden="false" customHeight="false" outlineLevel="0" collapsed="false">
      <c r="A20" s="706" t="str">
        <f aca="false">UPPER('GTDB(W501D5)'!A26)</f>
        <v>ROW 1 VANES </v>
      </c>
      <c r="B20" s="687"/>
      <c r="C20" s="705" t="n">
        <f aca="false">'GTDB(W501D5A)'!E26*1000*E20</f>
        <v>0</v>
      </c>
      <c r="D20" s="687" t="n">
        <v>0</v>
      </c>
      <c r="E20" s="68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</row>
    <row r="21" customFormat="false" ht="12.75" hidden="false" customHeight="false" outlineLevel="0" collapsed="false">
      <c r="A21" s="706" t="str">
        <f aca="false">UPPER('GTDB(W501D5)'!A27)</f>
        <v>ROW 2 VANES</v>
      </c>
      <c r="B21" s="687"/>
      <c r="C21" s="705" t="n">
        <f aca="false">'GTDB(W501D5A)'!E27*1000*E21</f>
        <v>0</v>
      </c>
      <c r="D21" s="687" t="n">
        <v>0</v>
      </c>
      <c r="E21" s="685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</row>
    <row r="22" customFormat="false" ht="12.75" hidden="false" customHeight="false" outlineLevel="0" collapsed="false">
      <c r="A22" s="706" t="str">
        <f aca="false">UPPER('GTDB(W501D5)'!A28)</f>
        <v>ROW 3 VANES</v>
      </c>
      <c r="B22" s="687"/>
      <c r="C22" s="705" t="n">
        <f aca="false">'GTDB(W501D5A)'!E28*1000*E22</f>
        <v>0</v>
      </c>
      <c r="D22" s="687" t="n">
        <v>0</v>
      </c>
      <c r="E22" s="68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</row>
    <row r="23" customFormat="false" ht="12.75" hidden="false" customHeight="false" outlineLevel="0" collapsed="false">
      <c r="A23" s="706" t="str">
        <f aca="false">UPPER('GTDB(W501D5)'!A29)</f>
        <v>ROW 4 VANES</v>
      </c>
      <c r="B23" s="687"/>
      <c r="C23" s="705" t="n">
        <f aca="false">'GTDB(W501D5A)'!E29*1000*E23</f>
        <v>0</v>
      </c>
      <c r="D23" s="687" t="n">
        <v>0</v>
      </c>
      <c r="E23" s="68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</row>
    <row r="24" customFormat="false" ht="12.75" hidden="false" customHeight="false" outlineLevel="0" collapsed="false">
      <c r="A24" s="706" t="str">
        <f aca="false">UPPER('GTDB(W501D5)'!A30)</f>
        <v>ROW 1 RING SEGMENTS</v>
      </c>
      <c r="B24" s="687"/>
      <c r="C24" s="705" t="n">
        <f aca="false">'GTDB(W501D5A)'!E30*1000*E24</f>
        <v>0</v>
      </c>
      <c r="D24" s="687" t="n">
        <v>0</v>
      </c>
      <c r="E24" s="68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</row>
    <row r="25" customFormat="false" ht="12.75" hidden="false" customHeight="false" outlineLevel="0" collapsed="false">
      <c r="A25" s="706" t="str">
        <f aca="false">UPPER('GTDB(W501D5)'!A31)</f>
        <v>ROW 2 RING SEGMENTS</v>
      </c>
      <c r="B25" s="687"/>
      <c r="C25" s="705" t="n">
        <f aca="false">'GTDB(W501D5A)'!E31*1000*E25</f>
        <v>0</v>
      </c>
      <c r="D25" s="687" t="n">
        <v>0</v>
      </c>
      <c r="E25" s="68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</row>
    <row r="26" customFormat="false" ht="12.75" hidden="false" customHeight="false" outlineLevel="0" collapsed="false">
      <c r="A26" s="706" t="str">
        <f aca="false">UPPER('GTDB(W501D5)'!A32)</f>
        <v>ROW 3 RINGS SEGMENTS</v>
      </c>
      <c r="B26" s="687"/>
      <c r="C26" s="705" t="n">
        <f aca="false">'GTDB(W501D5A)'!E32*1000*E26</f>
        <v>0</v>
      </c>
      <c r="D26" s="687" t="n">
        <v>0</v>
      </c>
      <c r="E26" s="68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</row>
    <row r="27" customFormat="false" ht="12.75" hidden="false" customHeight="false" outlineLevel="0" collapsed="false">
      <c r="A27" s="706" t="str">
        <f aca="false">UPPER('GTDB(W501D5)'!A33)</f>
        <v>ROW 4 RINGS SEGMENTS</v>
      </c>
      <c r="B27" s="687"/>
      <c r="C27" s="705" t="n">
        <f aca="false">'GTDB(W501D5A)'!E33*1000*E27</f>
        <v>0</v>
      </c>
      <c r="D27" s="687" t="n">
        <v>0</v>
      </c>
      <c r="E27" s="68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customFormat="false" ht="12.75" hidden="false" customHeight="false" outlineLevel="0" collapsed="false">
      <c r="A28" s="706" t="str">
        <f aca="false">UPPER('GTDB(W501D5)'!A34)</f>
        <v>COMP ROTOR BLADES</v>
      </c>
      <c r="B28" s="687"/>
      <c r="C28" s="705" t="n">
        <f aca="false">'GTDB(W501D5A)'!E34*1000*E28</f>
        <v>0</v>
      </c>
      <c r="D28" s="687" t="n">
        <v>0</v>
      </c>
      <c r="E28" s="685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customFormat="false" ht="12.75" hidden="false" customHeight="false" outlineLevel="0" collapsed="false">
      <c r="A29" s="706" t="str">
        <f aca="false">UPPER('GTDB(W501D5)'!A35)</f>
        <v>COMP DIAPHRAGMS</v>
      </c>
      <c r="B29" s="687"/>
      <c r="C29" s="705" t="n">
        <f aca="false">'GTDB(W501D5A)'!E35*1000*E29</f>
        <v>0</v>
      </c>
      <c r="D29" s="687" t="n">
        <v>0</v>
      </c>
      <c r="E29" s="68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</row>
    <row r="30" customFormat="false" ht="12.75" hidden="false" customHeight="false" outlineLevel="0" collapsed="false">
      <c r="A30" s="394" t="s">
        <v>1284</v>
      </c>
      <c r="B30" s="687"/>
      <c r="C30" s="705" t="n">
        <f aca="false">'GTDB(W501D5A)'!D12*1000*E30</f>
        <v>0</v>
      </c>
      <c r="D30" s="687" t="n">
        <v>0</v>
      </c>
      <c r="E30" s="68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</row>
    <row r="31" customFormat="false" ht="12.75" hidden="false" customHeight="false" outlineLevel="0" collapsed="false">
      <c r="A31" s="394" t="s">
        <v>1285</v>
      </c>
      <c r="B31" s="681"/>
      <c r="C31" s="705" t="n">
        <f aca="false">'GTDB(W501D5A)'!D13*1000*E31</f>
        <v>0</v>
      </c>
      <c r="D31" s="707" t="n">
        <f aca="false">SUM(D10:D30)</f>
        <v>0</v>
      </c>
      <c r="E31" s="68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</row>
    <row r="32" customFormat="false" ht="12.75" hidden="false" customHeight="false" outlineLevel="0" collapsed="false">
      <c r="A32" s="394" t="s">
        <v>1286</v>
      </c>
      <c r="B32" s="681"/>
      <c r="C32" s="705" t="n">
        <f aca="false">'GTDB(W501D5A)'!D14*1000*E32</f>
        <v>0</v>
      </c>
      <c r="D32" s="681"/>
      <c r="E32" s="68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</row>
    <row r="33" customFormat="false" ht="12.75" hidden="false" customHeight="false" outlineLevel="0" collapsed="false">
      <c r="A33" s="677" t="s">
        <v>1294</v>
      </c>
      <c r="B33" s="681"/>
      <c r="C33" s="690" t="n">
        <f aca="false">SUM(C11:C32)</f>
        <v>0</v>
      </c>
      <c r="D33" s="681"/>
      <c r="E33" s="68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</row>
    <row r="34" customFormat="false" ht="12.75" hidden="false" customHeight="false" outlineLevel="0" collapsed="false">
      <c r="A34" s="682"/>
      <c r="B34" s="681"/>
      <c r="C34" s="680"/>
      <c r="D34" s="681"/>
      <c r="E34" s="68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</row>
    <row r="35" customFormat="false" ht="12.75" hidden="false" customHeight="false" outlineLevel="0" collapsed="false">
      <c r="A35" s="677" t="s">
        <v>1293</v>
      </c>
      <c r="B35" s="157"/>
      <c r="C35" s="695"/>
      <c r="D35" s="681"/>
      <c r="E35" s="68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</row>
    <row r="36" customFormat="false" ht="12.75" hidden="false" customHeight="false" outlineLevel="0" collapsed="false">
      <c r="A36" s="693"/>
      <c r="B36" s="694"/>
      <c r="C36" s="692"/>
      <c r="D36" s="694" t="n">
        <v>0</v>
      </c>
      <c r="E36" s="694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customFormat="false" ht="12.75" hidden="false" customHeight="false" outlineLevel="0" collapsed="false">
      <c r="A37" s="677"/>
      <c r="B37" s="681"/>
      <c r="C37" s="680"/>
      <c r="D37" s="681"/>
      <c r="E37" s="68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</row>
    <row r="38" customFormat="false" ht="12.75" hidden="false" customHeight="false" outlineLevel="0" collapsed="false">
      <c r="A38" s="677" t="s">
        <v>1294</v>
      </c>
      <c r="B38" s="681"/>
      <c r="C38" s="690" t="n">
        <f aca="false">C33+C35</f>
        <v>0</v>
      </c>
      <c r="D38" s="707" t="n">
        <f aca="false">(D36+D31)</f>
        <v>0</v>
      </c>
      <c r="E38" s="68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customFormat="false" ht="12.75" hidden="false" customHeight="false" outlineLevel="0" collapsed="false">
      <c r="A39" s="682"/>
      <c r="B39" s="681"/>
      <c r="C39" s="680"/>
      <c r="D39" s="681"/>
      <c r="E39" s="68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customFormat="false" ht="12.75" hidden="false" customHeight="false" outlineLevel="0" collapsed="false">
      <c r="A40" s="677" t="s">
        <v>1295</v>
      </c>
      <c r="B40" s="681"/>
      <c r="C40" s="680" t="n">
        <f aca="false">C38*0.0025</f>
        <v>0</v>
      </c>
      <c r="D40" s="681" t="n">
        <v>0</v>
      </c>
      <c r="E40" s="68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customFormat="false" ht="12.75" hidden="false" customHeight="false" outlineLevel="0" collapsed="false">
      <c r="A41" s="677"/>
      <c r="B41" s="681"/>
      <c r="C41" s="680"/>
      <c r="D41" s="681"/>
      <c r="E41" s="68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</row>
    <row r="42" customFormat="false" ht="12.75" hidden="false" customHeight="false" outlineLevel="0" collapsed="false">
      <c r="A42" s="677" t="s">
        <v>1296</v>
      </c>
      <c r="B42" s="681"/>
      <c r="C42" s="680" t="n">
        <f aca="false">0.01*C38</f>
        <v>0</v>
      </c>
      <c r="D42" s="707" t="n">
        <f aca="false">D40+D38</f>
        <v>0</v>
      </c>
      <c r="E42" s="68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</row>
    <row r="43" customFormat="false" ht="13.5" hidden="false" customHeight="false" outlineLevel="0" collapsed="false">
      <c r="A43" s="394"/>
      <c r="B43" s="681"/>
      <c r="C43" s="696"/>
      <c r="D43" s="681"/>
      <c r="E43" s="68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</row>
    <row r="44" customFormat="false" ht="13.5" hidden="false" customHeight="false" outlineLevel="0" collapsed="false">
      <c r="A44" s="698" t="s">
        <v>236</v>
      </c>
      <c r="B44" s="708"/>
      <c r="C44" s="696" t="n">
        <f aca="false">C38+C40+C42</f>
        <v>0</v>
      </c>
      <c r="D44" s="681" t="n">
        <f aca="false">D42*0.0025</f>
        <v>0</v>
      </c>
      <c r="E44" s="68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customFormat="false" ht="12.75" hidden="false" customHeight="false" outlineLevel="0" collapsed="false">
      <c r="A45" s="502"/>
      <c r="B45" s="157"/>
      <c r="C45" s="681"/>
      <c r="D45" s="681"/>
      <c r="E45" s="68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customFormat="false" ht="12.75" hidden="false" customHeight="false" outlineLevel="0" collapsed="false">
      <c r="A46" s="502"/>
      <c r="B46" s="157"/>
      <c r="C46" s="681"/>
      <c r="D46" s="681" t="n">
        <f aca="false">0.01*D42</f>
        <v>0</v>
      </c>
      <c r="E46" s="68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</row>
    <row r="47" customFormat="false" ht="13.5" hidden="false" customHeight="false" outlineLevel="0" collapsed="false">
      <c r="A47" s="157"/>
      <c r="B47" s="157"/>
      <c r="C47" s="681"/>
      <c r="D47" s="708"/>
      <c r="E47" s="68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</row>
    <row r="48" customFormat="false" ht="13.5" hidden="false" customHeight="false" outlineLevel="0" collapsed="false">
      <c r="A48" s="502"/>
      <c r="B48" s="157"/>
      <c r="C48" s="681"/>
      <c r="D48" s="708" t="n">
        <f aca="false">SUM(D42:D46)</f>
        <v>0</v>
      </c>
      <c r="E48" s="68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</row>
    <row r="49" customFormat="false" ht="12.75" hidden="false" customHeight="false" outlineLevel="0" collapsed="false">
      <c r="A49" s="77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</row>
    <row r="50" customFormat="false" ht="12.75" hidden="false" customHeight="false" outlineLevel="0" collapsed="false">
      <c r="A50" s="2"/>
      <c r="B50" s="2"/>
      <c r="C50" s="7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customFormat="false" ht="12.75" hidden="false" customHeight="false" outlineLevel="0" collapsed="false">
      <c r="A51" s="2"/>
      <c r="B51" s="2"/>
      <c r="C51" s="7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</row>
    <row r="52" customFormat="false" ht="12.75" hidden="false" customHeight="false" outlineLevel="0" collapsed="false">
      <c r="A52" s="2"/>
      <c r="B52" s="2"/>
      <c r="C52" s="7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</row>
    <row r="53" customFormat="false" ht="12.75" hidden="false" customHeight="false" outlineLevel="0" collapsed="false">
      <c r="A53" s="2"/>
      <c r="B53" s="2"/>
      <c r="C53" s="71"/>
      <c r="D53" s="71"/>
      <c r="E53" s="71"/>
      <c r="F53" s="71"/>
      <c r="G53" s="7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</row>
    <row r="54" customFormat="false" ht="12.75" hidden="false" customHeight="false" outlineLevel="0" collapsed="false">
      <c r="A54" s="2"/>
      <c r="B54" s="2"/>
      <c r="C54" s="7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customFormat="false" ht="12.75" hidden="false" customHeight="false" outlineLevel="0" collapsed="false">
      <c r="A55" s="2"/>
      <c r="B55" s="2"/>
      <c r="C55" s="7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</row>
    <row r="56" customFormat="false" ht="12.75" hidden="false" customHeight="false" outlineLevel="0" collapsed="false">
      <c r="A56" s="2"/>
      <c r="B56" s="2"/>
      <c r="C56" s="7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</row>
    <row r="57" customFormat="false" ht="12.75" hidden="false" customHeight="false" outlineLevel="0" collapsed="false">
      <c r="A57" s="2"/>
      <c r="B57" s="2"/>
      <c r="C57" s="7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customFormat="false" ht="12.75" hidden="false" customHeight="false" outlineLevel="0" collapsed="false">
      <c r="A58" s="2"/>
      <c r="B58" s="2"/>
      <c r="C58" s="7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customFormat="false" ht="12.75" hidden="false" customHeight="false" outlineLevel="0" collapsed="false">
      <c r="A59" s="2"/>
      <c r="B59" s="2"/>
      <c r="C59" s="7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customFormat="false" ht="12.75" hidden="false" customHeight="false" outlineLevel="0" collapsed="false">
      <c r="A60" s="2"/>
      <c r="B60" s="2"/>
      <c r="C60" s="7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customFormat="false" ht="12.75" hidden="false" customHeight="false" outlineLevel="0" collapsed="false">
      <c r="A61" s="2"/>
      <c r="B61" s="2"/>
      <c r="C61" s="7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</row>
    <row r="62" customFormat="false" ht="12.75" hidden="false" customHeight="false" outlineLevel="0" collapsed="false">
      <c r="A62" s="2"/>
      <c r="B62" s="2"/>
      <c r="C62" s="7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</row>
    <row r="63" customFormat="false" ht="12.75" hidden="false" customHeight="false" outlineLevel="0" collapsed="false">
      <c r="A63" s="2"/>
      <c r="B63" s="2"/>
      <c r="C63" s="7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customFormat="false" ht="12.75" hidden="false" customHeight="false" outlineLevel="0" collapsed="false">
      <c r="A64" s="2"/>
      <c r="B64" s="2"/>
      <c r="C64" s="7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customFormat="false" ht="12.75" hidden="false" customHeight="false" outlineLevel="0" collapsed="false">
      <c r="A65" s="2"/>
      <c r="B65" s="2"/>
      <c r="C65" s="7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</row>
    <row r="66" customFormat="false" ht="12.75" hidden="false" customHeight="false" outlineLevel="0" collapsed="false">
      <c r="A66" s="2"/>
      <c r="B66" s="2"/>
      <c r="C66" s="7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</row>
    <row r="67" customFormat="false" ht="12.75" hidden="false" customHeight="false" outlineLevel="0" collapsed="false">
      <c r="A67" s="2"/>
      <c r="B67" s="2"/>
      <c r="C67" s="7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</row>
    <row r="68" customFormat="false" ht="12.75" hidden="false" customHeight="false" outlineLevel="0" collapsed="false">
      <c r="A68" s="2"/>
      <c r="B68" s="2"/>
      <c r="C68" s="7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customFormat="false" ht="12.75" hidden="false" customHeight="false" outlineLevel="0" collapsed="false">
      <c r="A69" s="2"/>
      <c r="B69" s="2"/>
      <c r="C69" s="7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</row>
    <row r="70" customFormat="false" ht="12.75" hidden="false" customHeight="false" outlineLevel="0" collapsed="false">
      <c r="A70" s="2"/>
      <c r="B70" s="2"/>
      <c r="C70" s="7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customFormat="false" ht="12.75" hidden="false" customHeight="false" outlineLevel="0" collapsed="false">
      <c r="A71" s="2"/>
      <c r="B71" s="2"/>
      <c r="C71" s="7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</row>
    <row r="72" customFormat="false" ht="12.75" hidden="false" customHeight="false" outlineLevel="0" collapsed="false">
      <c r="A72" s="2"/>
      <c r="B72" s="2"/>
      <c r="C72" s="7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</row>
    <row r="73" customFormat="false" ht="12.75" hidden="false" customHeight="false" outlineLevel="0" collapsed="false">
      <c r="A73" s="2"/>
      <c r="B73" s="2"/>
      <c r="C73" s="7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</row>
    <row r="74" customFormat="false" ht="12.75" hidden="false" customHeight="false" outlineLevel="0" collapsed="false">
      <c r="A74" s="2"/>
      <c r="B74" s="2"/>
      <c r="C74" s="7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</row>
    <row r="75" customFormat="false" ht="12.75" hidden="false" customHeight="false" outlineLevel="0" collapsed="false">
      <c r="A75" s="2"/>
      <c r="B75" s="2"/>
      <c r="C75" s="7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</row>
    <row r="76" customFormat="false" ht="12.75" hidden="false" customHeight="false" outlineLevel="0" collapsed="false">
      <c r="A76" s="2"/>
      <c r="B76" s="2"/>
      <c r="C76" s="7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</row>
    <row r="77" customFormat="false" ht="12.75" hidden="false" customHeight="false" outlineLevel="0" collapsed="false">
      <c r="A77" s="2"/>
      <c r="B77" s="2"/>
      <c r="C77" s="7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</row>
    <row r="78" customFormat="false" ht="12.75" hidden="false" customHeight="false" outlineLevel="0" collapsed="false">
      <c r="A78" s="2"/>
      <c r="B78" s="2"/>
      <c r="C78" s="7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</row>
    <row r="79" customFormat="false" ht="12.75" hidden="false" customHeight="false" outlineLevel="0" collapsed="false">
      <c r="A79" s="2"/>
      <c r="B79" s="2"/>
      <c r="C79" s="7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</row>
    <row r="80" customFormat="false" ht="12.75" hidden="false" customHeight="false" outlineLevel="0" collapsed="false">
      <c r="A80" s="2"/>
      <c r="B80" s="2"/>
      <c r="C80" s="7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</row>
    <row r="81" customFormat="false" ht="12.75" hidden="false" customHeight="false" outlineLevel="0" collapsed="false">
      <c r="A81" s="2"/>
      <c r="B81" s="2"/>
      <c r="C81" s="7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</row>
    <row r="82" customFormat="false" ht="12.75" hidden="false" customHeight="false" outlineLevel="0" collapsed="false">
      <c r="A82" s="2"/>
      <c r="B82" s="2"/>
      <c r="C82" s="7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</row>
    <row r="83" customFormat="false" ht="12.75" hidden="false" customHeight="false" outlineLevel="0" collapsed="false">
      <c r="A83" s="2"/>
      <c r="B83" s="2"/>
      <c r="C83" s="7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</row>
    <row r="84" customFormat="false" ht="12.75" hidden="false" customHeight="false" outlineLevel="0" collapsed="false">
      <c r="A84" s="2"/>
      <c r="B84" s="2"/>
      <c r="C84" s="7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</row>
    <row r="85" customFormat="false" ht="12.75" hidden="false" customHeight="false" outlineLevel="0" collapsed="false">
      <c r="A85" s="2"/>
      <c r="B85" s="2"/>
      <c r="C85" s="7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</row>
    <row r="86" customFormat="false" ht="12.75" hidden="false" customHeight="false" outlineLevel="0" collapsed="false">
      <c r="A86" s="2"/>
      <c r="B86" s="2"/>
      <c r="C86" s="7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customFormat="false" ht="12.75" hidden="false" customHeight="false" outlineLevel="0" collapsed="false">
      <c r="A87" s="2"/>
      <c r="B87" s="2"/>
      <c r="C87" s="7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customFormat="false" ht="12.75" hidden="false" customHeight="false" outlineLevel="0" collapsed="false">
      <c r="A88" s="2"/>
      <c r="B88" s="2"/>
      <c r="C88" s="7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</row>
    <row r="89" customFormat="false" ht="12.75" hidden="false" customHeight="false" outlineLevel="0" collapsed="false">
      <c r="A89" s="2"/>
      <c r="B89" s="2"/>
      <c r="C89" s="7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</row>
    <row r="90" customFormat="false" ht="12.75" hidden="false" customHeight="false" outlineLevel="0" collapsed="false">
      <c r="A90" s="2"/>
      <c r="B90" s="2"/>
      <c r="C90" s="7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</row>
    <row r="91" customFormat="false" ht="12.75" hidden="false" customHeight="false" outlineLevel="0" collapsed="false">
      <c r="A91" s="2"/>
      <c r="B91" s="2"/>
      <c r="C91" s="7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</row>
    <row r="92" customFormat="false" ht="12.75" hidden="false" customHeight="false" outlineLevel="0" collapsed="false">
      <c r="A92" s="2"/>
      <c r="B92" s="2"/>
      <c r="C92" s="7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customFormat="false" ht="12.75" hidden="false" customHeight="false" outlineLevel="0" collapsed="false">
      <c r="A93" s="2"/>
      <c r="B93" s="2"/>
      <c r="C93" s="7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</row>
    <row r="94" customFormat="false" ht="12.75" hidden="false" customHeight="false" outlineLevel="0" collapsed="false">
      <c r="A94" s="2"/>
      <c r="B94" s="2"/>
      <c r="C94" s="7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</row>
    <row r="95" customFormat="false" ht="12.75" hidden="false" customHeight="false" outlineLevel="0" collapsed="false">
      <c r="A95" s="2"/>
      <c r="B95" s="2"/>
      <c r="C95" s="7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</row>
    <row r="96" customFormat="false" ht="12.75" hidden="false" customHeight="false" outlineLevel="0" collapsed="false">
      <c r="A96" s="2"/>
      <c r="B96" s="2"/>
      <c r="C96" s="7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</row>
    <row r="97" customFormat="false" ht="12.75" hidden="false" customHeight="false" outlineLevel="0" collapsed="false">
      <c r="A97" s="2"/>
      <c r="B97" s="2"/>
      <c r="C97" s="7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</row>
    <row r="98" customFormat="false" ht="12.75" hidden="false" customHeight="false" outlineLevel="0" collapsed="false">
      <c r="A98" s="2"/>
      <c r="B98" s="2"/>
      <c r="C98" s="7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customFormat="false" ht="12.75" hidden="false" customHeight="false" outlineLevel="0" collapsed="false">
      <c r="A99" s="2"/>
      <c r="B99" s="2"/>
      <c r="C99" s="7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</row>
    <row r="100" customFormat="false" ht="12.75" hidden="false" customHeight="false" outlineLevel="0" collapsed="false">
      <c r="A100" s="2"/>
      <c r="B100" s="2"/>
      <c r="C100" s="7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</row>
    <row r="101" customFormat="false" ht="12.75" hidden="false" customHeight="false" outlineLevel="0" collapsed="false">
      <c r="A101" s="2"/>
      <c r="B101" s="2"/>
      <c r="C101" s="7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</row>
    <row r="102" customFormat="false" ht="12.75" hidden="false" customHeight="false" outlineLevel="0" collapsed="false">
      <c r="A102" s="2"/>
      <c r="B102" s="2"/>
      <c r="C102" s="7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</row>
    <row r="103" customFormat="false" ht="12.75" hidden="false" customHeight="false" outlineLevel="0" collapsed="false">
      <c r="A103" s="2"/>
      <c r="B103" s="2"/>
      <c r="C103" s="7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</row>
    <row r="104" customFormat="false" ht="12.75" hidden="false" customHeight="false" outlineLevel="0" collapsed="false">
      <c r="A104" s="2"/>
      <c r="B104" s="2"/>
      <c r="C104" s="7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customFormat="false" ht="12.75" hidden="false" customHeight="false" outlineLevel="0" collapsed="false">
      <c r="A105" s="2"/>
      <c r="B105" s="2"/>
      <c r="C105" s="7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</row>
    <row r="106" customFormat="false" ht="12.75" hidden="false" customHeight="false" outlineLevel="0" collapsed="false">
      <c r="A106" s="2"/>
      <c r="B106" s="2"/>
      <c r="C106" s="7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</row>
    <row r="107" customFormat="false" ht="12.75" hidden="false" customHeight="false" outlineLevel="0" collapsed="false">
      <c r="A107" s="2"/>
      <c r="B107" s="2"/>
      <c r="C107" s="7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customFormat="false" ht="12.75" hidden="false" customHeight="false" outlineLevel="0" collapsed="false">
      <c r="A108" s="2"/>
      <c r="B108" s="2"/>
      <c r="C108" s="7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</row>
    <row r="109" customFormat="false" ht="12.75" hidden="false" customHeight="false" outlineLevel="0" collapsed="false">
      <c r="A109" s="2"/>
      <c r="B109" s="2"/>
      <c r="C109" s="7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</row>
    <row r="110" customFormat="false" ht="12.75" hidden="false" customHeight="false" outlineLevel="0" collapsed="false">
      <c r="A110" s="2"/>
      <c r="B110" s="2"/>
      <c r="C110" s="7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</row>
    <row r="111" customFormat="false" ht="12.75" hidden="false" customHeight="false" outlineLevel="0" collapsed="false">
      <c r="A111" s="2"/>
      <c r="B111" s="2"/>
      <c r="C111" s="7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</row>
    <row r="112" customFormat="false" ht="12.75" hidden="false" customHeight="false" outlineLevel="0" collapsed="false">
      <c r="A112" s="2"/>
      <c r="B112" s="2"/>
      <c r="C112" s="7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</row>
    <row r="113" customFormat="false" ht="12.75" hidden="false" customHeight="false" outlineLevel="0" collapsed="false">
      <c r="A113" s="2"/>
      <c r="B113" s="2"/>
      <c r="C113" s="7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customFormat="false" ht="12.75" hidden="false" customHeight="false" outlineLevel="0" collapsed="false">
      <c r="A114" s="2"/>
      <c r="B114" s="2"/>
      <c r="C114" s="7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customFormat="false" ht="12.75" hidden="false" customHeight="false" outlineLevel="0" collapsed="false">
      <c r="A115" s="2"/>
      <c r="B115" s="2"/>
      <c r="C115" s="7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</row>
    <row r="116" customFormat="false" ht="12.75" hidden="false" customHeight="false" outlineLevel="0" collapsed="false">
      <c r="A116" s="2"/>
      <c r="B116" s="2"/>
      <c r="C116" s="7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</row>
    <row r="117" customFormat="false" ht="12.75" hidden="false" customHeight="false" outlineLevel="0" collapsed="false">
      <c r="A117" s="2"/>
      <c r="B117" s="2"/>
      <c r="C117" s="7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customFormat="false" ht="12.75" hidden="false" customHeight="false" outlineLevel="0" collapsed="false">
      <c r="A118" s="2"/>
      <c r="B118" s="2"/>
      <c r="C118" s="7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</row>
    <row r="119" customFormat="false" ht="12.75" hidden="false" customHeight="false" outlineLevel="0" collapsed="false">
      <c r="A119" s="2"/>
      <c r="B119" s="2"/>
      <c r="C119" s="7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</row>
    <row r="120" customFormat="false" ht="12.75" hidden="false" customHeight="false" outlineLevel="0" collapsed="false">
      <c r="A120" s="2"/>
      <c r="B120" s="2"/>
      <c r="C120" s="7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</row>
    <row r="121" customFormat="false" ht="12.75" hidden="false" customHeight="false" outlineLevel="0" collapsed="false">
      <c r="A121" s="2"/>
      <c r="B121" s="2"/>
      <c r="C121" s="7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customFormat="false" ht="12.75" hidden="false" customHeight="false" outlineLevel="0" collapsed="false">
      <c r="A122" s="2"/>
      <c r="B122" s="2"/>
      <c r="C122" s="7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</row>
    <row r="123" customFormat="false" ht="12.75" hidden="false" customHeight="false" outlineLevel="0" collapsed="false">
      <c r="A123" s="2"/>
      <c r="B123" s="2"/>
      <c r="C123" s="7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</row>
    <row r="124" customFormat="false" ht="12.75" hidden="false" customHeight="false" outlineLevel="0" collapsed="false">
      <c r="A124" s="2"/>
      <c r="B124" s="2"/>
      <c r="C124" s="7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</row>
    <row r="125" customFormat="false" ht="12.75" hidden="false" customHeight="false" outlineLevel="0" collapsed="false">
      <c r="A125" s="2"/>
      <c r="B125" s="2"/>
      <c r="C125" s="7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</row>
    <row r="126" customFormat="false" ht="12.75" hidden="false" customHeight="false" outlineLevel="0" collapsed="false">
      <c r="A126" s="2"/>
      <c r="B126" s="2"/>
      <c r="C126" s="7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</row>
    <row r="127" customFormat="false" ht="12.75" hidden="false" customHeight="false" outlineLevel="0" collapsed="false">
      <c r="A127" s="2"/>
      <c r="B127" s="2"/>
      <c r="C127" s="7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</row>
    <row r="128" customFormat="false" ht="12.75" hidden="false" customHeight="false" outlineLevel="0" collapsed="false">
      <c r="A128" s="2"/>
      <c r="B128" s="2"/>
      <c r="C128" s="7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customFormat="false" ht="12.75" hidden="false" customHeight="false" outlineLevel="0" collapsed="false">
      <c r="A129" s="2"/>
      <c r="B129" s="2"/>
      <c r="C129" s="7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</row>
    <row r="130" customFormat="false" ht="12.75" hidden="false" customHeight="false" outlineLevel="0" collapsed="false">
      <c r="A130" s="2"/>
      <c r="B130" s="2"/>
      <c r="C130" s="7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</row>
    <row r="131" customFormat="false" ht="12.75" hidden="false" customHeight="false" outlineLevel="0" collapsed="false">
      <c r="A131" s="2"/>
      <c r="B131" s="2"/>
      <c r="C131" s="7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</row>
    <row r="132" customFormat="false" ht="12.75" hidden="false" customHeight="false" outlineLevel="0" collapsed="false">
      <c r="A132" s="2"/>
      <c r="B132" s="2"/>
      <c r="C132" s="7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</row>
    <row r="133" customFormat="false" ht="12.75" hidden="false" customHeight="false" outlineLevel="0" collapsed="false">
      <c r="A133" s="2"/>
      <c r="B133" s="2"/>
      <c r="C133" s="7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customFormat="false" ht="12.75" hidden="false" customHeight="false" outlineLevel="0" collapsed="false">
      <c r="A134" s="2"/>
      <c r="B134" s="2"/>
      <c r="C134" s="7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customFormat="false" ht="12.75" hidden="false" customHeight="false" outlineLevel="0" collapsed="false">
      <c r="A135" s="2"/>
      <c r="B135" s="2"/>
      <c r="C135" s="7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customFormat="false" ht="12.75" hidden="false" customHeight="false" outlineLevel="0" collapsed="false">
      <c r="A136" s="2"/>
      <c r="B136" s="2"/>
      <c r="C136" s="7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</row>
    <row r="137" customFormat="false" ht="12.75" hidden="false" customHeight="false" outlineLevel="0" collapsed="false">
      <c r="A137" s="2"/>
      <c r="B137" s="2"/>
      <c r="C137" s="7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</row>
    <row r="138" customFormat="false" ht="12.75" hidden="false" customHeight="false" outlineLevel="0" collapsed="false">
      <c r="A138" s="2"/>
      <c r="B138" s="2"/>
      <c r="C138" s="7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customFormat="false" ht="12.75" hidden="false" customHeight="false" outlineLevel="0" collapsed="false">
      <c r="A139" s="2"/>
      <c r="B139" s="2"/>
      <c r="C139" s="7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customFormat="false" ht="12.75" hidden="false" customHeight="false" outlineLevel="0" collapsed="false">
      <c r="A140" s="2"/>
      <c r="B140" s="2"/>
      <c r="C140" s="7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</row>
    <row r="141" customFormat="false" ht="12.75" hidden="false" customHeight="false" outlineLevel="0" collapsed="false">
      <c r="A141" s="2"/>
      <c r="B141" s="2"/>
      <c r="C141" s="7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customFormat="false" ht="12.75" hidden="false" customHeight="false" outlineLevel="0" collapsed="false">
      <c r="A142" s="2"/>
      <c r="B142" s="2"/>
      <c r="C142" s="7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</row>
    <row r="143" customFormat="false" ht="12.75" hidden="false" customHeight="false" outlineLevel="0" collapsed="false">
      <c r="A143" s="2"/>
      <c r="B143" s="2"/>
      <c r="C143" s="7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</row>
    <row r="144" customFormat="false" ht="12.75" hidden="false" customHeight="false" outlineLevel="0" collapsed="false">
      <c r="A144" s="2"/>
      <c r="B144" s="2"/>
      <c r="C144" s="7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</row>
    <row r="145" customFormat="false" ht="12.75" hidden="false" customHeight="false" outlineLevel="0" collapsed="false">
      <c r="A145" s="2"/>
      <c r="B145" s="2"/>
      <c r="C145" s="7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</row>
    <row r="146" customFormat="false" ht="12.75" hidden="false" customHeight="false" outlineLevel="0" collapsed="false">
      <c r="A146" s="2"/>
      <c r="B146" s="2"/>
      <c r="C146" s="7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</row>
    <row r="147" customFormat="false" ht="12.75" hidden="false" customHeight="false" outlineLevel="0" collapsed="false">
      <c r="A147" s="2"/>
      <c r="B147" s="2"/>
      <c r="C147" s="7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</row>
    <row r="148" customFormat="false" ht="12.75" hidden="false" customHeight="false" outlineLevel="0" collapsed="false">
      <c r="A148" s="2"/>
      <c r="B148" s="2"/>
      <c r="C148" s="7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customFormat="false" ht="12.75" hidden="false" customHeight="false" outlineLevel="0" collapsed="false">
      <c r="A149" s="2"/>
      <c r="B149" s="2"/>
      <c r="C149" s="7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customFormat="false" ht="12.75" hidden="false" customHeight="false" outlineLevel="0" collapsed="false">
      <c r="A150" s="2"/>
      <c r="B150" s="2"/>
      <c r="C150" s="7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</row>
    <row r="151" customFormat="false" ht="12.75" hidden="false" customHeight="false" outlineLevel="0" collapsed="false">
      <c r="A151" s="2"/>
      <c r="B151" s="2"/>
      <c r="C151" s="7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customFormat="false" ht="12.75" hidden="false" customHeight="false" outlineLevel="0" collapsed="false">
      <c r="A152" s="2"/>
      <c r="B152" s="2"/>
      <c r="C152" s="7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</row>
    <row r="153" customFormat="false" ht="12.75" hidden="false" customHeight="false" outlineLevel="0" collapsed="false">
      <c r="A153" s="2"/>
      <c r="B153" s="2"/>
      <c r="C153" s="7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</row>
    <row r="154" customFormat="false" ht="12.75" hidden="false" customHeight="false" outlineLevel="0" collapsed="false">
      <c r="A154" s="2"/>
      <c r="B154" s="2"/>
      <c r="C154" s="7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</row>
    <row r="155" customFormat="false" ht="12.75" hidden="false" customHeight="false" outlineLevel="0" collapsed="false">
      <c r="A155" s="2"/>
      <c r="B155" s="2"/>
      <c r="C155" s="7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customFormat="false" ht="12.75" hidden="false" customHeight="false" outlineLevel="0" collapsed="false">
      <c r="A156" s="2"/>
      <c r="B156" s="2"/>
      <c r="C156" s="7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customFormat="false" ht="12.75" hidden="false" customHeight="false" outlineLevel="0" collapsed="false">
      <c r="A157" s="2"/>
      <c r="B157" s="2"/>
      <c r="C157" s="7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customFormat="false" ht="12.75" hidden="false" customHeight="false" outlineLevel="0" collapsed="false">
      <c r="A158" s="2"/>
      <c r="B158" s="2"/>
      <c r="C158" s="7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</row>
    <row r="159" customFormat="false" ht="12.75" hidden="false" customHeight="false" outlineLevel="0" collapsed="false">
      <c r="A159" s="2"/>
      <c r="B159" s="2"/>
      <c r="C159" s="7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</row>
    <row r="160" customFormat="false" ht="12.75" hidden="false" customHeight="false" outlineLevel="0" collapsed="false">
      <c r="A160" s="2"/>
      <c r="B160" s="2"/>
      <c r="C160" s="7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</row>
    <row r="161" customFormat="false" ht="12.75" hidden="false" customHeight="false" outlineLevel="0" collapsed="false">
      <c r="A161" s="2"/>
      <c r="B161" s="2"/>
      <c r="C161" s="7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</row>
    <row r="162" customFormat="false" ht="12.75" hidden="false" customHeight="false" outlineLevel="0" collapsed="false">
      <c r="A162" s="2"/>
      <c r="B162" s="2"/>
      <c r="C162" s="7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</row>
    <row r="163" customFormat="false" ht="12.75" hidden="false" customHeight="false" outlineLevel="0" collapsed="false">
      <c r="A163" s="2"/>
      <c r="B163" s="2"/>
      <c r="C163" s="7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</row>
    <row r="164" customFormat="false" ht="12.75" hidden="false" customHeight="false" outlineLevel="0" collapsed="false">
      <c r="A164" s="2"/>
      <c r="B164" s="2"/>
      <c r="C164" s="7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customFormat="false" ht="12.75" hidden="false" customHeight="false" outlineLevel="0" collapsed="false">
      <c r="A165" s="2"/>
      <c r="B165" s="2"/>
      <c r="C165" s="7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</row>
    <row r="166" customFormat="false" ht="12.75" hidden="false" customHeight="false" outlineLevel="0" collapsed="false">
      <c r="A166" s="2"/>
      <c r="B166" s="2"/>
      <c r="C166" s="7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</row>
    <row r="167" customFormat="false" ht="12.75" hidden="false" customHeight="false" outlineLevel="0" collapsed="false">
      <c r="A167" s="2"/>
      <c r="B167" s="2"/>
      <c r="C167" s="7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</row>
    <row r="168" customFormat="false" ht="12.75" hidden="false" customHeight="false" outlineLevel="0" collapsed="false">
      <c r="A168" s="2"/>
      <c r="B168" s="2"/>
      <c r="C168" s="7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</row>
    <row r="169" customFormat="false" ht="12.75" hidden="false" customHeight="false" outlineLevel="0" collapsed="false">
      <c r="A169" s="2"/>
      <c r="B169" s="2"/>
      <c r="C169" s="7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</row>
    <row r="170" customFormat="false" ht="12.75" hidden="false" customHeight="false" outlineLevel="0" collapsed="false">
      <c r="A170" s="2"/>
      <c r="B170" s="2"/>
      <c r="C170" s="7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customFormat="false" ht="12.75" hidden="false" customHeight="false" outlineLevel="0" collapsed="false">
      <c r="A171" s="2"/>
      <c r="B171" s="2"/>
      <c r="C171" s="7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customFormat="false" ht="12.75" hidden="false" customHeight="false" outlineLevel="0" collapsed="false">
      <c r="A172" s="2"/>
      <c r="B172" s="2"/>
      <c r="C172" s="7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</row>
    <row r="173" customFormat="false" ht="12.75" hidden="false" customHeight="false" outlineLevel="0" collapsed="false">
      <c r="A173" s="2"/>
      <c r="B173" s="2"/>
      <c r="C173" s="7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customFormat="false" ht="12.75" hidden="false" customHeight="false" outlineLevel="0" collapsed="false">
      <c r="A174" s="2"/>
      <c r="B174" s="2"/>
      <c r="C174" s="7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</row>
    <row r="175" customFormat="false" ht="12.75" hidden="false" customHeight="false" outlineLevel="0" collapsed="false">
      <c r="A175" s="2"/>
      <c r="B175" s="2"/>
      <c r="C175" s="7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customFormat="false" ht="12.75" hidden="false" customHeight="false" outlineLevel="0" collapsed="false">
      <c r="A176" s="2"/>
      <c r="B176" s="2"/>
      <c r="C176" s="7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</row>
    <row r="177" customFormat="false" ht="12.75" hidden="false" customHeight="false" outlineLevel="0" collapsed="false">
      <c r="A177" s="2"/>
      <c r="B177" s="2"/>
      <c r="C177" s="7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</row>
    <row r="178" customFormat="false" ht="12.75" hidden="false" customHeight="false" outlineLevel="0" collapsed="false">
      <c r="A178" s="2"/>
      <c r="B178" s="2"/>
      <c r="C178" s="7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customFormat="false" ht="12.75" hidden="false" customHeight="false" outlineLevel="0" collapsed="false">
      <c r="A179" s="2"/>
      <c r="B179" s="2"/>
      <c r="C179" s="7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</row>
    <row r="180" customFormat="false" ht="12.75" hidden="false" customHeight="false" outlineLevel="0" collapsed="false">
      <c r="A180" s="2"/>
      <c r="B180" s="2"/>
      <c r="C180" s="7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customFormat="false" ht="12.75" hidden="false" customHeight="false" outlineLevel="0" collapsed="false">
      <c r="A181" s="2"/>
      <c r="B181" s="2"/>
      <c r="C181" s="7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customFormat="false" ht="12.75" hidden="false" customHeight="false" outlineLevel="0" collapsed="false">
      <c r="A182" s="2"/>
      <c r="B182" s="2"/>
      <c r="C182" s="7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</row>
    <row r="183" customFormat="false" ht="12.75" hidden="false" customHeight="false" outlineLevel="0" collapsed="false">
      <c r="A183" s="2"/>
      <c r="B183" s="2"/>
      <c r="C183" s="7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customFormat="false" ht="12.75" hidden="false" customHeight="false" outlineLevel="0" collapsed="false">
      <c r="A184" s="2"/>
      <c r="B184" s="2"/>
      <c r="C184" s="7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customFormat="false" ht="12.75" hidden="false" customHeight="false" outlineLevel="0" collapsed="false">
      <c r="A185" s="2"/>
      <c r="B185" s="2"/>
      <c r="C185" s="7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customFormat="false" ht="12.75" hidden="false" customHeight="false" outlineLevel="0" collapsed="false">
      <c r="A186" s="2"/>
      <c r="B186" s="2"/>
      <c r="C186" s="7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</row>
    <row r="187" customFormat="false" ht="12.75" hidden="false" customHeight="false" outlineLevel="0" collapsed="false">
      <c r="A187" s="2"/>
      <c r="B187" s="2"/>
      <c r="C187" s="7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</row>
    <row r="188" customFormat="false" ht="12.75" hidden="false" customHeight="false" outlineLevel="0" collapsed="false">
      <c r="A188" s="2"/>
      <c r="B188" s="2"/>
      <c r="C188" s="7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customFormat="false" ht="12.75" hidden="false" customHeight="false" outlineLevel="0" collapsed="false">
      <c r="A189" s="2"/>
      <c r="B189" s="2"/>
      <c r="C189" s="7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</row>
    <row r="190" customFormat="false" ht="12.75" hidden="false" customHeight="false" outlineLevel="0" collapsed="false">
      <c r="A190" s="2"/>
      <c r="B190" s="2"/>
      <c r="C190" s="7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customFormat="false" ht="12.75" hidden="false" customHeight="false" outlineLevel="0" collapsed="false">
      <c r="A191" s="2"/>
      <c r="B191" s="2"/>
      <c r="C191" s="7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</row>
    <row r="192" customFormat="false" ht="12.75" hidden="false" customHeight="false" outlineLevel="0" collapsed="false">
      <c r="A192" s="2"/>
      <c r="B192" s="2"/>
      <c r="C192" s="7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customFormat="false" ht="12.75" hidden="false" customHeight="false" outlineLevel="0" collapsed="false">
      <c r="A193" s="2"/>
      <c r="B193" s="2"/>
      <c r="C193" s="7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</row>
    <row r="194" customFormat="false" ht="12.75" hidden="false" customHeight="false" outlineLevel="0" collapsed="false">
      <c r="A194" s="2"/>
      <c r="B194" s="2"/>
      <c r="C194" s="7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</row>
    <row r="195" customFormat="false" ht="12.75" hidden="false" customHeight="false" outlineLevel="0" collapsed="false">
      <c r="A195" s="2"/>
      <c r="B195" s="2"/>
      <c r="C195" s="7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customFormat="false" ht="12.75" hidden="false" customHeight="false" outlineLevel="0" collapsed="false">
      <c r="A196" s="2"/>
      <c r="B196" s="2"/>
      <c r="C196" s="7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customFormat="false" ht="12.75" hidden="false" customHeight="false" outlineLevel="0" collapsed="false">
      <c r="A197" s="2"/>
      <c r="B197" s="2"/>
      <c r="C197" s="7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</row>
    <row r="198" customFormat="false" ht="12.75" hidden="false" customHeight="false" outlineLevel="0" collapsed="false">
      <c r="A198" s="2"/>
      <c r="B198" s="2"/>
      <c r="C198" s="7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customFormat="false" ht="12.75" hidden="false" customHeight="false" outlineLevel="0" collapsed="false">
      <c r="A199" s="2"/>
      <c r="B199" s="2"/>
      <c r="C199" s="7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customFormat="false" ht="12.75" hidden="false" customHeight="false" outlineLevel="0" collapsed="false">
      <c r="A200" s="2"/>
      <c r="B200" s="2"/>
      <c r="C200" s="7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customFormat="false" ht="12.75" hidden="false" customHeight="false" outlineLevel="0" collapsed="false">
      <c r="A201" s="2"/>
      <c r="B201" s="2"/>
      <c r="C201" s="7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</row>
    <row r="202" customFormat="false" ht="12.75" hidden="false" customHeight="false" outlineLevel="0" collapsed="false">
      <c r="A202" s="2"/>
      <c r="B202" s="2"/>
      <c r="C202" s="7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</row>
    <row r="203" customFormat="false" ht="12.75" hidden="false" customHeight="false" outlineLevel="0" collapsed="false">
      <c r="A203" s="2"/>
      <c r="B203" s="2"/>
      <c r="C203" s="7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</row>
    <row r="204" customFormat="false" ht="12.75" hidden="false" customHeight="false" outlineLevel="0" collapsed="false">
      <c r="A204" s="2"/>
      <c r="B204" s="2"/>
      <c r="C204" s="7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</row>
    <row r="205" customFormat="false" ht="12.75" hidden="false" customHeight="false" outlineLevel="0" collapsed="false">
      <c r="A205" s="2"/>
      <c r="B205" s="2"/>
      <c r="C205" s="7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</row>
    <row r="206" customFormat="false" ht="12.75" hidden="false" customHeight="false" outlineLevel="0" collapsed="false">
      <c r="A206" s="2"/>
      <c r="B206" s="2"/>
      <c r="C206" s="7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</row>
    <row r="207" customFormat="false" ht="12.75" hidden="false" customHeight="false" outlineLevel="0" collapsed="false">
      <c r="A207" s="2"/>
      <c r="B207" s="2"/>
      <c r="C207" s="7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</row>
    <row r="208" customFormat="false" ht="12.75" hidden="false" customHeight="false" outlineLevel="0" collapsed="false">
      <c r="A208" s="2"/>
      <c r="B208" s="2"/>
      <c r="C208" s="7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customFormat="false" ht="12.75" hidden="false" customHeight="false" outlineLevel="0" collapsed="false">
      <c r="A209" s="2"/>
      <c r="B209" s="2"/>
      <c r="C209" s="7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</row>
    <row r="210" customFormat="false" ht="12.75" hidden="false" customHeight="false" outlineLevel="0" collapsed="false">
      <c r="A210" s="2"/>
      <c r="B210" s="2"/>
      <c r="C210" s="7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customFormat="false" ht="12.75" hidden="false" customHeight="false" outlineLevel="0" collapsed="false">
      <c r="A211" s="2"/>
      <c r="B211" s="2"/>
      <c r="C211" s="7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</row>
    <row r="212" customFormat="false" ht="12.75" hidden="false" customHeight="false" outlineLevel="0" collapsed="false">
      <c r="A212" s="2"/>
      <c r="B212" s="2"/>
      <c r="C212" s="7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</row>
    <row r="213" customFormat="false" ht="12.75" hidden="false" customHeight="false" outlineLevel="0" collapsed="false">
      <c r="A213" s="2"/>
      <c r="B213" s="2"/>
      <c r="C213" s="7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customFormat="false" ht="12.75" hidden="false" customHeight="false" outlineLevel="0" collapsed="false">
      <c r="A214" s="2"/>
      <c r="B214" s="2"/>
      <c r="C214" s="7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customFormat="false" ht="12.75" hidden="false" customHeight="false" outlineLevel="0" collapsed="false">
      <c r="A215" s="2"/>
      <c r="B215" s="2"/>
      <c r="C215" s="7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customFormat="false" ht="12.75" hidden="false" customHeight="false" outlineLevel="0" collapsed="false">
      <c r="A216" s="2"/>
      <c r="B216" s="2"/>
      <c r="C216" s="7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customFormat="false" ht="12.75" hidden="false" customHeight="false" outlineLevel="0" collapsed="false">
      <c r="A217" s="2"/>
      <c r="B217" s="2"/>
      <c r="C217" s="7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customFormat="false" ht="12.75" hidden="false" customHeight="false" outlineLevel="0" collapsed="false">
      <c r="A218" s="2"/>
      <c r="B218" s="2"/>
      <c r="C218" s="7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</row>
    <row r="219" customFormat="false" ht="12.75" hidden="false" customHeight="false" outlineLevel="0" collapsed="false">
      <c r="A219" s="2"/>
      <c r="B219" s="2"/>
      <c r="C219" s="7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</row>
    <row r="220" customFormat="false" ht="12.75" hidden="false" customHeight="false" outlineLevel="0" collapsed="false">
      <c r="A220" s="2"/>
      <c r="B220" s="2"/>
      <c r="C220" s="7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</row>
    <row r="221" customFormat="false" ht="12.75" hidden="false" customHeight="false" outlineLevel="0" collapsed="false">
      <c r="A221" s="2"/>
      <c r="B221" s="2"/>
      <c r="C221" s="7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</row>
    <row r="222" customFormat="false" ht="12.75" hidden="false" customHeight="false" outlineLevel="0" collapsed="false">
      <c r="A222" s="2"/>
      <c r="B222" s="2"/>
      <c r="C222" s="7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customFormat="false" ht="12.75" hidden="false" customHeight="false" outlineLevel="0" collapsed="false">
      <c r="A223" s="2"/>
      <c r="B223" s="2"/>
      <c r="C223" s="7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customFormat="false" ht="12.75" hidden="false" customHeight="false" outlineLevel="0" collapsed="false">
      <c r="A224" s="2"/>
      <c r="B224" s="2"/>
      <c r="C224" s="7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customFormat="false" ht="12.75" hidden="false" customHeight="false" outlineLevel="0" collapsed="false">
      <c r="A225" s="2"/>
      <c r="B225" s="2"/>
      <c r="C225" s="7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</row>
    <row r="226" customFormat="false" ht="12.75" hidden="false" customHeight="false" outlineLevel="0" collapsed="false">
      <c r="A226" s="2"/>
      <c r="B226" s="2"/>
      <c r="C226" s="7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customFormat="false" ht="12.75" hidden="false" customHeight="false" outlineLevel="0" collapsed="false">
      <c r="A227" s="2"/>
      <c r="B227" s="2"/>
      <c r="C227" s="7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customFormat="false" ht="12.75" hidden="false" customHeight="false" outlineLevel="0" collapsed="false">
      <c r="A228" s="2"/>
      <c r="B228" s="2"/>
      <c r="C228" s="7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</row>
    <row r="229" customFormat="false" ht="12.75" hidden="false" customHeight="false" outlineLevel="0" collapsed="false">
      <c r="A229" s="2"/>
      <c r="B229" s="2"/>
      <c r="C229" s="7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</row>
    <row r="230" customFormat="false" ht="12.75" hidden="false" customHeight="false" outlineLevel="0" collapsed="false">
      <c r="A230" s="2"/>
      <c r="B230" s="2"/>
      <c r="C230" s="7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</row>
    <row r="231" customFormat="false" ht="12.75" hidden="false" customHeight="false" outlineLevel="0" collapsed="false">
      <c r="A231" s="2"/>
      <c r="B231" s="2"/>
      <c r="C231" s="7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</row>
    <row r="232" customFormat="false" ht="12.75" hidden="false" customHeight="false" outlineLevel="0" collapsed="false">
      <c r="A232" s="2"/>
      <c r="B232" s="2"/>
      <c r="C232" s="7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customFormat="false" ht="12.75" hidden="false" customHeight="false" outlineLevel="0" collapsed="false">
      <c r="A233" s="2"/>
      <c r="B233" s="2"/>
      <c r="C233" s="7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</row>
    <row r="234" customFormat="false" ht="12.75" hidden="false" customHeight="false" outlineLevel="0" collapsed="false">
      <c r="A234" s="2"/>
      <c r="B234" s="2"/>
      <c r="C234" s="7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</row>
    <row r="235" customFormat="false" ht="12.75" hidden="false" customHeight="false" outlineLevel="0" collapsed="false">
      <c r="A235" s="2"/>
      <c r="B235" s="2"/>
      <c r="C235" s="7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</row>
    <row r="236" customFormat="false" ht="12.75" hidden="false" customHeight="false" outlineLevel="0" collapsed="false">
      <c r="A236" s="2"/>
      <c r="B236" s="2"/>
      <c r="C236" s="7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customFormat="false" ht="12.75" hidden="false" customHeight="false" outlineLevel="0" collapsed="false">
      <c r="A237" s="2"/>
      <c r="B237" s="2"/>
      <c r="C237" s="7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</row>
    <row r="238" customFormat="false" ht="12.75" hidden="false" customHeight="false" outlineLevel="0" collapsed="false">
      <c r="A238" s="2"/>
      <c r="B238" s="2"/>
      <c r="C238" s="7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customFormat="false" ht="12.75" hidden="false" customHeight="false" outlineLevel="0" collapsed="false">
      <c r="A239" s="2"/>
      <c r="B239" s="2"/>
      <c r="C239" s="7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</row>
    <row r="240" customFormat="false" ht="12.75" hidden="false" customHeight="false" outlineLevel="0" collapsed="false">
      <c r="A240" s="2"/>
      <c r="B240" s="2"/>
      <c r="C240" s="7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</row>
    <row r="241" customFormat="false" ht="12.75" hidden="false" customHeight="false" outlineLevel="0" collapsed="false">
      <c r="A241" s="2"/>
      <c r="B241" s="2"/>
      <c r="C241" s="7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</row>
    <row r="242" customFormat="false" ht="12.75" hidden="false" customHeight="false" outlineLevel="0" collapsed="false">
      <c r="A242" s="2"/>
      <c r="B242" s="2"/>
      <c r="C242" s="7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customFormat="false" ht="12.75" hidden="false" customHeight="false" outlineLevel="0" collapsed="false">
      <c r="A243" s="2"/>
      <c r="B243" s="2"/>
      <c r="C243" s="7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customFormat="false" ht="12.75" hidden="false" customHeight="false" outlineLevel="0" collapsed="false">
      <c r="A244" s="2"/>
      <c r="B244" s="2"/>
      <c r="C244" s="7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</row>
    <row r="245" customFormat="false" ht="12.75" hidden="false" customHeight="false" outlineLevel="0" collapsed="false">
      <c r="A245" s="2"/>
      <c r="B245" s="2"/>
      <c r="C245" s="7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customFormat="false" ht="12.75" hidden="false" customHeight="false" outlineLevel="0" collapsed="false">
      <c r="A246" s="2"/>
      <c r="B246" s="2"/>
      <c r="C246" s="7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</row>
    <row r="247" customFormat="false" ht="12.75" hidden="false" customHeight="false" outlineLevel="0" collapsed="false">
      <c r="A247" s="2"/>
      <c r="B247" s="2"/>
      <c r="C247" s="7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</row>
    <row r="248" customFormat="false" ht="12.75" hidden="false" customHeight="false" outlineLevel="0" collapsed="false">
      <c r="A248" s="2"/>
      <c r="B248" s="2"/>
      <c r="C248" s="7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</row>
    <row r="249" customFormat="false" ht="12.75" hidden="false" customHeight="false" outlineLevel="0" collapsed="false">
      <c r="A249" s="2"/>
      <c r="B249" s="2"/>
      <c r="C249" s="7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</row>
    <row r="250" customFormat="false" ht="12.75" hidden="false" customHeight="false" outlineLevel="0" collapsed="false">
      <c r="A250" s="2"/>
      <c r="B250" s="2"/>
      <c r="C250" s="7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</row>
    <row r="251" customFormat="false" ht="12.75" hidden="false" customHeight="false" outlineLevel="0" collapsed="false">
      <c r="A251" s="2"/>
      <c r="B251" s="2"/>
      <c r="C251" s="7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customFormat="false" ht="12.75" hidden="false" customHeight="false" outlineLevel="0" collapsed="false">
      <c r="A252" s="2"/>
      <c r="B252" s="2"/>
      <c r="C252" s="7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customFormat="false" ht="12.75" hidden="false" customHeight="false" outlineLevel="0" collapsed="false">
      <c r="A253" s="2"/>
      <c r="B253" s="2"/>
      <c r="C253" s="7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customFormat="false" ht="12.75" hidden="false" customHeight="false" outlineLevel="0" collapsed="false">
      <c r="A254" s="2"/>
      <c r="B254" s="2"/>
      <c r="C254" s="7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</row>
    <row r="255" customFormat="false" ht="12.75" hidden="false" customHeight="false" outlineLevel="0" collapsed="false">
      <c r="A255" s="2"/>
      <c r="B255" s="2"/>
      <c r="C255" s="7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customFormat="false" ht="12.75" hidden="false" customHeight="false" outlineLevel="0" collapsed="false">
      <c r="A256" s="2"/>
      <c r="B256" s="2"/>
      <c r="C256" s="7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customFormat="false" ht="12.75" hidden="false" customHeight="false" outlineLevel="0" collapsed="false">
      <c r="A257" s="2"/>
      <c r="B257" s="2"/>
      <c r="C257" s="7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customFormat="false" ht="12.75" hidden="false" customHeight="false" outlineLevel="0" collapsed="false">
      <c r="A258" s="2"/>
      <c r="B258" s="2"/>
      <c r="C258" s="7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</row>
    <row r="259" customFormat="false" ht="12.75" hidden="false" customHeight="false" outlineLevel="0" collapsed="false">
      <c r="A259" s="2"/>
      <c r="B259" s="2"/>
      <c r="C259" s="7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</row>
    <row r="260" customFormat="false" ht="12.75" hidden="false" customHeight="false" outlineLevel="0" collapsed="false">
      <c r="A260" s="2"/>
      <c r="B260" s="2"/>
      <c r="C260" s="7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</row>
    <row r="261" customFormat="false" ht="12.75" hidden="false" customHeight="false" outlineLevel="0" collapsed="false">
      <c r="A261" s="2"/>
      <c r="B261" s="2"/>
      <c r="C261" s="7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</row>
    <row r="262" customFormat="false" ht="12.75" hidden="false" customHeight="false" outlineLevel="0" collapsed="false">
      <c r="A262" s="2"/>
      <c r="B262" s="2"/>
      <c r="C262" s="7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</row>
    <row r="263" customFormat="false" ht="12.75" hidden="false" customHeight="false" outlineLevel="0" collapsed="false">
      <c r="A263" s="2"/>
      <c r="B263" s="2"/>
      <c r="C263" s="7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</row>
    <row r="264" customFormat="false" ht="12.75" hidden="false" customHeight="false" outlineLevel="0" collapsed="false">
      <c r="A264" s="2"/>
      <c r="B264" s="2"/>
      <c r="C264" s="7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</row>
    <row r="265" customFormat="false" ht="12.75" hidden="false" customHeight="false" outlineLevel="0" collapsed="false">
      <c r="A265" s="2"/>
      <c r="B265" s="2"/>
      <c r="C265" s="7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customFormat="false" ht="12.75" hidden="false" customHeight="false" outlineLevel="0" collapsed="false">
      <c r="A266" s="2"/>
      <c r="B266" s="2"/>
      <c r="C266" s="7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customFormat="false" ht="12.75" hidden="false" customHeight="false" outlineLevel="0" collapsed="false">
      <c r="A267" s="2"/>
      <c r="B267" s="2"/>
      <c r="C267" s="7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customFormat="false" ht="12.75" hidden="false" customHeight="false" outlineLevel="0" collapsed="false">
      <c r="A268" s="2"/>
      <c r="B268" s="2"/>
      <c r="C268" s="7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</row>
    <row r="269" customFormat="false" ht="12.75" hidden="false" customHeight="false" outlineLevel="0" collapsed="false">
      <c r="A269" s="2"/>
      <c r="B269" s="2"/>
      <c r="C269" s="7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</row>
    <row r="270" customFormat="false" ht="12.75" hidden="false" customHeight="false" outlineLevel="0" collapsed="false">
      <c r="A270" s="2"/>
      <c r="B270" s="2"/>
      <c r="C270" s="7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customFormat="false" ht="12.75" hidden="false" customHeight="false" outlineLevel="0" collapsed="false">
      <c r="A271" s="2"/>
      <c r="B271" s="2"/>
      <c r="C271" s="7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</row>
    <row r="272" customFormat="false" ht="12.75" hidden="false" customHeight="false" outlineLevel="0" collapsed="false">
      <c r="A272" s="2"/>
      <c r="B272" s="2"/>
      <c r="C272" s="7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</row>
    <row r="273" customFormat="false" ht="12.75" hidden="false" customHeight="false" outlineLevel="0" collapsed="false">
      <c r="A273" s="2"/>
      <c r="B273" s="2"/>
      <c r="C273" s="7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</row>
    <row r="274" customFormat="false" ht="12.75" hidden="false" customHeight="false" outlineLevel="0" collapsed="false">
      <c r="A274" s="2"/>
      <c r="B274" s="2"/>
      <c r="C274" s="7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customFormat="false" ht="12.75" hidden="false" customHeight="false" outlineLevel="0" collapsed="false">
      <c r="A275" s="2"/>
      <c r="B275" s="2"/>
      <c r="C275" s="7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customFormat="false" ht="12.75" hidden="false" customHeight="false" outlineLevel="0" collapsed="false">
      <c r="A276" s="2"/>
      <c r="B276" s="2"/>
      <c r="C276" s="7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</row>
    <row r="277" customFormat="false" ht="12.75" hidden="false" customHeight="false" outlineLevel="0" collapsed="false">
      <c r="A277" s="2"/>
      <c r="B277" s="2"/>
      <c r="C277" s="7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customFormat="false" ht="12.75" hidden="false" customHeight="false" outlineLevel="0" collapsed="false">
      <c r="A278" s="2"/>
      <c r="B278" s="2"/>
      <c r="C278" s="7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</row>
    <row r="279" customFormat="false" ht="12.75" hidden="false" customHeight="false" outlineLevel="0" collapsed="false">
      <c r="A279" s="2"/>
      <c r="B279" s="2"/>
      <c r="C279" s="7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</row>
    <row r="280" customFormat="false" ht="12.75" hidden="false" customHeight="false" outlineLevel="0" collapsed="false">
      <c r="A280" s="2"/>
      <c r="B280" s="2"/>
      <c r="C280" s="7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customFormat="false" ht="12.75" hidden="false" customHeight="false" outlineLevel="0" collapsed="false">
      <c r="A281" s="2"/>
      <c r="B281" s="2"/>
      <c r="C281" s="7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</row>
    <row r="282" customFormat="false" ht="12.75" hidden="false" customHeight="false" outlineLevel="0" collapsed="false">
      <c r="A282" s="2"/>
      <c r="B282" s="2"/>
      <c r="C282" s="7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customFormat="false" ht="12.75" hidden="false" customHeight="false" outlineLevel="0" collapsed="false">
      <c r="A283" s="2"/>
      <c r="B283" s="2"/>
      <c r="C283" s="7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</row>
    <row r="284" customFormat="false" ht="12.75" hidden="false" customHeight="false" outlineLevel="0" collapsed="false">
      <c r="A284" s="2"/>
      <c r="B284" s="2"/>
      <c r="C284" s="7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</row>
    <row r="285" customFormat="false" ht="12.75" hidden="false" customHeight="false" outlineLevel="0" collapsed="false">
      <c r="A285" s="2"/>
      <c r="B285" s="2"/>
      <c r="C285" s="7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customFormat="false" ht="12.75" hidden="false" customHeight="false" outlineLevel="0" collapsed="false">
      <c r="A286" s="2"/>
      <c r="B286" s="2"/>
      <c r="C286" s="7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</row>
    <row r="287" customFormat="false" ht="12.75" hidden="false" customHeight="false" outlineLevel="0" collapsed="false">
      <c r="A287" s="2"/>
      <c r="B287" s="2"/>
      <c r="C287" s="7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customFormat="false" ht="12.75" hidden="false" customHeight="false" outlineLevel="0" collapsed="false">
      <c r="A288" s="2"/>
      <c r="B288" s="2"/>
      <c r="C288" s="7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</row>
    <row r="289" customFormat="false" ht="12.75" hidden="false" customHeight="false" outlineLevel="0" collapsed="false">
      <c r="A289" s="2"/>
      <c r="B289" s="2"/>
      <c r="C289" s="7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</row>
    <row r="290" customFormat="false" ht="12.75" hidden="false" customHeight="false" outlineLevel="0" collapsed="false">
      <c r="A290" s="2"/>
      <c r="B290" s="2"/>
      <c r="C290" s="7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</row>
    <row r="291" customFormat="false" ht="12.75" hidden="false" customHeight="false" outlineLevel="0" collapsed="false">
      <c r="A291" s="2"/>
      <c r="B291" s="2"/>
      <c r="C291" s="7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</row>
    <row r="292" customFormat="false" ht="12.75" hidden="false" customHeight="false" outlineLevel="0" collapsed="false">
      <c r="A292" s="2"/>
      <c r="B292" s="2"/>
      <c r="C292" s="7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customFormat="false" ht="12.75" hidden="false" customHeight="false" outlineLevel="0" collapsed="false">
      <c r="A293" s="2"/>
      <c r="B293" s="2"/>
      <c r="C293" s="7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customFormat="false" ht="12.75" hidden="false" customHeight="false" outlineLevel="0" collapsed="false">
      <c r="A294" s="2"/>
      <c r="B294" s="2"/>
      <c r="C294" s="7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</row>
    <row r="295" customFormat="false" ht="12.75" hidden="false" customHeight="false" outlineLevel="0" collapsed="false">
      <c r="A295" s="2"/>
      <c r="B295" s="2"/>
      <c r="C295" s="7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</row>
    <row r="296" customFormat="false" ht="12.75" hidden="false" customHeight="false" outlineLevel="0" collapsed="false">
      <c r="A296" s="2"/>
      <c r="B296" s="2"/>
      <c r="C296" s="7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</row>
    <row r="297" customFormat="false" ht="12.75" hidden="false" customHeight="false" outlineLevel="0" collapsed="false">
      <c r="A297" s="2"/>
      <c r="B297" s="2"/>
      <c r="C297" s="7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customFormat="false" ht="12.75" hidden="false" customHeight="false" outlineLevel="0" collapsed="false">
      <c r="A298" s="2"/>
      <c r="B298" s="2"/>
      <c r="C298" s="7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</row>
    <row r="299" customFormat="false" ht="12.75" hidden="false" customHeight="false" outlineLevel="0" collapsed="false">
      <c r="A299" s="2"/>
      <c r="B299" s="2"/>
      <c r="C299" s="7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</row>
    <row r="300" customFormat="false" ht="12.75" hidden="false" customHeight="false" outlineLevel="0" collapsed="false">
      <c r="A300" s="2"/>
      <c r="B300" s="2"/>
      <c r="C300" s="7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customFormat="false" ht="12.75" hidden="false" customHeight="false" outlineLevel="0" collapsed="false">
      <c r="A301" s="2"/>
      <c r="B301" s="2"/>
      <c r="C301" s="7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</row>
    <row r="302" customFormat="false" ht="12.75" hidden="false" customHeight="false" outlineLevel="0" collapsed="false">
      <c r="A302" s="2"/>
      <c r="B302" s="2"/>
      <c r="C302" s="7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</row>
    <row r="303" customFormat="false" ht="12.75" hidden="false" customHeight="false" outlineLevel="0" collapsed="false">
      <c r="A303" s="2"/>
      <c r="B303" s="2"/>
      <c r="C303" s="7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customFormat="false" ht="12.75" hidden="false" customHeight="false" outlineLevel="0" collapsed="false">
      <c r="A304" s="2"/>
      <c r="B304" s="2"/>
      <c r="C304" s="7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</row>
    <row r="305" customFormat="false" ht="12.75" hidden="false" customHeight="false" outlineLevel="0" collapsed="false">
      <c r="A305" s="2"/>
      <c r="B305" s="2"/>
      <c r="C305" s="7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</row>
    <row r="306" customFormat="false" ht="12.75" hidden="false" customHeight="false" outlineLevel="0" collapsed="false">
      <c r="A306" s="2"/>
      <c r="B306" s="2"/>
      <c r="C306" s="7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customFormat="false" ht="12.75" hidden="false" customHeight="false" outlineLevel="0" collapsed="false">
      <c r="A307" s="2"/>
      <c r="B307" s="2"/>
      <c r="C307" s="7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customFormat="false" ht="12.75" hidden="false" customHeight="false" outlineLevel="0" collapsed="false">
      <c r="A308" s="2"/>
      <c r="B308" s="2"/>
      <c r="C308" s="7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customFormat="false" ht="12.75" hidden="false" customHeight="false" outlineLevel="0" collapsed="false">
      <c r="A309" s="2"/>
      <c r="B309" s="2"/>
      <c r="C309" s="7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customFormat="false" ht="12.75" hidden="false" customHeight="false" outlineLevel="0" collapsed="false">
      <c r="A310" s="2"/>
      <c r="B310" s="2"/>
      <c r="C310" s="7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customFormat="false" ht="12.75" hidden="false" customHeight="false" outlineLevel="0" collapsed="false">
      <c r="A311" s="2"/>
      <c r="B311" s="2"/>
      <c r="C311" s="7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customFormat="false" ht="12.75" hidden="false" customHeight="false" outlineLevel="0" collapsed="false">
      <c r="A312" s="2"/>
      <c r="B312" s="2"/>
      <c r="C312" s="7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</row>
    <row r="313" customFormat="false" ht="12.75" hidden="false" customHeight="false" outlineLevel="0" collapsed="false">
      <c r="A313" s="2"/>
      <c r="B313" s="2"/>
      <c r="C313" s="7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</row>
    <row r="314" customFormat="false" ht="12.75" hidden="false" customHeight="false" outlineLevel="0" collapsed="false">
      <c r="A314" s="2"/>
      <c r="B314" s="2"/>
      <c r="C314" s="7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customFormat="false" ht="12.75" hidden="false" customHeight="false" outlineLevel="0" collapsed="false">
      <c r="A315" s="2"/>
      <c r="B315" s="2"/>
      <c r="C315" s="7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</row>
    <row r="316" customFormat="false" ht="12.75" hidden="false" customHeight="false" outlineLevel="0" collapsed="false">
      <c r="A316" s="2"/>
      <c r="B316" s="2"/>
      <c r="C316" s="7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</row>
    <row r="317" customFormat="false" ht="12.75" hidden="false" customHeight="false" outlineLevel="0" collapsed="false">
      <c r="A317" s="2"/>
      <c r="B317" s="2"/>
      <c r="C317" s="7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</row>
    <row r="318" customFormat="false" ht="12.75" hidden="false" customHeight="false" outlineLevel="0" collapsed="false">
      <c r="A318" s="2"/>
      <c r="B318" s="2"/>
      <c r="C318" s="7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</row>
    <row r="319" customFormat="false" ht="12.75" hidden="false" customHeight="false" outlineLevel="0" collapsed="false">
      <c r="A319" s="2"/>
      <c r="B319" s="2"/>
      <c r="C319" s="7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customFormat="false" ht="12.75" hidden="false" customHeight="false" outlineLevel="0" collapsed="false">
      <c r="A320" s="2"/>
      <c r="B320" s="2"/>
      <c r="C320" s="7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</row>
    <row r="321" customFormat="false" ht="12.75" hidden="false" customHeight="false" outlineLevel="0" collapsed="false">
      <c r="A321" s="2"/>
      <c r="B321" s="2"/>
      <c r="C321" s="7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customFormat="false" ht="12.75" hidden="false" customHeight="false" outlineLevel="0" collapsed="false">
      <c r="A322" s="2"/>
      <c r="B322" s="2"/>
      <c r="C322" s="7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customFormat="false" ht="12.75" hidden="false" customHeight="false" outlineLevel="0" collapsed="false">
      <c r="A323" s="2"/>
      <c r="B323" s="2"/>
      <c r="C323" s="7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customFormat="false" ht="12.75" hidden="false" customHeight="false" outlineLevel="0" collapsed="false">
      <c r="A324" s="2"/>
      <c r="B324" s="2"/>
      <c r="C324" s="7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</row>
    <row r="325" customFormat="false" ht="12.75" hidden="false" customHeight="false" outlineLevel="0" collapsed="false">
      <c r="A325" s="2"/>
      <c r="B325" s="2"/>
      <c r="C325" s="7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customFormat="false" ht="12.75" hidden="false" customHeight="false" outlineLevel="0" collapsed="false">
      <c r="A326" s="2"/>
      <c r="B326" s="2"/>
      <c r="C326" s="7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</row>
    <row r="327" customFormat="false" ht="12.75" hidden="false" customHeight="false" outlineLevel="0" collapsed="false">
      <c r="A327" s="2"/>
      <c r="B327" s="2"/>
      <c r="C327" s="7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customFormat="false" ht="12.75" hidden="false" customHeight="false" outlineLevel="0" collapsed="false">
      <c r="A328" s="2"/>
      <c r="B328" s="2"/>
      <c r="C328" s="7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customFormat="false" ht="12.75" hidden="false" customHeight="false" outlineLevel="0" collapsed="false">
      <c r="A329" s="2"/>
      <c r="B329" s="2"/>
      <c r="C329" s="7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customFormat="false" ht="12.75" hidden="false" customHeight="false" outlineLevel="0" collapsed="false">
      <c r="A330" s="2"/>
      <c r="B330" s="2"/>
      <c r="C330" s="7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</row>
    <row r="331" customFormat="false" ht="12.75" hidden="false" customHeight="false" outlineLevel="0" collapsed="false">
      <c r="A331" s="2"/>
      <c r="B331" s="2"/>
      <c r="C331" s="7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</row>
    <row r="332" customFormat="false" ht="12.75" hidden="false" customHeight="false" outlineLevel="0" collapsed="false">
      <c r="A332" s="2"/>
      <c r="B332" s="2"/>
      <c r="C332" s="7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customFormat="false" ht="12.75" hidden="false" customHeight="false" outlineLevel="0" collapsed="false">
      <c r="A333" s="2"/>
      <c r="B333" s="2"/>
      <c r="C333" s="7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customFormat="false" ht="12.75" hidden="false" customHeight="false" outlineLevel="0" collapsed="false">
      <c r="A334" s="2"/>
      <c r="B334" s="2"/>
      <c r="C334" s="7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customFormat="false" ht="12.75" hidden="false" customHeight="false" outlineLevel="0" collapsed="false">
      <c r="A335" s="2"/>
      <c r="B335" s="2"/>
      <c r="C335" s="7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customFormat="false" ht="12.75" hidden="false" customHeight="false" outlineLevel="0" collapsed="false">
      <c r="A336" s="2"/>
      <c r="B336" s="2"/>
      <c r="C336" s="7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customFormat="false" ht="12.75" hidden="false" customHeight="false" outlineLevel="0" collapsed="false">
      <c r="A337" s="2"/>
      <c r="B337" s="2"/>
      <c r="C337" s="7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customFormat="false" ht="12.75" hidden="false" customHeight="false" outlineLevel="0" collapsed="false">
      <c r="A338" s="2"/>
      <c r="B338" s="2"/>
      <c r="C338" s="7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customFormat="false" ht="12.75" hidden="false" customHeight="false" outlineLevel="0" collapsed="false">
      <c r="A339" s="2"/>
      <c r="B339" s="2"/>
      <c r="C339" s="7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</row>
    <row r="340" customFormat="false" ht="12.75" hidden="false" customHeight="false" outlineLevel="0" collapsed="false">
      <c r="A340" s="2"/>
      <c r="B340" s="2"/>
      <c r="C340" s="7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</row>
    <row r="341" customFormat="false" ht="12.75" hidden="false" customHeight="false" outlineLevel="0" collapsed="false">
      <c r="A341" s="2"/>
      <c r="B341" s="2"/>
      <c r="C341" s="7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</row>
    <row r="342" customFormat="false" ht="12.75" hidden="false" customHeight="false" outlineLevel="0" collapsed="false">
      <c r="A342" s="2"/>
      <c r="B342" s="2"/>
      <c r="C342" s="7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</row>
    <row r="343" customFormat="false" ht="12.75" hidden="false" customHeight="false" outlineLevel="0" collapsed="false">
      <c r="A343" s="2"/>
      <c r="B343" s="2"/>
      <c r="C343" s="7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</row>
    <row r="344" customFormat="false" ht="12.75" hidden="false" customHeight="false" outlineLevel="0" collapsed="false">
      <c r="A344" s="2"/>
      <c r="B344" s="2"/>
      <c r="C344" s="7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customFormat="false" ht="12.75" hidden="false" customHeight="false" outlineLevel="0" collapsed="false">
      <c r="A345" s="2"/>
      <c r="B345" s="2"/>
      <c r="C345" s="7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</row>
    <row r="346" customFormat="false" ht="12.75" hidden="false" customHeight="false" outlineLevel="0" collapsed="false">
      <c r="A346" s="2"/>
      <c r="B346" s="2"/>
      <c r="C346" s="7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customFormat="false" ht="12.75" hidden="false" customHeight="false" outlineLevel="0" collapsed="false">
      <c r="A347" s="2"/>
      <c r="B347" s="2"/>
      <c r="C347" s="7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</row>
    <row r="348" customFormat="false" ht="12.75" hidden="false" customHeight="false" outlineLevel="0" collapsed="false">
      <c r="A348" s="2"/>
      <c r="B348" s="2"/>
      <c r="C348" s="7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</row>
    <row r="349" customFormat="false" ht="12.75" hidden="false" customHeight="false" outlineLevel="0" collapsed="false">
      <c r="A349" s="2"/>
      <c r="B349" s="2"/>
      <c r="C349" s="7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</row>
    <row r="350" customFormat="false" ht="12.75" hidden="false" customHeight="false" outlineLevel="0" collapsed="false">
      <c r="A350" s="2"/>
      <c r="B350" s="2"/>
      <c r="C350" s="7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</row>
    <row r="351" customFormat="false" ht="12.75" hidden="false" customHeight="false" outlineLevel="0" collapsed="false">
      <c r="A351" s="2"/>
      <c r="B351" s="2"/>
      <c r="C351" s="7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</row>
    <row r="352" customFormat="false" ht="12.75" hidden="false" customHeight="false" outlineLevel="0" collapsed="false">
      <c r="A352" s="2"/>
      <c r="B352" s="2"/>
      <c r="C352" s="7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customFormat="false" ht="12.75" hidden="false" customHeight="false" outlineLevel="0" collapsed="false">
      <c r="A353" s="2"/>
      <c r="B353" s="2"/>
      <c r="C353" s="7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customFormat="false" ht="12.75" hidden="false" customHeight="false" outlineLevel="0" collapsed="false">
      <c r="A354" s="2"/>
      <c r="B354" s="2"/>
      <c r="C354" s="7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customFormat="false" ht="12.75" hidden="false" customHeight="false" outlineLevel="0" collapsed="false">
      <c r="A355" s="2"/>
      <c r="B355" s="2"/>
      <c r="C355" s="7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customFormat="false" ht="12.75" hidden="false" customHeight="false" outlineLevel="0" collapsed="false">
      <c r="A356" s="2"/>
      <c r="B356" s="2"/>
      <c r="C356" s="7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customFormat="false" ht="12.75" hidden="false" customHeight="false" outlineLevel="0" collapsed="false">
      <c r="A357" s="2"/>
      <c r="B357" s="2"/>
      <c r="C357" s="7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</row>
    <row r="358" customFormat="false" ht="12.75" hidden="false" customHeight="false" outlineLevel="0" collapsed="false">
      <c r="A358" s="2"/>
      <c r="B358" s="2"/>
      <c r="C358" s="7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customFormat="false" ht="12.75" hidden="false" customHeight="false" outlineLevel="0" collapsed="false">
      <c r="A359" s="2"/>
      <c r="B359" s="2"/>
      <c r="C359" s="7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</row>
    <row r="360" customFormat="false" ht="12.75" hidden="false" customHeight="false" outlineLevel="0" collapsed="false">
      <c r="A360" s="2"/>
      <c r="B360" s="2"/>
      <c r="C360" s="7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</row>
    <row r="361" customFormat="false" ht="12.75" hidden="false" customHeight="false" outlineLevel="0" collapsed="false">
      <c r="A361" s="2"/>
      <c r="B361" s="2"/>
      <c r="C361" s="7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</row>
    <row r="362" customFormat="false" ht="12.75" hidden="false" customHeight="false" outlineLevel="0" collapsed="false">
      <c r="A362" s="2"/>
      <c r="B362" s="2"/>
      <c r="C362" s="7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</row>
    <row r="363" customFormat="false" ht="12.75" hidden="false" customHeight="false" outlineLevel="0" collapsed="false">
      <c r="A363" s="2"/>
      <c r="B363" s="2"/>
      <c r="C363" s="7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customFormat="false" ht="12.75" hidden="false" customHeight="false" outlineLevel="0" collapsed="false">
      <c r="A364" s="2"/>
      <c r="B364" s="2"/>
      <c r="C364" s="7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</row>
    <row r="365" customFormat="false" ht="12.75" hidden="false" customHeight="false" outlineLevel="0" collapsed="false">
      <c r="A365" s="2"/>
      <c r="B365" s="2"/>
      <c r="C365" s="7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customFormat="false" ht="12.75" hidden="false" customHeight="false" outlineLevel="0" collapsed="false">
      <c r="A366" s="2"/>
      <c r="B366" s="2"/>
      <c r="C366" s="7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customFormat="false" ht="12.75" hidden="false" customHeight="false" outlineLevel="0" collapsed="false">
      <c r="A367" s="2"/>
      <c r="B367" s="2"/>
      <c r="C367" s="7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customFormat="false" ht="12.75" hidden="false" customHeight="false" outlineLevel="0" collapsed="false">
      <c r="A368" s="2"/>
      <c r="B368" s="2"/>
      <c r="C368" s="7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customFormat="false" ht="12.75" hidden="false" customHeight="false" outlineLevel="0" collapsed="false">
      <c r="A369" s="2"/>
      <c r="B369" s="2"/>
      <c r="C369" s="7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76"/>
  <sheetViews>
    <sheetView showFormulas="false" showGridLines="true" showRowColHeaders="true" showZeros="true" rightToLeft="false" tabSelected="false" showOutlineSymbols="true" defaultGridColor="true" view="normal" topLeftCell="E29" colorId="64" zoomScale="75" zoomScaleNormal="75" zoomScalePageLayoutView="100" workbookViewId="0">
      <selection pane="topLeft" activeCell="M68" activeCellId="0" sqref="M6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56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57" width="9.85"/>
  </cols>
  <sheetData>
    <row r="2" customFormat="false" ht="18" hidden="false" customHeight="false" outlineLevel="0" collapsed="false">
      <c r="A2" s="758" t="str">
        <f aca="false">CONCATENATE('rotation(W501D5)'!X7,"x","W501D5 GT Scheduled Maintenance  Cost")</f>
        <v>0xW501D5 GT Scheduled Maintenance  Cost</v>
      </c>
      <c r="B2" s="11"/>
    </row>
    <row r="4" customFormat="false" ht="12.75" hidden="false" customHeight="false" outlineLevel="0" collapsed="false">
      <c r="A4" s="759" t="s">
        <v>1351</v>
      </c>
      <c r="B4" s="153"/>
      <c r="C4" s="153"/>
      <c r="D4" s="153" t="n">
        <v>1</v>
      </c>
      <c r="E4" s="153" t="n">
        <v>2</v>
      </c>
      <c r="F4" s="153" t="n">
        <v>3</v>
      </c>
      <c r="G4" s="153" t="n">
        <v>4</v>
      </c>
      <c r="H4" s="153" t="n">
        <v>5</v>
      </c>
      <c r="I4" s="153" t="n">
        <v>6</v>
      </c>
      <c r="J4" s="153" t="n">
        <v>7</v>
      </c>
      <c r="K4" s="153" t="n">
        <v>8</v>
      </c>
      <c r="L4" s="153" t="n">
        <v>9</v>
      </c>
      <c r="M4" s="153" t="n">
        <v>10</v>
      </c>
      <c r="N4" s="153" t="n">
        <v>11</v>
      </c>
      <c r="O4" s="153" t="n">
        <v>12</v>
      </c>
      <c r="P4" s="153" t="n">
        <v>13</v>
      </c>
      <c r="Q4" s="153" t="n">
        <v>14</v>
      </c>
      <c r="R4" s="153" t="n">
        <v>15</v>
      </c>
      <c r="S4" s="153" t="n">
        <v>16</v>
      </c>
      <c r="T4" s="153" t="n">
        <v>17</v>
      </c>
      <c r="U4" s="153" t="n">
        <v>18</v>
      </c>
      <c r="V4" s="153" t="n">
        <v>19</v>
      </c>
      <c r="W4" s="153" t="n">
        <v>20</v>
      </c>
      <c r="X4" s="757" t="s">
        <v>1352</v>
      </c>
    </row>
    <row r="5" customFormat="false" ht="12.75" hidden="false" customHeight="false" outlineLevel="0" collapsed="false">
      <c r="A5" s="759" t="s">
        <v>1353</v>
      </c>
      <c r="B5" s="153"/>
      <c r="C5" s="153"/>
      <c r="D5" s="742" t="str">
        <f aca="false">CONCATENATE('rotation(W501D5)'!C$12,'rotation(W501D5)'!C$13,'rotation(W501D5)'!C$14)</f>
        <v>   </v>
      </c>
      <c r="E5" s="742" t="str">
        <f aca="false">CONCATENATE('rotation(W501D5)'!D$12,'rotation(W501D5)'!D$13,'rotation(W501D5)'!D$14)</f>
        <v>   </v>
      </c>
      <c r="F5" s="742" t="str">
        <f aca="false">CONCATENATE('rotation(W501D5)'!E$12,'rotation(W501D5)'!E$13,'rotation(W501D5)'!E$14)</f>
        <v>   </v>
      </c>
      <c r="G5" s="742" t="str">
        <f aca="false">CONCATENATE('rotation(W501D5)'!F$12,'rotation(W501D5)'!F$13,'rotation(W501D5)'!F$14)</f>
        <v>   </v>
      </c>
      <c r="H5" s="742" t="str">
        <f aca="false">CONCATENATE('rotation(W501D5)'!G$12,'rotation(W501D5)'!G$13,'rotation(W501D5)'!G$14)</f>
        <v>   </v>
      </c>
      <c r="I5" s="742" t="str">
        <f aca="false">CONCATENATE('rotation(W501D5)'!H$12,'rotation(W501D5)'!H$13,'rotation(W501D5)'!H$14)</f>
        <v>   </v>
      </c>
      <c r="J5" s="742" t="str">
        <f aca="false">CONCATENATE('rotation(W501D5)'!I$12,'rotation(W501D5)'!I$13,'rotation(W501D5)'!I$14)</f>
        <v>   </v>
      </c>
      <c r="K5" s="742" t="str">
        <f aca="false">CONCATENATE('rotation(W501D5)'!J$12,'rotation(W501D5)'!J$13,'rotation(W501D5)'!J$14)</f>
        <v>   </v>
      </c>
      <c r="L5" s="742" t="str">
        <f aca="false">CONCATENATE('rotation(W501D5)'!K$12,'rotation(W501D5)'!K$13,'rotation(W501D5)'!K$14)</f>
        <v>   </v>
      </c>
      <c r="M5" s="742" t="str">
        <f aca="false">CONCATENATE('rotation(W501D5)'!L$12,'rotation(W501D5)'!L$13,'rotation(W501D5)'!L$14)</f>
        <v>   </v>
      </c>
      <c r="N5" s="742" t="str">
        <f aca="false">CONCATENATE('rotation(W501D5)'!M$12,'rotation(W501D5)'!M$13,'rotation(W501D5)'!M$14)</f>
        <v>   </v>
      </c>
      <c r="O5" s="742" t="str">
        <f aca="false">CONCATENATE('rotation(W501D5)'!N$12,'rotation(W501D5)'!N$13,'rotation(W501D5)'!N$14)</f>
        <v>   </v>
      </c>
      <c r="P5" s="742" t="str">
        <f aca="false">CONCATENATE('rotation(W501D5)'!O$12,'rotation(W501D5)'!O$13,'rotation(W501D5)'!O$14)</f>
        <v>   </v>
      </c>
      <c r="Q5" s="742" t="str">
        <f aca="false">CONCATENATE('rotation(W501D5)'!P$12,'rotation(W501D5)'!P$13,'rotation(W501D5)'!P$14)</f>
        <v>   </v>
      </c>
      <c r="R5" s="742" t="str">
        <f aca="false">CONCATENATE('rotation(W501D5)'!Q$12,'rotation(W501D5)'!Q$13,'rotation(W501D5)'!Q$14)</f>
        <v>   </v>
      </c>
      <c r="S5" s="742" t="str">
        <f aca="false">CONCATENATE('rotation(W501D5)'!R$12,'rotation(W501D5)'!R$13,'rotation(W501D5)'!R$14)</f>
        <v>   </v>
      </c>
      <c r="T5" s="742" t="str">
        <f aca="false">CONCATENATE('rotation(W501D5)'!S$12,'rotation(W501D5)'!S$13,'rotation(W501D5)'!S$14)</f>
        <v>   </v>
      </c>
      <c r="U5" s="742" t="str">
        <f aca="false">CONCATENATE('rotation(W501D5)'!T$12,'rotation(W501D5)'!T$13,'rotation(W501D5)'!T$14)</f>
        <v>   </v>
      </c>
      <c r="V5" s="742" t="str">
        <f aca="false">CONCATENATE('rotation(W501D5)'!U$12,'rotation(W501D5)'!U$13,'rotation(W501D5)'!U$14)</f>
        <v>   </v>
      </c>
      <c r="W5" s="742" t="str">
        <f aca="false">CONCATENATE('rotation(W501D5)'!V$12,'rotation(W501D5)'!V$13,'rotation(W501D5)'!V$14)</f>
        <v>   </v>
      </c>
    </row>
    <row r="6" customFormat="false" ht="12.75" hidden="false" customHeight="false" outlineLevel="0" collapsed="false">
      <c r="A6" s="759" t="s">
        <v>1354</v>
      </c>
      <c r="B6" s="153"/>
      <c r="C6" s="153"/>
      <c r="D6" s="742" t="str">
        <f aca="false">IF('rotation(W501D5)'!$X$7&lt;2," ",CONCATENATE('rotation(W501D5)'!C$12,'rotation(W501D5)'!C$13,'rotation(W501D5)'!C$14))</f>
        <v> </v>
      </c>
      <c r="E6" s="742" t="str">
        <f aca="false">IF('rotation(W501D5)'!$X$7&lt;2," ",CONCATENATE('rotation(W501D5)'!D$12,'rotation(W501D5)'!D$13,'rotation(W501D5)'!D$14))</f>
        <v> </v>
      </c>
      <c r="F6" s="742" t="str">
        <f aca="false">IF('rotation(W501D5)'!$X$7&lt;2," ",CONCATENATE('rotation(W501D5)'!E$12,'rotation(W501D5)'!E$13,'rotation(W501D5)'!E$14))</f>
        <v> </v>
      </c>
      <c r="G6" s="742" t="str">
        <f aca="false">IF('rotation(W501D5)'!$X$7&lt;2," ",CONCATENATE('rotation(W501D5)'!F$12,'rotation(W501D5)'!F$13,'rotation(W501D5)'!F$14))</f>
        <v> </v>
      </c>
      <c r="H6" s="742" t="str">
        <f aca="false">IF('rotation(W501D5)'!$X$7&lt;2," ",CONCATENATE('rotation(W501D5)'!G$12,'rotation(W501D5)'!G$13,'rotation(W501D5)'!G$14))</f>
        <v> </v>
      </c>
      <c r="I6" s="742" t="str">
        <f aca="false">IF('rotation(W501D5)'!$X$7&lt;2," ",CONCATENATE('rotation(W501D5)'!H$12,'rotation(W501D5)'!H$13,'rotation(W501D5)'!H$14))</f>
        <v> </v>
      </c>
      <c r="J6" s="742" t="str">
        <f aca="false">IF('rotation(W501D5)'!$X$7&lt;2," ",CONCATENATE('rotation(W501D5)'!I$12,'rotation(W501D5)'!I$13,'rotation(W501D5)'!I$14))</f>
        <v> </v>
      </c>
      <c r="K6" s="742" t="str">
        <f aca="false">IF('rotation(W501D5)'!$X$7&lt;2," ",CONCATENATE('rotation(W501D5)'!J$12,'rotation(W501D5)'!J$13,'rotation(W501D5)'!J$14))</f>
        <v> </v>
      </c>
      <c r="L6" s="742" t="str">
        <f aca="false">IF('rotation(W501D5)'!$X$7&lt;2," ",CONCATENATE('rotation(W501D5)'!K$12,'rotation(W501D5)'!K$13,'rotation(W501D5)'!K$14))</f>
        <v> </v>
      </c>
      <c r="M6" s="742" t="str">
        <f aca="false">IF('rotation(W501D5)'!$X$7&lt;2," ",CONCATENATE('rotation(W501D5)'!L$12,'rotation(W501D5)'!L$13,'rotation(W501D5)'!L$14))</f>
        <v> </v>
      </c>
      <c r="N6" s="742" t="str">
        <f aca="false">IF('rotation(W501D5)'!$X$7&lt;2," ",CONCATENATE('rotation(W501D5)'!M$12,'rotation(W501D5)'!M$13,'rotation(W501D5)'!M$14))</f>
        <v> </v>
      </c>
      <c r="O6" s="742" t="str">
        <f aca="false">IF('rotation(W501D5)'!$X$7&lt;2," ",CONCATENATE('rotation(W501D5)'!N$12,'rotation(W501D5)'!N$13,'rotation(W501D5)'!N$14))</f>
        <v> </v>
      </c>
      <c r="P6" s="742" t="str">
        <f aca="false">IF('rotation(W501D5)'!$X$7&lt;2," ",CONCATENATE('rotation(W501D5)'!O$12,'rotation(W501D5)'!O$13,'rotation(W501D5)'!O$14))</f>
        <v> </v>
      </c>
      <c r="Q6" s="742" t="str">
        <f aca="false">IF('rotation(W501D5)'!$X$7&lt;2," ",CONCATENATE('rotation(W501D5)'!P$12,'rotation(W501D5)'!P$13,'rotation(W501D5)'!P$14))</f>
        <v> </v>
      </c>
      <c r="R6" s="742" t="str">
        <f aca="false">IF('rotation(W501D5)'!$X$7&lt;2," ",CONCATENATE('rotation(W501D5)'!Q$12,'rotation(W501D5)'!Q$13,'rotation(W501D5)'!Q$14))</f>
        <v> </v>
      </c>
      <c r="S6" s="742" t="str">
        <f aca="false">IF('rotation(W501D5)'!$X$7&lt;2," ",CONCATENATE('rotation(W501D5)'!R$12,'rotation(W501D5)'!R$13,'rotation(W501D5)'!R$14))</f>
        <v> </v>
      </c>
      <c r="T6" s="742" t="str">
        <f aca="false">IF('rotation(W501D5)'!$X$7&lt;2," ",CONCATENATE('rotation(W501D5)'!S$12,'rotation(W501D5)'!S$13,'rotation(W501D5)'!S$14))</f>
        <v> </v>
      </c>
      <c r="U6" s="742" t="str">
        <f aca="false">IF('rotation(W501D5)'!$X$7&lt;2," ",CONCATENATE('rotation(W501D5)'!T$12,'rotation(W501D5)'!T$13,'rotation(W501D5)'!T$14))</f>
        <v> </v>
      </c>
      <c r="V6" s="742" t="str">
        <f aca="false">IF('rotation(W501D5)'!$X$7&lt;2," ",CONCATENATE('rotation(W501D5)'!U$12,'rotation(W501D5)'!U$13,'rotation(W501D5)'!U$14))</f>
        <v> </v>
      </c>
      <c r="W6" s="742" t="str">
        <f aca="false">IF('rotation(W501D5)'!$X$7&lt;2," ",CONCATENATE('rotation(W501D5)'!V$12,'rotation(W501D5)'!V$13,'rotation(W501D5)'!V$14))</f>
        <v> </v>
      </c>
    </row>
    <row r="7" customFormat="false" ht="12.75" hidden="false" customHeight="false" outlineLevel="0" collapsed="false">
      <c r="A7" s="759" t="s">
        <v>1355</v>
      </c>
      <c r="B7" s="153"/>
      <c r="C7" s="153"/>
      <c r="D7" s="742" t="str">
        <f aca="false">IF('rotation(W501D5)'!$X$7&lt;3," ",CONCATENATE('rotation(W501D5)'!C$12,'rotation(W501D5)'!C$13,'rotation(W501D5)'!C$14))</f>
        <v> </v>
      </c>
      <c r="E7" s="742" t="str">
        <f aca="false">IF('rotation(W501D5)'!$X$7&lt;3," ",CONCATENATE('rotation(W501D5)'!D$12,'rotation(W501D5)'!D$13,'rotation(W501D5)'!D$14))</f>
        <v> </v>
      </c>
      <c r="F7" s="742" t="str">
        <f aca="false">IF('rotation(W501D5)'!$X$7&lt;3," ",CONCATENATE('rotation(W501D5)'!E$12,'rotation(W501D5)'!E$13,'rotation(W501D5)'!E$14))</f>
        <v> </v>
      </c>
      <c r="G7" s="742" t="str">
        <f aca="false">IF('rotation(W501D5)'!$X$7&lt;3," ",CONCATENATE('rotation(W501D5)'!F$12,'rotation(W501D5)'!F$13,'rotation(W501D5)'!F$14))</f>
        <v> </v>
      </c>
      <c r="H7" s="742" t="str">
        <f aca="false">IF('rotation(W501D5)'!$X$7&lt;3," ",CONCATENATE('rotation(W501D5)'!G$12,'rotation(W501D5)'!G$13,'rotation(W501D5)'!G$14))</f>
        <v> </v>
      </c>
      <c r="I7" s="742" t="str">
        <f aca="false">IF('rotation(W501D5)'!$X$7&lt;3," ",CONCATENATE('rotation(W501D5)'!H$12,'rotation(W501D5)'!H$13,'rotation(W501D5)'!H$14))</f>
        <v> </v>
      </c>
      <c r="J7" s="742" t="str">
        <f aca="false">IF('rotation(W501D5)'!$X$7&lt;3," ",CONCATENATE('rotation(W501D5)'!I$12,'rotation(W501D5)'!I$13,'rotation(W501D5)'!I$14))</f>
        <v> </v>
      </c>
      <c r="K7" s="742" t="str">
        <f aca="false">IF('rotation(W501D5)'!$X$7&lt;3," ",CONCATENATE('rotation(W501D5)'!J$12,'rotation(W501D5)'!J$13,'rotation(W501D5)'!J$14))</f>
        <v> </v>
      </c>
      <c r="L7" s="742" t="str">
        <f aca="false">IF('rotation(W501D5)'!$X$7&lt;3," ",CONCATENATE('rotation(W501D5)'!K$12,'rotation(W501D5)'!K$13,'rotation(W501D5)'!K$14))</f>
        <v> </v>
      </c>
      <c r="M7" s="742" t="str">
        <f aca="false">IF('rotation(W501D5)'!$X$7&lt;3," ",CONCATENATE('rotation(W501D5)'!L$12,'rotation(W501D5)'!L$13,'rotation(W501D5)'!L$14))</f>
        <v> </v>
      </c>
      <c r="N7" s="742" t="str">
        <f aca="false">IF('rotation(W501D5)'!$X$7&lt;3," ",CONCATENATE('rotation(W501D5)'!M$12,'rotation(W501D5)'!M$13,'rotation(W501D5)'!M$14))</f>
        <v> </v>
      </c>
      <c r="O7" s="742" t="str">
        <f aca="false">IF('rotation(W501D5)'!$X$7&lt;3," ",CONCATENATE('rotation(W501D5)'!N$12,'rotation(W501D5)'!N$13,'rotation(W501D5)'!N$14))</f>
        <v> </v>
      </c>
      <c r="P7" s="742" t="str">
        <f aca="false">IF('rotation(W501D5)'!$X$7&lt;3," ",CONCATENATE('rotation(W501D5)'!O$12,'rotation(W501D5)'!O$13,'rotation(W501D5)'!O$14))</f>
        <v> </v>
      </c>
      <c r="Q7" s="742" t="str">
        <f aca="false">IF('rotation(W501D5)'!$X$7&lt;3," ",CONCATENATE('rotation(W501D5)'!P$12,'rotation(W501D5)'!P$13,'rotation(W501D5)'!P$14))</f>
        <v> </v>
      </c>
      <c r="R7" s="742" t="str">
        <f aca="false">IF('rotation(W501D5)'!$X$7&lt;3," ",CONCATENATE('rotation(W501D5)'!Q$12,'rotation(W501D5)'!Q$13,'rotation(W501D5)'!Q$14))</f>
        <v> </v>
      </c>
      <c r="S7" s="742" t="str">
        <f aca="false">IF('rotation(W501D5)'!$X$7&lt;3," ",CONCATENATE('rotation(W501D5)'!R$12,'rotation(W501D5)'!R$13,'rotation(W501D5)'!R$14))</f>
        <v> </v>
      </c>
      <c r="T7" s="742" t="str">
        <f aca="false">IF('rotation(W501D5)'!$X$7&lt;3," ",CONCATENATE('rotation(W501D5)'!S$12,'rotation(W501D5)'!S$13,'rotation(W501D5)'!S$14))</f>
        <v> </v>
      </c>
      <c r="U7" s="742" t="str">
        <f aca="false">IF('rotation(W501D5)'!$X$7&lt;3," ",CONCATENATE('rotation(W501D5)'!T$12,'rotation(W501D5)'!T$13,'rotation(W501D5)'!T$14))</f>
        <v> </v>
      </c>
      <c r="V7" s="742" t="str">
        <f aca="false">IF('rotation(W501D5)'!$X$7&lt;3," ",CONCATENATE('rotation(W501D5)'!U$12,'rotation(W501D5)'!U$13,'rotation(W501D5)'!U$14))</f>
        <v> </v>
      </c>
      <c r="W7" s="742" t="str">
        <f aca="false">IF('rotation(W501D5)'!$X$7&lt;3," ",CONCATENATE('rotation(W501D5)'!V$12,'rotation(W501D5)'!V$13,'rotation(W501D5)'!V$14))</f>
        <v> </v>
      </c>
    </row>
    <row r="8" customFormat="false" ht="12.75" hidden="false" customHeight="false" outlineLevel="0" collapsed="false">
      <c r="A8" s="759" t="s">
        <v>1356</v>
      </c>
      <c r="B8" s="153"/>
      <c r="C8" s="153"/>
      <c r="D8" s="742" t="str">
        <f aca="false">IF('rotation(W501D5)'!$X$7&lt;4," ",CONCATENATE('rotation(W501D5)'!C$12,'rotation(W501D5)'!C$13,'rotation(W501D5)'!C$14))</f>
        <v> </v>
      </c>
      <c r="E8" s="742" t="str">
        <f aca="false">IF('rotation(W501D5)'!$X$7&lt;4," ",CONCATENATE('rotation(W501D5)'!D$12,'rotation(W501D5)'!D$13,'rotation(W501D5)'!D$14))</f>
        <v> </v>
      </c>
      <c r="F8" s="742" t="str">
        <f aca="false">IF('rotation(W501D5)'!$X$7&lt;4," ",CONCATENATE('rotation(W501D5)'!E$12,'rotation(W501D5)'!E$13,'rotation(W501D5)'!E$14))</f>
        <v> </v>
      </c>
      <c r="G8" s="742" t="str">
        <f aca="false">IF('rotation(W501D5)'!$X$7&lt;4," ",CONCATENATE('rotation(W501D5)'!F$12,'rotation(W501D5)'!F$13,'rotation(W501D5)'!F$14))</f>
        <v> </v>
      </c>
      <c r="H8" s="742" t="str">
        <f aca="false">IF('rotation(W501D5)'!$X$7&lt;4," ",CONCATENATE('rotation(W501D5)'!G$12,'rotation(W501D5)'!G$13,'rotation(W501D5)'!G$14))</f>
        <v> </v>
      </c>
      <c r="I8" s="742" t="str">
        <f aca="false">IF('rotation(W501D5)'!$X$7&lt;4," ",CONCATENATE('rotation(W501D5)'!H$12,'rotation(W501D5)'!H$13,'rotation(W501D5)'!H$14))</f>
        <v> </v>
      </c>
      <c r="J8" s="742" t="str">
        <f aca="false">IF('rotation(W501D5)'!$X$7&lt;4," ",CONCATENATE('rotation(W501D5)'!I$12,'rotation(W501D5)'!I$13,'rotation(W501D5)'!I$14))</f>
        <v> </v>
      </c>
      <c r="K8" s="742" t="str">
        <f aca="false">IF('rotation(W501D5)'!$X$7&lt;4," ",CONCATENATE('rotation(W501D5)'!J$12,'rotation(W501D5)'!J$13,'rotation(W501D5)'!J$14))</f>
        <v> </v>
      </c>
      <c r="L8" s="742" t="str">
        <f aca="false">IF('rotation(W501D5)'!$X$7&lt;4," ",CONCATENATE('rotation(W501D5)'!K$12,'rotation(W501D5)'!K$13,'rotation(W501D5)'!K$14))</f>
        <v> </v>
      </c>
      <c r="M8" s="742" t="str">
        <f aca="false">IF('rotation(W501D5)'!$X$7&lt;4," ",CONCATENATE('rotation(W501D5)'!L$12,'rotation(W501D5)'!L$13,'rotation(W501D5)'!L$14))</f>
        <v> </v>
      </c>
      <c r="N8" s="742" t="str">
        <f aca="false">IF('rotation(W501D5)'!$X$7&lt;4," ",CONCATENATE('rotation(W501D5)'!M$12,'rotation(W501D5)'!M$13,'rotation(W501D5)'!M$14))</f>
        <v> </v>
      </c>
      <c r="O8" s="742" t="str">
        <f aca="false">IF('rotation(W501D5)'!$X$7&lt;4," ",CONCATENATE('rotation(W501D5)'!N$12,'rotation(W501D5)'!N$13,'rotation(W501D5)'!N$14))</f>
        <v> </v>
      </c>
      <c r="P8" s="742" t="str">
        <f aca="false">IF('rotation(W501D5)'!$X$7&lt;4," ",CONCATENATE('rotation(W501D5)'!O$12,'rotation(W501D5)'!O$13,'rotation(W501D5)'!O$14))</f>
        <v> </v>
      </c>
      <c r="Q8" s="742" t="str">
        <f aca="false">IF('rotation(W501D5)'!$X$7&lt;4," ",CONCATENATE('rotation(W501D5)'!P$12,'rotation(W501D5)'!P$13,'rotation(W501D5)'!P$14))</f>
        <v> </v>
      </c>
      <c r="R8" s="742" t="str">
        <f aca="false">IF('rotation(W501D5)'!$X$7&lt;4," ",CONCATENATE('rotation(W501D5)'!Q$12,'rotation(W501D5)'!Q$13,'rotation(W501D5)'!Q$14))</f>
        <v> </v>
      </c>
      <c r="S8" s="742" t="str">
        <f aca="false">IF('rotation(W501D5)'!$X$7&lt;4," ",CONCATENATE('rotation(W501D5)'!R$12,'rotation(W501D5)'!R$13,'rotation(W501D5)'!R$14))</f>
        <v> </v>
      </c>
      <c r="T8" s="742" t="str">
        <f aca="false">IF('rotation(W501D5)'!$X$7&lt;4," ",CONCATENATE('rotation(W501D5)'!S$12,'rotation(W501D5)'!S$13,'rotation(W501D5)'!S$14))</f>
        <v> </v>
      </c>
      <c r="U8" s="742" t="str">
        <f aca="false">IF('rotation(W501D5)'!$X$7&lt;4," ",CONCATENATE('rotation(W501D5)'!T$12,'rotation(W501D5)'!T$13,'rotation(W501D5)'!T$14))</f>
        <v> </v>
      </c>
      <c r="V8" s="742" t="str">
        <f aca="false">IF('rotation(W501D5)'!$X$7&lt;4," ",CONCATENATE('rotation(W501D5)'!U$12,'rotation(W501D5)'!U$13,'rotation(W501D5)'!U$14))</f>
        <v> </v>
      </c>
      <c r="W8" s="742" t="str">
        <f aca="false">IF('rotation(W501D5)'!$X$7&lt;4," ",CONCATENATE('rotation(W501D5)'!V$12,'rotation(W501D5)'!V$13,'rotation(W501D5)'!V$14))</f>
        <v> </v>
      </c>
    </row>
    <row r="10" customFormat="false" ht="12.75" hidden="false" customHeight="false" outlineLevel="0" collapsed="false">
      <c r="A10" s="759" t="s">
        <v>1357</v>
      </c>
      <c r="B10" s="760"/>
      <c r="C10" s="760"/>
      <c r="D10" s="760" t="n">
        <f aca="false">'rotation(W501D5)'!C8*'GTDB(W501D5)'!$C12+'rotation(W501D5)'!C9*'GTDB(W501D5)'!$C13+'rotation(W501D5)'!C10*'GTDB(W501D5)'!$C14</f>
        <v>0</v>
      </c>
      <c r="E10" s="760" t="n">
        <f aca="false">'rotation(W501D5)'!D8*'GTDB(W501D5)'!$C12+'rotation(W501D5)'!D9*'GTDB(W501D5)'!$C13+'rotation(W501D5)'!D10*'GTDB(W501D5)'!$C14</f>
        <v>0</v>
      </c>
      <c r="F10" s="760" t="n">
        <f aca="false">'rotation(W501D5)'!E8*'GTDB(W501D5)'!$C12+'rotation(W501D5)'!E9*'GTDB(W501D5)'!$C13+'rotation(W501D5)'!E10*'GTDB(W501D5)'!$C14</f>
        <v>0</v>
      </c>
      <c r="G10" s="760" t="n">
        <f aca="false">'rotation(W501D5)'!F8*'GTDB(W501D5)'!$C12+'rotation(W501D5)'!F9*'GTDB(W501D5)'!$C13+'rotation(W501D5)'!F10*'GTDB(W501D5)'!$C14</f>
        <v>0</v>
      </c>
      <c r="H10" s="760" t="n">
        <f aca="false">'rotation(W501D5)'!G8*'GTDB(W501D5)'!$C12+'rotation(W501D5)'!G9*'GTDB(W501D5)'!$C13+'rotation(W501D5)'!G10*'GTDB(W501D5)'!$C14</f>
        <v>0</v>
      </c>
      <c r="I10" s="760" t="n">
        <f aca="false">'rotation(W501D5)'!H8*'GTDB(W501D5)'!$C12+'rotation(W501D5)'!H9*'GTDB(W501D5)'!$C13+'rotation(W501D5)'!H10*'GTDB(W501D5)'!$C14</f>
        <v>0</v>
      </c>
      <c r="J10" s="760" t="n">
        <f aca="false">'rotation(W501D5)'!I8*'GTDB(W501D5)'!$C12+'rotation(W501D5)'!I9*'GTDB(W501D5)'!$C13+'rotation(W501D5)'!I10*'GTDB(W501D5)'!$C14</f>
        <v>0</v>
      </c>
      <c r="K10" s="760" t="n">
        <f aca="false">'rotation(W501D5)'!J8*'GTDB(W501D5)'!$C12+'rotation(W501D5)'!J9*'GTDB(W501D5)'!$C13+'rotation(W501D5)'!J10*'GTDB(W501D5)'!$C14</f>
        <v>0</v>
      </c>
      <c r="L10" s="760" t="n">
        <f aca="false">'rotation(W501D5)'!K8*'GTDB(W501D5)'!$C12+'rotation(W501D5)'!K9*'GTDB(W501D5)'!$C13+'rotation(W501D5)'!K10*'GTDB(W501D5)'!$C14</f>
        <v>0</v>
      </c>
      <c r="M10" s="760" t="n">
        <f aca="false">'rotation(W501D5)'!L8*'GTDB(W501D5)'!$C12+'rotation(W501D5)'!L9*'GTDB(W501D5)'!$C13+'rotation(W501D5)'!L10*'GTDB(W501D5)'!$C14</f>
        <v>0</v>
      </c>
      <c r="N10" s="760" t="n">
        <f aca="false">'rotation(W501D5)'!M8*'GTDB(W501D5)'!$C12+'rotation(W501D5)'!M9*'GTDB(W501D5)'!$C13+'rotation(W501D5)'!M10*'GTDB(W501D5)'!$C14</f>
        <v>0</v>
      </c>
      <c r="O10" s="760" t="n">
        <f aca="false">'rotation(W501D5)'!N8*'GTDB(W501D5)'!$C12+'rotation(W501D5)'!N9*'GTDB(W501D5)'!$C13+'rotation(W501D5)'!N10*'GTDB(W501D5)'!$C14</f>
        <v>0</v>
      </c>
      <c r="P10" s="760" t="n">
        <f aca="false">'rotation(W501D5)'!O8*'GTDB(W501D5)'!$C12+'rotation(W501D5)'!O9*'GTDB(W501D5)'!$C13+'rotation(W501D5)'!O10*'GTDB(W501D5)'!$C14</f>
        <v>0</v>
      </c>
      <c r="Q10" s="760" t="n">
        <f aca="false">'rotation(W501D5)'!P8*'GTDB(W501D5)'!$C12+'rotation(W501D5)'!P9*'GTDB(W501D5)'!$C13+'rotation(W501D5)'!P10*'GTDB(W501D5)'!$C14</f>
        <v>0</v>
      </c>
      <c r="R10" s="760" t="n">
        <f aca="false">'rotation(W501D5)'!Q8*'GTDB(W501D5)'!$C12+'rotation(W501D5)'!Q9*'GTDB(W501D5)'!$C13+'rotation(W501D5)'!Q10*'GTDB(W501D5)'!$C14</f>
        <v>0</v>
      </c>
      <c r="S10" s="760" t="n">
        <f aca="false">'rotation(W501D5)'!R8*'GTDB(W501D5)'!$C12+'rotation(W501D5)'!R9*'GTDB(W501D5)'!$C13+'rotation(W501D5)'!R10*'GTDB(W501D5)'!$C14</f>
        <v>0</v>
      </c>
      <c r="T10" s="760" t="n">
        <f aca="false">'rotation(W501D5)'!S8*'GTDB(W501D5)'!$C12+'rotation(W501D5)'!S9*'GTDB(W501D5)'!$C13+'rotation(W501D5)'!S10*'GTDB(W501D5)'!$C14</f>
        <v>0</v>
      </c>
      <c r="U10" s="760" t="n">
        <f aca="false">'rotation(W501D5)'!T8*'GTDB(W501D5)'!$C12+'rotation(W501D5)'!T9*'GTDB(W501D5)'!$C13+'rotation(W501D5)'!T10*'GTDB(W501D5)'!$C14</f>
        <v>0</v>
      </c>
      <c r="V10" s="760" t="n">
        <f aca="false">'rotation(W501D5)'!U8*'GTDB(W501D5)'!$C12+'rotation(W501D5)'!U9*'GTDB(W501D5)'!$C13+'rotation(W501D5)'!U10*'GTDB(W501D5)'!$C14</f>
        <v>0</v>
      </c>
      <c r="W10" s="760" t="n">
        <f aca="false">'rotation(W501D5)'!V8*'GTDB(W501D5)'!$C12+'rotation(W501D5)'!V9*'GTDB(W501D5)'!$C13+'rotation(W501D5)'!V10*'GTDB(W501D5)'!$C14</f>
        <v>0</v>
      </c>
      <c r="X10" s="762" t="n">
        <f aca="false">SUM(D10:W10)</f>
        <v>0</v>
      </c>
    </row>
    <row r="12" customFormat="false" ht="12.75" hidden="false" customHeight="false" outlineLevel="0" collapsed="false">
      <c r="A12" s="756" t="s">
        <v>1358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59" t="s">
        <v>1359</v>
      </c>
      <c r="B13" s="153" t="s">
        <v>1360</v>
      </c>
      <c r="C13" s="153" t="s">
        <v>1361</v>
      </c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</row>
    <row r="14" customFormat="false" ht="12.75" hidden="false" customHeight="false" outlineLevel="0" collapsed="false">
      <c r="A14" s="763" t="str">
        <f aca="false">'GTDB(W501D5)'!A17</f>
        <v>Baskets</v>
      </c>
      <c r="B14" s="763" t="n">
        <f aca="false">'GTDB(W501D5)'!E17</f>
        <v>259.854</v>
      </c>
      <c r="C14" s="763" t="str">
        <f aca="false">IF('rotation(W501D5)'!AA17=0," ",B14*'rotation(W501D5)'!AA17)</f>
        <v> </v>
      </c>
      <c r="D14" s="764" t="str">
        <f aca="false">IF('rotation(W501D5)'!C18=0," ",$B14*'rotation(W501D5)'!C18)</f>
        <v> </v>
      </c>
      <c r="E14" s="764" t="str">
        <f aca="false">IF('rotation(W501D5)'!D18=0," ",$B14*'rotation(W501D5)'!D18)</f>
        <v> </v>
      </c>
      <c r="F14" s="764" t="str">
        <f aca="false">IF('rotation(W501D5)'!E18=0," ",$B14*'rotation(W501D5)'!E18)</f>
        <v> </v>
      </c>
      <c r="G14" s="764" t="str">
        <f aca="false">IF('rotation(W501D5)'!F18=0," ",$B14*'rotation(W501D5)'!F18)</f>
        <v> </v>
      </c>
      <c r="H14" s="764" t="str">
        <f aca="false">IF('rotation(W501D5)'!G18=0," ",$B14*'rotation(W501D5)'!G18)</f>
        <v> </v>
      </c>
      <c r="I14" s="764" t="str">
        <f aca="false">IF('rotation(W501D5)'!H18=0," ",$B14*'rotation(W501D5)'!H18)</f>
        <v> </v>
      </c>
      <c r="J14" s="764" t="str">
        <f aca="false">IF('rotation(W501D5)'!I18=0," ",$B14*'rotation(W501D5)'!I18)</f>
        <v> </v>
      </c>
      <c r="K14" s="764" t="str">
        <f aca="false">IF('rotation(W501D5)'!J18=0," ",$B14*'rotation(W501D5)'!J18)</f>
        <v> </v>
      </c>
      <c r="L14" s="764" t="str">
        <f aca="false">IF('rotation(W501D5)'!K18=0," ",$B14*'rotation(W501D5)'!K18)</f>
        <v> </v>
      </c>
      <c r="M14" s="764" t="str">
        <f aca="false">IF('rotation(W501D5)'!L18=0," ",$B14*'rotation(W501D5)'!L18)</f>
        <v> </v>
      </c>
      <c r="N14" s="764" t="str">
        <f aca="false">IF('rotation(W501D5)'!M18=0," ",$B14*'rotation(W501D5)'!M18)</f>
        <v> </v>
      </c>
      <c r="O14" s="764" t="str">
        <f aca="false">IF('rotation(W501D5)'!N18=0," ",$B14*'rotation(W501D5)'!N18)</f>
        <v> </v>
      </c>
      <c r="P14" s="764" t="str">
        <f aca="false">IF('rotation(W501D5)'!O18=0," ",$B14*'rotation(W501D5)'!O18)</f>
        <v> </v>
      </c>
      <c r="Q14" s="764" t="str">
        <f aca="false">IF('rotation(W501D5)'!P18=0," ",$B14*'rotation(W501D5)'!P18)</f>
        <v> </v>
      </c>
      <c r="R14" s="764" t="str">
        <f aca="false">IF('rotation(W501D5)'!Q18=0," ",$B14*'rotation(W501D5)'!Q18)</f>
        <v> </v>
      </c>
      <c r="S14" s="764" t="str">
        <f aca="false">IF('rotation(W501D5)'!R18=0," ",$B14*'rotation(W501D5)'!R18)</f>
        <v> </v>
      </c>
      <c r="T14" s="764" t="str">
        <f aca="false">IF('rotation(W501D5)'!S18=0," ",$B14*'rotation(W501D5)'!S18)</f>
        <v> </v>
      </c>
      <c r="U14" s="764" t="str">
        <f aca="false">IF('rotation(W501D5)'!T18=0," ",$B14*'rotation(W501D5)'!T18)</f>
        <v> </v>
      </c>
      <c r="V14" s="764" t="str">
        <f aca="false">IF('rotation(W501D5)'!U18=0," ",$B14*'rotation(W501D5)'!U18)</f>
        <v> </v>
      </c>
      <c r="W14" s="764" t="str">
        <f aca="false">IF('rotation(W501D5)'!V18=0," ",$B14*'rotation(W501D5)'!V18)</f>
        <v> </v>
      </c>
      <c r="X14" s="666" t="n">
        <f aca="false">SUM(D14:W14)</f>
        <v>0</v>
      </c>
    </row>
    <row r="15" customFormat="false" ht="12.75" hidden="false" customHeight="false" outlineLevel="0" collapsed="false">
      <c r="A15" s="763" t="str">
        <f aca="false">'GTDB(W501D5)'!A18</f>
        <v>Transition Pieces</v>
      </c>
      <c r="B15" s="763" t="n">
        <f aca="false">'GTDB(W501D5)'!E18</f>
        <v>335.468</v>
      </c>
      <c r="C15" s="763" t="str">
        <f aca="false">IF('rotation(W501D5)'!AA21=0," ",B15*'rotation(W501D5)'!AA21)</f>
        <v> </v>
      </c>
      <c r="D15" s="764" t="str">
        <f aca="false">IF('rotation(W501D5)'!C22=0," ",$B15*'rotation(W501D5)'!C22)</f>
        <v> </v>
      </c>
      <c r="E15" s="764" t="str">
        <f aca="false">IF('rotation(W501D5)'!D22=0," ",$B15*'rotation(W501D5)'!D22)</f>
        <v> </v>
      </c>
      <c r="F15" s="764" t="str">
        <f aca="false">IF('rotation(W501D5)'!E22=0," ",$B15*'rotation(W501D5)'!E22)</f>
        <v> </v>
      </c>
      <c r="G15" s="764" t="str">
        <f aca="false">IF('rotation(W501D5)'!F22=0," ",$B15*'rotation(W501D5)'!F22)</f>
        <v> </v>
      </c>
      <c r="H15" s="764" t="str">
        <f aca="false">IF('rotation(W501D5)'!G22=0," ",$B15*'rotation(W501D5)'!G22)</f>
        <v> </v>
      </c>
      <c r="I15" s="764" t="str">
        <f aca="false">IF('rotation(W501D5)'!H22=0," ",$B15*'rotation(W501D5)'!H22)</f>
        <v> </v>
      </c>
      <c r="J15" s="764" t="str">
        <f aca="false">IF('rotation(W501D5)'!I22=0," ",$B15*'rotation(W501D5)'!I22)</f>
        <v> </v>
      </c>
      <c r="K15" s="764" t="str">
        <f aca="false">IF('rotation(W501D5)'!J22=0," ",$B15*'rotation(W501D5)'!J22)</f>
        <v> </v>
      </c>
      <c r="L15" s="764" t="str">
        <f aca="false">IF('rotation(W501D5)'!K22=0," ",$B15*'rotation(W501D5)'!K22)</f>
        <v> </v>
      </c>
      <c r="M15" s="764" t="str">
        <f aca="false">IF('rotation(W501D5)'!L22=0," ",$B15*'rotation(W501D5)'!L22)</f>
        <v> </v>
      </c>
      <c r="N15" s="764" t="str">
        <f aca="false">IF('rotation(W501D5)'!M22=0," ",$B15*'rotation(W501D5)'!M22)</f>
        <v> </v>
      </c>
      <c r="O15" s="764" t="str">
        <f aca="false">IF('rotation(W501D5)'!N22=0," ",$B15*'rotation(W501D5)'!N22)</f>
        <v> </v>
      </c>
      <c r="P15" s="764" t="str">
        <f aca="false">IF('rotation(W501D5)'!O22=0," ",$B15*'rotation(W501D5)'!O22)</f>
        <v> </v>
      </c>
      <c r="Q15" s="764" t="str">
        <f aca="false">IF('rotation(W501D5)'!P22=0," ",$B15*'rotation(W501D5)'!P22)</f>
        <v> </v>
      </c>
      <c r="R15" s="764" t="str">
        <f aca="false">IF('rotation(W501D5)'!Q22=0," ",$B15*'rotation(W501D5)'!Q22)</f>
        <v> </v>
      </c>
      <c r="S15" s="764" t="str">
        <f aca="false">IF('rotation(W501D5)'!R22=0," ",$B15*'rotation(W501D5)'!R22)</f>
        <v> </v>
      </c>
      <c r="T15" s="764" t="str">
        <f aca="false">IF('rotation(W501D5)'!S22=0," ",$B15*'rotation(W501D5)'!S22)</f>
        <v> </v>
      </c>
      <c r="U15" s="764" t="str">
        <f aca="false">IF('rotation(W501D5)'!T22=0," ",$B15*'rotation(W501D5)'!T22)</f>
        <v> </v>
      </c>
      <c r="V15" s="764" t="str">
        <f aca="false">IF('rotation(W501D5)'!U22=0," ",$B15*'rotation(W501D5)'!U22)</f>
        <v> </v>
      </c>
      <c r="W15" s="764" t="str">
        <f aca="false">IF('rotation(W501D5)'!V22=0," ",$B15*'rotation(W501D5)'!V22)</f>
        <v> </v>
      </c>
      <c r="X15" s="666" t="n">
        <f aca="false">SUM(D15:W15)</f>
        <v>0</v>
      </c>
    </row>
    <row r="16" customFormat="false" ht="12.75" hidden="false" customHeight="false" outlineLevel="0" collapsed="false">
      <c r="A16" s="763" t="str">
        <f aca="false">'GTDB(W501D5)'!A19</f>
        <v>Transition Seals</v>
      </c>
      <c r="B16" s="763" t="n">
        <f aca="false">'GTDB(W501D5)'!E19</f>
        <v>48.174</v>
      </c>
      <c r="C16" s="763" t="str">
        <f aca="false">IF('rotation(W501D5)'!AA25=0," ",B16*'rotation(W501D5)'!AA25)</f>
        <v> </v>
      </c>
      <c r="D16" s="764" t="str">
        <f aca="false">IF('rotation(W501D5)'!C26=0," ",$B16*'rotation(W501D5)'!C26)</f>
        <v> </v>
      </c>
      <c r="E16" s="764" t="str">
        <f aca="false">IF('rotation(W501D5)'!D26=0," ",$B16*'rotation(W501D5)'!D26)</f>
        <v> </v>
      </c>
      <c r="F16" s="764" t="str">
        <f aca="false">IF('rotation(W501D5)'!E26=0," ",$B16*'rotation(W501D5)'!E26)</f>
        <v> </v>
      </c>
      <c r="G16" s="764" t="str">
        <f aca="false">IF('rotation(W501D5)'!F26=0," ",$B16*'rotation(W501D5)'!F26)</f>
        <v> </v>
      </c>
      <c r="H16" s="764" t="str">
        <f aca="false">IF('rotation(W501D5)'!G26=0," ",$B16*'rotation(W501D5)'!G26)</f>
        <v> </v>
      </c>
      <c r="I16" s="764" t="str">
        <f aca="false">IF('rotation(W501D5)'!H26=0," ",$B16*'rotation(W501D5)'!H26)</f>
        <v> </v>
      </c>
      <c r="J16" s="764" t="str">
        <f aca="false">IF('rotation(W501D5)'!I26=0," ",$B16*'rotation(W501D5)'!I26)</f>
        <v> </v>
      </c>
      <c r="K16" s="764" t="str">
        <f aca="false">IF('rotation(W501D5)'!J26=0," ",$B16*'rotation(W501D5)'!J26)</f>
        <v> </v>
      </c>
      <c r="L16" s="764" t="str">
        <f aca="false">IF('rotation(W501D5)'!K26=0," ",$B16*'rotation(W501D5)'!K26)</f>
        <v> </v>
      </c>
      <c r="M16" s="764" t="str">
        <f aca="false">IF('rotation(W501D5)'!L26=0," ",$B16*'rotation(W501D5)'!L26)</f>
        <v> </v>
      </c>
      <c r="N16" s="764" t="str">
        <f aca="false">IF('rotation(W501D5)'!M26=0," ",$B16*'rotation(W501D5)'!M26)</f>
        <v> </v>
      </c>
      <c r="O16" s="764" t="str">
        <f aca="false">IF('rotation(W501D5)'!N26=0," ",$B16*'rotation(W501D5)'!N26)</f>
        <v> </v>
      </c>
      <c r="P16" s="764" t="str">
        <f aca="false">IF('rotation(W501D5)'!O26=0," ",$B16*'rotation(W501D5)'!O26)</f>
        <v> </v>
      </c>
      <c r="Q16" s="764" t="str">
        <f aca="false">IF('rotation(W501D5)'!P26=0," ",$B16*'rotation(W501D5)'!P26)</f>
        <v> </v>
      </c>
      <c r="R16" s="764" t="str">
        <f aca="false">IF('rotation(W501D5)'!Q26=0," ",$B16*'rotation(W501D5)'!Q26)</f>
        <v> </v>
      </c>
      <c r="S16" s="764" t="str">
        <f aca="false">IF('rotation(W501D5)'!R26=0," ",$B16*'rotation(W501D5)'!R26)</f>
        <v> </v>
      </c>
      <c r="T16" s="764" t="str">
        <f aca="false">IF('rotation(W501D5)'!S26=0," ",$B16*'rotation(W501D5)'!S26)</f>
        <v> </v>
      </c>
      <c r="U16" s="764" t="str">
        <f aca="false">IF('rotation(W501D5)'!T26=0," ",$B16*'rotation(W501D5)'!T26)</f>
        <v> </v>
      </c>
      <c r="V16" s="764" t="str">
        <f aca="false">IF('rotation(W501D5)'!U26=0," ",$B16*'rotation(W501D5)'!U26)</f>
        <v> </v>
      </c>
      <c r="W16" s="764" t="str">
        <f aca="false">IF('rotation(W501D5)'!V26=0," ",$B16*'rotation(W501D5)'!V26)</f>
        <v> </v>
      </c>
      <c r="X16" s="666" t="n">
        <f aca="false">SUM(D16:W16)</f>
        <v>0</v>
      </c>
    </row>
    <row r="17" customFormat="false" ht="12.75" hidden="false" customHeight="false" outlineLevel="0" collapsed="false">
      <c r="A17" s="763" t="str">
        <f aca="false">'GTDB(W501D5)'!A20</f>
        <v>Fuel Nozzles</v>
      </c>
      <c r="B17" s="763" t="n">
        <f aca="false">'GTDB(W501D5)'!E20</f>
        <v>522.34</v>
      </c>
      <c r="C17" s="763" t="str">
        <f aca="false">IF('rotation(W501D5)'!AA29=0," ",B17*'rotation(W501D5)'!AA29)</f>
        <v> </v>
      </c>
      <c r="D17" s="764" t="str">
        <f aca="false">IF('rotation(W501D5)'!C30=0," ",$B17*'rotation(W501D5)'!C30)</f>
        <v> </v>
      </c>
      <c r="E17" s="764" t="str">
        <f aca="false">IF('rotation(W501D5)'!D30=0," ",$B17*'rotation(W501D5)'!D30)</f>
        <v> </v>
      </c>
      <c r="F17" s="764" t="str">
        <f aca="false">IF('rotation(W501D5)'!E30=0," ",$B17*'rotation(W501D5)'!E30)</f>
        <v> </v>
      </c>
      <c r="G17" s="764" t="str">
        <f aca="false">IF('rotation(W501D5)'!F30=0," ",$B17*'rotation(W501D5)'!F30)</f>
        <v> </v>
      </c>
      <c r="H17" s="764" t="str">
        <f aca="false">IF('rotation(W501D5)'!G30=0," ",$B17*'rotation(W501D5)'!G30)</f>
        <v> </v>
      </c>
      <c r="I17" s="764" t="str">
        <f aca="false">IF('rotation(W501D5)'!H30=0," ",$B17*'rotation(W501D5)'!H30)</f>
        <v> </v>
      </c>
      <c r="J17" s="764" t="str">
        <f aca="false">IF('rotation(W501D5)'!I30=0," ",$B17*'rotation(W501D5)'!I30)</f>
        <v> </v>
      </c>
      <c r="K17" s="764" t="str">
        <f aca="false">IF('rotation(W501D5)'!J30=0," ",$B17*'rotation(W501D5)'!J30)</f>
        <v> </v>
      </c>
      <c r="L17" s="764" t="str">
        <f aca="false">IF('rotation(W501D5)'!K30=0," ",$B17*'rotation(W501D5)'!K30)</f>
        <v> </v>
      </c>
      <c r="M17" s="764" t="str">
        <f aca="false">IF('rotation(W501D5)'!L30=0," ",$B17*'rotation(W501D5)'!L30)</f>
        <v> </v>
      </c>
      <c r="N17" s="764" t="str">
        <f aca="false">IF('rotation(W501D5)'!M30=0," ",$B17*'rotation(W501D5)'!M30)</f>
        <v> </v>
      </c>
      <c r="O17" s="764" t="str">
        <f aca="false">IF('rotation(W501D5)'!N30=0," ",$B17*'rotation(W501D5)'!N30)</f>
        <v> </v>
      </c>
      <c r="P17" s="764" t="str">
        <f aca="false">IF('rotation(W501D5)'!O30=0," ",$B17*'rotation(W501D5)'!O30)</f>
        <v> </v>
      </c>
      <c r="Q17" s="764" t="str">
        <f aca="false">IF('rotation(W501D5)'!P30=0," ",$B17*'rotation(W501D5)'!P30)</f>
        <v> </v>
      </c>
      <c r="R17" s="764" t="str">
        <f aca="false">IF('rotation(W501D5)'!Q30=0," ",$B17*'rotation(W501D5)'!Q30)</f>
        <v> </v>
      </c>
      <c r="S17" s="764" t="str">
        <f aca="false">IF('rotation(W501D5)'!R30=0," ",$B17*'rotation(W501D5)'!R30)</f>
        <v> </v>
      </c>
      <c r="T17" s="764" t="str">
        <f aca="false">IF('rotation(W501D5)'!S30=0," ",$B17*'rotation(W501D5)'!S30)</f>
        <v> </v>
      </c>
      <c r="U17" s="764" t="str">
        <f aca="false">IF('rotation(W501D5)'!T30=0," ",$B17*'rotation(W501D5)'!T30)</f>
        <v> </v>
      </c>
      <c r="V17" s="764" t="str">
        <f aca="false">IF('rotation(W501D5)'!U30=0," ",$B17*'rotation(W501D5)'!U30)</f>
        <v> </v>
      </c>
      <c r="W17" s="764" t="str">
        <f aca="false">IF('rotation(W501D5)'!V30=0," ",$B17*'rotation(W501D5)'!V30)</f>
        <v> </v>
      </c>
      <c r="X17" s="666" t="n">
        <f aca="false">SUM(D17:W17)</f>
        <v>0</v>
      </c>
    </row>
    <row r="18" customFormat="false" ht="12.75" hidden="false" customHeight="false" outlineLevel="0" collapsed="false">
      <c r="A18" s="763" t="str">
        <f aca="false">'GTDB(W501D5)'!A21</f>
        <v>Clamshells</v>
      </c>
      <c r="B18" s="763" t="n">
        <f aca="false">'GTDB(W501D5)'!E21</f>
        <v>92.4</v>
      </c>
      <c r="C18" s="763" t="str">
        <f aca="false">IF('rotation(W501D5)'!AA33=0," ",B18*'rotation(W501D5)'!AA33)</f>
        <v> </v>
      </c>
      <c r="D18" s="764" t="str">
        <f aca="false">IF('rotation(W501D5)'!C34=0," ",$B18*'rotation(W501D5)'!C34)</f>
        <v> </v>
      </c>
      <c r="E18" s="764" t="str">
        <f aca="false">IF('rotation(W501D5)'!D34=0," ",$B18*'rotation(W501D5)'!D34)</f>
        <v> </v>
      </c>
      <c r="F18" s="764" t="str">
        <f aca="false">IF('rotation(W501D5)'!E34=0," ",$B18*'rotation(W501D5)'!E34)</f>
        <v> </v>
      </c>
      <c r="G18" s="764" t="str">
        <f aca="false">IF('rotation(W501D5)'!F34=0," ",$B18*'rotation(W501D5)'!F34)</f>
        <v> </v>
      </c>
      <c r="H18" s="764" t="str">
        <f aca="false">IF('rotation(W501D5)'!G34=0," ",$B18*'rotation(W501D5)'!G34)</f>
        <v> </v>
      </c>
      <c r="I18" s="764" t="str">
        <f aca="false">IF('rotation(W501D5)'!H34=0," ",$B18*'rotation(W501D5)'!H34)</f>
        <v> </v>
      </c>
      <c r="J18" s="764" t="str">
        <f aca="false">IF('rotation(W501D5)'!I34=0," ",$B18*'rotation(W501D5)'!I34)</f>
        <v> </v>
      </c>
      <c r="K18" s="764" t="str">
        <f aca="false">IF('rotation(W501D5)'!J34=0," ",$B18*'rotation(W501D5)'!J34)</f>
        <v> </v>
      </c>
      <c r="L18" s="764" t="str">
        <f aca="false">IF('rotation(W501D5)'!K34=0," ",$B18*'rotation(W501D5)'!K34)</f>
        <v> </v>
      </c>
      <c r="M18" s="764" t="str">
        <f aca="false">IF('rotation(W501D5)'!L34=0," ",$B18*'rotation(W501D5)'!L34)</f>
        <v> </v>
      </c>
      <c r="N18" s="764" t="str">
        <f aca="false">IF('rotation(W501D5)'!M34=0," ",$B18*'rotation(W501D5)'!M34)</f>
        <v> </v>
      </c>
      <c r="O18" s="764" t="str">
        <f aca="false">IF('rotation(W501D5)'!N34=0," ",$B18*'rotation(W501D5)'!N34)</f>
        <v> </v>
      </c>
      <c r="P18" s="764" t="str">
        <f aca="false">IF('rotation(W501D5)'!O34=0," ",$B18*'rotation(W501D5)'!O34)</f>
        <v> </v>
      </c>
      <c r="Q18" s="764" t="str">
        <f aca="false">IF('rotation(W501D5)'!P34=0," ",$B18*'rotation(W501D5)'!P34)</f>
        <v> </v>
      </c>
      <c r="R18" s="764" t="str">
        <f aca="false">IF('rotation(W501D5)'!Q34=0," ",$B18*'rotation(W501D5)'!Q34)</f>
        <v> </v>
      </c>
      <c r="S18" s="764" t="str">
        <f aca="false">IF('rotation(W501D5)'!R34=0," ",$B18*'rotation(W501D5)'!R34)</f>
        <v> </v>
      </c>
      <c r="T18" s="764" t="str">
        <f aca="false">IF('rotation(W501D5)'!S34=0," ",$B18*'rotation(W501D5)'!S34)</f>
        <v> </v>
      </c>
      <c r="U18" s="764" t="str">
        <f aca="false">IF('rotation(W501D5)'!T34=0," ",$B18*'rotation(W501D5)'!T34)</f>
        <v> </v>
      </c>
      <c r="V18" s="764" t="str">
        <f aca="false">IF('rotation(W501D5)'!U34=0," ",$B18*'rotation(W501D5)'!U34)</f>
        <v> </v>
      </c>
      <c r="W18" s="764" t="str">
        <f aca="false">IF('rotation(W501D5)'!V34=0," ",$B18*'rotation(W501D5)'!V34)</f>
        <v> </v>
      </c>
      <c r="X18" s="666" t="n">
        <f aca="false">SUM(D18:W18)</f>
        <v>0</v>
      </c>
    </row>
    <row r="19" customFormat="false" ht="12.75" hidden="false" customHeight="false" outlineLevel="0" collapsed="false">
      <c r="A19" s="763" t="str">
        <f aca="false">'GTDB(W501D5)'!A22</f>
        <v>Row 1 Blades</v>
      </c>
      <c r="B19" s="763" t="n">
        <f aca="false">'GTDB(W501D5)'!E22</f>
        <v>459.675</v>
      </c>
      <c r="C19" s="763" t="str">
        <f aca="false">IF('rotation(W501D5)'!AA37=0," ",B19*'rotation(W501D5)'!AA37)</f>
        <v> </v>
      </c>
      <c r="D19" s="764" t="str">
        <f aca="false">IF('rotation(W501D5)'!C38=0," ",$B19*'rotation(W501D5)'!C38)</f>
        <v> </v>
      </c>
      <c r="E19" s="764" t="str">
        <f aca="false">IF('rotation(W501D5)'!D38=0," ",$B19*'rotation(W501D5)'!D38)</f>
        <v> </v>
      </c>
      <c r="F19" s="764" t="str">
        <f aca="false">IF('rotation(W501D5)'!E38=0," ",$B19*'rotation(W501D5)'!E38)</f>
        <v> </v>
      </c>
      <c r="G19" s="764" t="str">
        <f aca="false">IF('rotation(W501D5)'!F38=0," ",$B19*'rotation(W501D5)'!F38)</f>
        <v> </v>
      </c>
      <c r="H19" s="764" t="str">
        <f aca="false">IF('rotation(W501D5)'!G38=0," ",$B19*'rotation(W501D5)'!G38)</f>
        <v> </v>
      </c>
      <c r="I19" s="764" t="str">
        <f aca="false">IF('rotation(W501D5)'!H38=0," ",$B19*'rotation(W501D5)'!H38)</f>
        <v> </v>
      </c>
      <c r="J19" s="764" t="str">
        <f aca="false">IF('rotation(W501D5)'!I38=0," ",$B19*'rotation(W501D5)'!I38)</f>
        <v> </v>
      </c>
      <c r="K19" s="764" t="str">
        <f aca="false">IF('rotation(W501D5)'!J38=0," ",$B19*'rotation(W501D5)'!J38)</f>
        <v> </v>
      </c>
      <c r="L19" s="764" t="str">
        <f aca="false">IF('rotation(W501D5)'!K38=0," ",$B19*'rotation(W501D5)'!K38)</f>
        <v> </v>
      </c>
      <c r="M19" s="764" t="str">
        <f aca="false">IF('rotation(W501D5)'!L38=0," ",$B19*'rotation(W501D5)'!L38)</f>
        <v> </v>
      </c>
      <c r="N19" s="764" t="str">
        <f aca="false">IF('rotation(W501D5)'!M38=0," ",$B19*'rotation(W501D5)'!M38)</f>
        <v> </v>
      </c>
      <c r="O19" s="764" t="str">
        <f aca="false">IF('rotation(W501D5)'!N38=0," ",$B19*'rotation(W501D5)'!N38)</f>
        <v> </v>
      </c>
      <c r="P19" s="764" t="str">
        <f aca="false">IF('rotation(W501D5)'!O38=0," ",$B19*'rotation(W501D5)'!O38)</f>
        <v> </v>
      </c>
      <c r="Q19" s="764" t="str">
        <f aca="false">IF('rotation(W501D5)'!P38=0," ",$B19*'rotation(W501D5)'!P38)</f>
        <v> </v>
      </c>
      <c r="R19" s="764" t="str">
        <f aca="false">IF('rotation(W501D5)'!Q38=0," ",$B19*'rotation(W501D5)'!Q38)</f>
        <v> </v>
      </c>
      <c r="S19" s="764" t="str">
        <f aca="false">IF('rotation(W501D5)'!R38=0," ",$B19*'rotation(W501D5)'!R38)</f>
        <v> </v>
      </c>
      <c r="T19" s="764" t="str">
        <f aca="false">IF('rotation(W501D5)'!S38=0," ",$B19*'rotation(W501D5)'!S38)</f>
        <v> </v>
      </c>
      <c r="U19" s="764" t="str">
        <f aca="false">IF('rotation(W501D5)'!T38=0," ",$B19*'rotation(W501D5)'!T38)</f>
        <v> </v>
      </c>
      <c r="V19" s="764" t="str">
        <f aca="false">IF('rotation(W501D5)'!U38=0," ",$B19*'rotation(W501D5)'!U38)</f>
        <v> </v>
      </c>
      <c r="W19" s="764" t="str">
        <f aca="false">IF('rotation(W501D5)'!V38=0," ",$B19*'rotation(W501D5)'!V38)</f>
        <v> </v>
      </c>
      <c r="X19" s="666" t="n">
        <f aca="false">SUM(D19:W19)</f>
        <v>0</v>
      </c>
    </row>
    <row r="20" customFormat="false" ht="12.75" hidden="false" customHeight="false" outlineLevel="0" collapsed="false">
      <c r="A20" s="763" t="str">
        <f aca="false">'GTDB(W501D5)'!A23</f>
        <v>Row 2 Blades</v>
      </c>
      <c r="B20" s="763" t="n">
        <f aca="false">'GTDB(W501D5)'!E23</f>
        <v>435.445</v>
      </c>
      <c r="C20" s="763" t="str">
        <f aca="false">IF('rotation(W501D5)'!AA41=0," ",B20*'rotation(W501D5)'!AA41)</f>
        <v> </v>
      </c>
      <c r="D20" s="764" t="str">
        <f aca="false">IF('rotation(W501D5)'!C42=0," ",$B20*'rotation(W501D5)'!C42)</f>
        <v> </v>
      </c>
      <c r="E20" s="764" t="str">
        <f aca="false">IF('rotation(W501D5)'!D42=0," ",$B20*'rotation(W501D5)'!D42)</f>
        <v> </v>
      </c>
      <c r="F20" s="764" t="str">
        <f aca="false">IF('rotation(W501D5)'!E42=0," ",$B20*'rotation(W501D5)'!E42)</f>
        <v> </v>
      </c>
      <c r="G20" s="764" t="str">
        <f aca="false">IF('rotation(W501D5)'!F42=0," ",$B20*'rotation(W501D5)'!F42)</f>
        <v> </v>
      </c>
      <c r="H20" s="764" t="str">
        <f aca="false">IF('rotation(W501D5)'!G42=0," ",$B20*'rotation(W501D5)'!G42)</f>
        <v> </v>
      </c>
      <c r="I20" s="764" t="str">
        <f aca="false">IF('rotation(W501D5)'!H42=0," ",$B20*'rotation(W501D5)'!H42)</f>
        <v> </v>
      </c>
      <c r="J20" s="764" t="str">
        <f aca="false">IF('rotation(W501D5)'!I42=0," ",$B20*'rotation(W501D5)'!I42)</f>
        <v> </v>
      </c>
      <c r="K20" s="764" t="str">
        <f aca="false">IF('rotation(W501D5)'!J42=0," ",$B20*'rotation(W501D5)'!J42)</f>
        <v> </v>
      </c>
      <c r="L20" s="764" t="str">
        <f aca="false">IF('rotation(W501D5)'!K42=0," ",$B20*'rotation(W501D5)'!K42)</f>
        <v> </v>
      </c>
      <c r="M20" s="764" t="str">
        <f aca="false">IF('rotation(W501D5)'!L42=0," ",$B20*'rotation(W501D5)'!L42)</f>
        <v> </v>
      </c>
      <c r="N20" s="764" t="str">
        <f aca="false">IF('rotation(W501D5)'!M42=0," ",$B20*'rotation(W501D5)'!M42)</f>
        <v> </v>
      </c>
      <c r="O20" s="764" t="str">
        <f aca="false">IF('rotation(W501D5)'!N42=0," ",$B20*'rotation(W501D5)'!N42)</f>
        <v> </v>
      </c>
      <c r="P20" s="764" t="str">
        <f aca="false">IF('rotation(W501D5)'!O42=0," ",$B20*'rotation(W501D5)'!O42)</f>
        <v> </v>
      </c>
      <c r="Q20" s="764" t="str">
        <f aca="false">IF('rotation(W501D5)'!P42=0," ",$B20*'rotation(W501D5)'!P42)</f>
        <v> </v>
      </c>
      <c r="R20" s="764" t="str">
        <f aca="false">IF('rotation(W501D5)'!Q42=0," ",$B20*'rotation(W501D5)'!Q42)</f>
        <v> </v>
      </c>
      <c r="S20" s="764" t="str">
        <f aca="false">IF('rotation(W501D5)'!R42=0," ",$B20*'rotation(W501D5)'!R42)</f>
        <v> </v>
      </c>
      <c r="T20" s="764" t="str">
        <f aca="false">IF('rotation(W501D5)'!S42=0," ",$B20*'rotation(W501D5)'!S42)</f>
        <v> </v>
      </c>
      <c r="U20" s="764" t="str">
        <f aca="false">IF('rotation(W501D5)'!T42=0," ",$B20*'rotation(W501D5)'!T42)</f>
        <v> </v>
      </c>
      <c r="V20" s="764" t="str">
        <f aca="false">IF('rotation(W501D5)'!U42=0," ",$B20*'rotation(W501D5)'!U42)</f>
        <v> </v>
      </c>
      <c r="W20" s="764" t="str">
        <f aca="false">IF('rotation(W501D5)'!V42=0," ",$B20*'rotation(W501D5)'!V42)</f>
        <v> </v>
      </c>
      <c r="X20" s="666" t="n">
        <f aca="false">SUM(D20:W20)</f>
        <v>0</v>
      </c>
    </row>
    <row r="21" customFormat="false" ht="12.75" hidden="false" customHeight="false" outlineLevel="0" collapsed="false">
      <c r="A21" s="763" t="str">
        <f aca="false">'GTDB(W501D5)'!A24</f>
        <v>Row 3 Blades</v>
      </c>
      <c r="B21" s="763" t="n">
        <f aca="false">'GTDB(W501D5)'!E24</f>
        <v>506.66</v>
      </c>
      <c r="C21" s="763" t="str">
        <f aca="false">IF('rotation(W501D5)'!AA45=0," ",B21*'rotation(W501D5)'!AA45)</f>
        <v> </v>
      </c>
      <c r="D21" s="764" t="str">
        <f aca="false">IF('rotation(W501D5)'!C46=0," ",$B21*'rotation(W501D5)'!C46)</f>
        <v> </v>
      </c>
      <c r="E21" s="764" t="str">
        <f aca="false">IF('rotation(W501D5)'!D46=0," ",$B21*'rotation(W501D5)'!D46)</f>
        <v> </v>
      </c>
      <c r="F21" s="764" t="str">
        <f aca="false">IF('rotation(W501D5)'!E46=0," ",$B21*'rotation(W501D5)'!E46)</f>
        <v> </v>
      </c>
      <c r="G21" s="764" t="str">
        <f aca="false">IF('rotation(W501D5)'!F46=0," ",$B21*'rotation(W501D5)'!F46)</f>
        <v> </v>
      </c>
      <c r="H21" s="764" t="str">
        <f aca="false">IF('rotation(W501D5)'!G46=0," ",$B21*'rotation(W501D5)'!G46)</f>
        <v> </v>
      </c>
      <c r="I21" s="764" t="str">
        <f aca="false">IF('rotation(W501D5)'!H46=0," ",$B21*'rotation(W501D5)'!H46)</f>
        <v> </v>
      </c>
      <c r="J21" s="764" t="str">
        <f aca="false">IF('rotation(W501D5)'!I46=0," ",$B21*'rotation(W501D5)'!I46)</f>
        <v> </v>
      </c>
      <c r="K21" s="764" t="str">
        <f aca="false">IF('rotation(W501D5)'!J46=0," ",$B21*'rotation(W501D5)'!J46)</f>
        <v> </v>
      </c>
      <c r="L21" s="764" t="str">
        <f aca="false">IF('rotation(W501D5)'!K46=0," ",$B21*'rotation(W501D5)'!K46)</f>
        <v> </v>
      </c>
      <c r="M21" s="764" t="str">
        <f aca="false">IF('rotation(W501D5)'!L46=0," ",$B21*'rotation(W501D5)'!L46)</f>
        <v> </v>
      </c>
      <c r="N21" s="764" t="str">
        <f aca="false">IF('rotation(W501D5)'!M46=0," ",$B21*'rotation(W501D5)'!M46)</f>
        <v> </v>
      </c>
      <c r="O21" s="764" t="str">
        <f aca="false">IF('rotation(W501D5)'!N46=0," ",$B21*'rotation(W501D5)'!N46)</f>
        <v> </v>
      </c>
      <c r="P21" s="764" t="str">
        <f aca="false">IF('rotation(W501D5)'!O46=0," ",$B21*'rotation(W501D5)'!O46)</f>
        <v> </v>
      </c>
      <c r="Q21" s="764" t="str">
        <f aca="false">IF('rotation(W501D5)'!P46=0," ",$B21*'rotation(W501D5)'!P46)</f>
        <v> </v>
      </c>
      <c r="R21" s="764" t="str">
        <f aca="false">IF('rotation(W501D5)'!Q46=0," ",$B21*'rotation(W501D5)'!Q46)</f>
        <v> </v>
      </c>
      <c r="S21" s="764" t="str">
        <f aca="false">IF('rotation(W501D5)'!R46=0," ",$B21*'rotation(W501D5)'!R46)</f>
        <v> </v>
      </c>
      <c r="T21" s="764" t="str">
        <f aca="false">IF('rotation(W501D5)'!S46=0," ",$B21*'rotation(W501D5)'!S46)</f>
        <v> </v>
      </c>
      <c r="U21" s="764" t="str">
        <f aca="false">IF('rotation(W501D5)'!T46=0," ",$B21*'rotation(W501D5)'!T46)</f>
        <v> </v>
      </c>
      <c r="V21" s="764" t="str">
        <f aca="false">IF('rotation(W501D5)'!U46=0," ",$B21*'rotation(W501D5)'!U46)</f>
        <v> </v>
      </c>
      <c r="W21" s="764" t="str">
        <f aca="false">IF('rotation(W501D5)'!V46=0," ",$B21*'rotation(W501D5)'!V46)</f>
        <v> </v>
      </c>
      <c r="X21" s="666" t="n">
        <f aca="false">SUM(D21:W21)</f>
        <v>0</v>
      </c>
    </row>
    <row r="22" customFormat="false" ht="12.75" hidden="false" customHeight="false" outlineLevel="0" collapsed="false">
      <c r="A22" s="763" t="str">
        <f aca="false">'GTDB(W501D5)'!A25</f>
        <v>Row 4 Blades</v>
      </c>
      <c r="B22" s="763" t="n">
        <f aca="false">'GTDB(W501D5)'!E25</f>
        <v>627.861</v>
      </c>
      <c r="C22" s="763" t="str">
        <f aca="false">IF('rotation(W501D5)'!AA49=0," ",B22*'rotation(W501D5)'!AA49)</f>
        <v> </v>
      </c>
      <c r="D22" s="764" t="str">
        <f aca="false">IF('rotation(W501D5)'!C50=0," ",$B22*'rotation(W501D5)'!C50)</f>
        <v> </v>
      </c>
      <c r="E22" s="764" t="str">
        <f aca="false">IF('rotation(W501D5)'!D50=0," ",$B22*'rotation(W501D5)'!D50)</f>
        <v> </v>
      </c>
      <c r="F22" s="764" t="str">
        <f aca="false">IF('rotation(W501D5)'!E50=0," ",$B22*'rotation(W501D5)'!E50)</f>
        <v> </v>
      </c>
      <c r="G22" s="764" t="str">
        <f aca="false">IF('rotation(W501D5)'!F50=0," ",$B22*'rotation(W501D5)'!F50)</f>
        <v> </v>
      </c>
      <c r="H22" s="764" t="str">
        <f aca="false">IF('rotation(W501D5)'!G50=0," ",$B22*'rotation(W501D5)'!G50)</f>
        <v> </v>
      </c>
      <c r="I22" s="764" t="str">
        <f aca="false">IF('rotation(W501D5)'!H50=0," ",$B22*'rotation(W501D5)'!H50)</f>
        <v> </v>
      </c>
      <c r="J22" s="764" t="str">
        <f aca="false">IF('rotation(W501D5)'!I50=0," ",$B22*'rotation(W501D5)'!I50)</f>
        <v> </v>
      </c>
      <c r="K22" s="764" t="str">
        <f aca="false">IF('rotation(W501D5)'!J50=0," ",$B22*'rotation(W501D5)'!J50)</f>
        <v> </v>
      </c>
      <c r="L22" s="764" t="str">
        <f aca="false">IF('rotation(W501D5)'!K50=0," ",$B22*'rotation(W501D5)'!K50)</f>
        <v> </v>
      </c>
      <c r="M22" s="764" t="str">
        <f aca="false">IF('rotation(W501D5)'!L50=0," ",$B22*'rotation(W501D5)'!L50)</f>
        <v> </v>
      </c>
      <c r="N22" s="764" t="str">
        <f aca="false">IF('rotation(W501D5)'!M50=0," ",$B22*'rotation(W501D5)'!M50)</f>
        <v> </v>
      </c>
      <c r="O22" s="764" t="str">
        <f aca="false">IF('rotation(W501D5)'!N50=0," ",$B22*'rotation(W501D5)'!N50)</f>
        <v> </v>
      </c>
      <c r="P22" s="764" t="str">
        <f aca="false">IF('rotation(W501D5)'!O50=0," ",$B22*'rotation(W501D5)'!O50)</f>
        <v> </v>
      </c>
      <c r="Q22" s="764" t="str">
        <f aca="false">IF('rotation(W501D5)'!P50=0," ",$B22*'rotation(W501D5)'!P50)</f>
        <v> </v>
      </c>
      <c r="R22" s="764" t="str">
        <f aca="false">IF('rotation(W501D5)'!Q50=0," ",$B22*'rotation(W501D5)'!Q50)</f>
        <v> </v>
      </c>
      <c r="S22" s="764" t="str">
        <f aca="false">IF('rotation(W501D5)'!R50=0," ",$B22*'rotation(W501D5)'!R50)</f>
        <v> </v>
      </c>
      <c r="T22" s="764" t="str">
        <f aca="false">IF('rotation(W501D5)'!S50=0," ",$B22*'rotation(W501D5)'!S50)</f>
        <v> </v>
      </c>
      <c r="U22" s="764" t="str">
        <f aca="false">IF('rotation(W501D5)'!T50=0," ",$B22*'rotation(W501D5)'!T50)</f>
        <v> </v>
      </c>
      <c r="V22" s="764" t="str">
        <f aca="false">IF('rotation(W501D5)'!U50=0," ",$B22*'rotation(W501D5)'!U50)</f>
        <v> </v>
      </c>
      <c r="W22" s="764" t="str">
        <f aca="false">IF('rotation(W501D5)'!V50=0," ",$B22*'rotation(W501D5)'!V50)</f>
        <v> </v>
      </c>
      <c r="X22" s="666" t="n">
        <f aca="false">SUM(D22:W22)</f>
        <v>0</v>
      </c>
    </row>
    <row r="23" customFormat="false" ht="12.75" hidden="false" customHeight="false" outlineLevel="0" collapsed="false">
      <c r="A23" s="763" t="str">
        <f aca="false">'GTDB(W501D5)'!A26</f>
        <v>Row 1 Vanes </v>
      </c>
      <c r="B23" s="763" t="n">
        <f aca="false">'GTDB(W501D5)'!E26</f>
        <v>785.952</v>
      </c>
      <c r="C23" s="763" t="str">
        <f aca="false">IF('rotation(W501D5)'!AA53=0," ",B23*'rotation(W501D5)'!AA53)</f>
        <v> </v>
      </c>
      <c r="D23" s="764" t="str">
        <f aca="false">IF('rotation(W501D5)'!C54=0," ",$B23*'rotation(W501D5)'!C54)</f>
        <v> </v>
      </c>
      <c r="E23" s="764" t="str">
        <f aca="false">IF('rotation(W501D5)'!D54=0," ",$B23*'rotation(W501D5)'!D54)</f>
        <v> </v>
      </c>
      <c r="F23" s="764" t="str">
        <f aca="false">IF('rotation(W501D5)'!E54=0," ",$B23*'rotation(W501D5)'!E54)</f>
        <v> </v>
      </c>
      <c r="G23" s="764" t="str">
        <f aca="false">IF('rotation(W501D5)'!F54=0," ",$B23*'rotation(W501D5)'!F54)</f>
        <v> </v>
      </c>
      <c r="H23" s="764" t="str">
        <f aca="false">IF('rotation(W501D5)'!G54=0," ",$B23*'rotation(W501D5)'!G54)</f>
        <v> </v>
      </c>
      <c r="I23" s="764" t="str">
        <f aca="false">IF('rotation(W501D5)'!H54=0," ",$B23*'rotation(W501D5)'!H54)</f>
        <v> </v>
      </c>
      <c r="J23" s="764" t="str">
        <f aca="false">IF('rotation(W501D5)'!I54=0," ",$B23*'rotation(W501D5)'!I54)</f>
        <v> </v>
      </c>
      <c r="K23" s="764" t="str">
        <f aca="false">IF('rotation(W501D5)'!J54=0," ",$B23*'rotation(W501D5)'!J54)</f>
        <v> </v>
      </c>
      <c r="L23" s="764" t="str">
        <f aca="false">IF('rotation(W501D5)'!K54=0," ",$B23*'rotation(W501D5)'!K54)</f>
        <v> </v>
      </c>
      <c r="M23" s="764" t="str">
        <f aca="false">IF('rotation(W501D5)'!L54=0," ",$B23*'rotation(W501D5)'!L54)</f>
        <v> </v>
      </c>
      <c r="N23" s="764" t="str">
        <f aca="false">IF('rotation(W501D5)'!M54=0," ",$B23*'rotation(W501D5)'!M54)</f>
        <v> </v>
      </c>
      <c r="O23" s="764" t="str">
        <f aca="false">IF('rotation(W501D5)'!N54=0," ",$B23*'rotation(W501D5)'!N54)</f>
        <v> </v>
      </c>
      <c r="P23" s="764" t="str">
        <f aca="false">IF('rotation(W501D5)'!O54=0," ",$B23*'rotation(W501D5)'!O54)</f>
        <v> </v>
      </c>
      <c r="Q23" s="764" t="str">
        <f aca="false">IF('rotation(W501D5)'!P54=0," ",$B23*'rotation(W501D5)'!P54)</f>
        <v> </v>
      </c>
      <c r="R23" s="764" t="str">
        <f aca="false">IF('rotation(W501D5)'!Q54=0," ",$B23*'rotation(W501D5)'!Q54)</f>
        <v> </v>
      </c>
      <c r="S23" s="764" t="str">
        <f aca="false">IF('rotation(W501D5)'!R54=0," ",$B23*'rotation(W501D5)'!R54)</f>
        <v> </v>
      </c>
      <c r="T23" s="764" t="str">
        <f aca="false">IF('rotation(W501D5)'!S54=0," ",$B23*'rotation(W501D5)'!S54)</f>
        <v> </v>
      </c>
      <c r="U23" s="764" t="str">
        <f aca="false">IF('rotation(W501D5)'!T54=0," ",$B23*'rotation(W501D5)'!T54)</f>
        <v> </v>
      </c>
      <c r="V23" s="764" t="str">
        <f aca="false">IF('rotation(W501D5)'!U54=0," ",$B23*'rotation(W501D5)'!U54)</f>
        <v> </v>
      </c>
      <c r="W23" s="764" t="str">
        <f aca="false">IF('rotation(W501D5)'!V54=0," ",$B23*'rotation(W501D5)'!V54)</f>
        <v> </v>
      </c>
      <c r="X23" s="666" t="n">
        <f aca="false">SUM(D23:W23)</f>
        <v>0</v>
      </c>
    </row>
    <row r="24" customFormat="false" ht="12.75" hidden="false" customHeight="false" outlineLevel="0" collapsed="false">
      <c r="A24" s="763" t="str">
        <f aca="false">'GTDB(W501D5)'!A27</f>
        <v>Row 2 Vanes</v>
      </c>
      <c r="B24" s="763" t="n">
        <f aca="false">'GTDB(W501D5)'!E27</f>
        <v>568.976</v>
      </c>
      <c r="C24" s="763" t="str">
        <f aca="false">IF('rotation(W501D5)'!AA57=0," ",B24*'rotation(W501D5)'!AA57)</f>
        <v> </v>
      </c>
      <c r="D24" s="764" t="str">
        <f aca="false">IF('rotation(W501D5)'!C58=0," ",$B24*'rotation(W501D5)'!C58)</f>
        <v> </v>
      </c>
      <c r="E24" s="764" t="str">
        <f aca="false">IF('rotation(W501D5)'!D58=0," ",$B24*'rotation(W501D5)'!D58)</f>
        <v> </v>
      </c>
      <c r="F24" s="764" t="str">
        <f aca="false">IF('rotation(W501D5)'!E58=0," ",$B24*'rotation(W501D5)'!E58)</f>
        <v> </v>
      </c>
      <c r="G24" s="764" t="str">
        <f aca="false">IF('rotation(W501D5)'!F58=0," ",$B24*'rotation(W501D5)'!F58)</f>
        <v> </v>
      </c>
      <c r="H24" s="764" t="str">
        <f aca="false">IF('rotation(W501D5)'!G58=0," ",$B24*'rotation(W501D5)'!G58)</f>
        <v> </v>
      </c>
      <c r="I24" s="764" t="str">
        <f aca="false">IF('rotation(W501D5)'!H58=0," ",$B24*'rotation(W501D5)'!H58)</f>
        <v> </v>
      </c>
      <c r="J24" s="764" t="str">
        <f aca="false">IF('rotation(W501D5)'!I58=0," ",$B24*'rotation(W501D5)'!I58)</f>
        <v> </v>
      </c>
      <c r="K24" s="764" t="str">
        <f aca="false">IF('rotation(W501D5)'!J58=0," ",$B24*'rotation(W501D5)'!J58)</f>
        <v> </v>
      </c>
      <c r="L24" s="764" t="str">
        <f aca="false">IF('rotation(W501D5)'!K58=0," ",$B24*'rotation(W501D5)'!K58)</f>
        <v> </v>
      </c>
      <c r="M24" s="764" t="str">
        <f aca="false">IF('rotation(W501D5)'!L58=0," ",$B24*'rotation(W501D5)'!L58)</f>
        <v> </v>
      </c>
      <c r="N24" s="764" t="str">
        <f aca="false">IF('rotation(W501D5)'!M58=0," ",$B24*'rotation(W501D5)'!M58)</f>
        <v> </v>
      </c>
      <c r="O24" s="764" t="str">
        <f aca="false">IF('rotation(W501D5)'!N58=0," ",$B24*'rotation(W501D5)'!N58)</f>
        <v> </v>
      </c>
      <c r="P24" s="764" t="str">
        <f aca="false">IF('rotation(W501D5)'!O58=0," ",$B24*'rotation(W501D5)'!O58)</f>
        <v> </v>
      </c>
      <c r="Q24" s="764" t="str">
        <f aca="false">IF('rotation(W501D5)'!P58=0," ",$B24*'rotation(W501D5)'!P58)</f>
        <v> </v>
      </c>
      <c r="R24" s="764" t="str">
        <f aca="false">IF('rotation(W501D5)'!Q58=0," ",$B24*'rotation(W501D5)'!Q58)</f>
        <v> </v>
      </c>
      <c r="S24" s="764" t="str">
        <f aca="false">IF('rotation(W501D5)'!R58=0," ",$B24*'rotation(W501D5)'!R58)</f>
        <v> </v>
      </c>
      <c r="T24" s="764" t="str">
        <f aca="false">IF('rotation(W501D5)'!S58=0," ",$B24*'rotation(W501D5)'!S58)</f>
        <v> </v>
      </c>
      <c r="U24" s="764" t="str">
        <f aca="false">IF('rotation(W501D5)'!T58=0," ",$B24*'rotation(W501D5)'!T58)</f>
        <v> </v>
      </c>
      <c r="V24" s="764" t="str">
        <f aca="false">IF('rotation(W501D5)'!U58=0," ",$B24*'rotation(W501D5)'!U58)</f>
        <v> </v>
      </c>
      <c r="W24" s="764" t="str">
        <f aca="false">IF('rotation(W501D5)'!V58=0," ",$B24*'rotation(W501D5)'!V58)</f>
        <v> </v>
      </c>
      <c r="X24" s="666" t="n">
        <f aca="false">SUM(D24:W24)</f>
        <v>0</v>
      </c>
    </row>
    <row r="25" customFormat="false" ht="12.75" hidden="false" customHeight="false" outlineLevel="0" collapsed="false">
      <c r="A25" s="763" t="str">
        <f aca="false">'GTDB(W501D5)'!A28</f>
        <v>Row 3 Vanes</v>
      </c>
      <c r="B25" s="763" t="n">
        <f aca="false">'GTDB(W501D5)'!E28</f>
        <v>619.22</v>
      </c>
      <c r="C25" s="763" t="str">
        <f aca="false">IF('rotation(W501D5)'!AA61=0," ",B25*'rotation(W501D5)'!AA61)</f>
        <v> </v>
      </c>
      <c r="D25" s="764" t="str">
        <f aca="false">IF('rotation(W501D5)'!C62=0," ",$B25*'rotation(W501D5)'!C62)</f>
        <v> </v>
      </c>
      <c r="E25" s="764" t="str">
        <f aca="false">IF('rotation(W501D5)'!D62=0," ",$B25*'rotation(W501D5)'!D62)</f>
        <v> </v>
      </c>
      <c r="F25" s="764" t="str">
        <f aca="false">IF('rotation(W501D5)'!E62=0," ",$B25*'rotation(W501D5)'!E62)</f>
        <v> </v>
      </c>
      <c r="G25" s="764" t="str">
        <f aca="false">IF('rotation(W501D5)'!F62=0," ",$B25*'rotation(W501D5)'!F62)</f>
        <v> </v>
      </c>
      <c r="H25" s="764" t="str">
        <f aca="false">IF('rotation(W501D5)'!G62=0," ",$B25*'rotation(W501D5)'!G62)</f>
        <v> </v>
      </c>
      <c r="I25" s="764" t="str">
        <f aca="false">IF('rotation(W501D5)'!H62=0," ",$B25*'rotation(W501D5)'!H62)</f>
        <v> </v>
      </c>
      <c r="J25" s="764" t="str">
        <f aca="false">IF('rotation(W501D5)'!I62=0," ",$B25*'rotation(W501D5)'!I62)</f>
        <v> </v>
      </c>
      <c r="K25" s="764" t="str">
        <f aca="false">IF('rotation(W501D5)'!J62=0," ",$B25*'rotation(W501D5)'!J62)</f>
        <v> </v>
      </c>
      <c r="L25" s="764" t="str">
        <f aca="false">IF('rotation(W501D5)'!K62=0," ",$B25*'rotation(W501D5)'!K62)</f>
        <v> </v>
      </c>
      <c r="M25" s="764" t="str">
        <f aca="false">IF('rotation(W501D5)'!L62=0," ",$B25*'rotation(W501D5)'!L62)</f>
        <v> </v>
      </c>
      <c r="N25" s="764" t="str">
        <f aca="false">IF('rotation(W501D5)'!M62=0," ",$B25*'rotation(W501D5)'!M62)</f>
        <v> </v>
      </c>
      <c r="O25" s="764" t="str">
        <f aca="false">IF('rotation(W501D5)'!N62=0," ",$B25*'rotation(W501D5)'!N62)</f>
        <v> </v>
      </c>
      <c r="P25" s="764" t="str">
        <f aca="false">IF('rotation(W501D5)'!O62=0," ",$B25*'rotation(W501D5)'!O62)</f>
        <v> </v>
      </c>
      <c r="Q25" s="764" t="str">
        <f aca="false">IF('rotation(W501D5)'!P62=0," ",$B25*'rotation(W501D5)'!P62)</f>
        <v> </v>
      </c>
      <c r="R25" s="764" t="str">
        <f aca="false">IF('rotation(W501D5)'!Q62=0," ",$B25*'rotation(W501D5)'!Q62)</f>
        <v> </v>
      </c>
      <c r="S25" s="764" t="str">
        <f aca="false">IF('rotation(W501D5)'!R62=0," ",$B25*'rotation(W501D5)'!R62)</f>
        <v> </v>
      </c>
      <c r="T25" s="764" t="str">
        <f aca="false">IF('rotation(W501D5)'!S62=0," ",$B25*'rotation(W501D5)'!S62)</f>
        <v> </v>
      </c>
      <c r="U25" s="764" t="str">
        <f aca="false">IF('rotation(W501D5)'!T62=0," ",$B25*'rotation(W501D5)'!T62)</f>
        <v> </v>
      </c>
      <c r="V25" s="764" t="str">
        <f aca="false">IF('rotation(W501D5)'!U62=0," ",$B25*'rotation(W501D5)'!U62)</f>
        <v> </v>
      </c>
      <c r="W25" s="764" t="str">
        <f aca="false">IF('rotation(W501D5)'!V62=0," ",$B25*'rotation(W501D5)'!V62)</f>
        <v> </v>
      </c>
      <c r="X25" s="666" t="n">
        <f aca="false">SUM(D25:W25)</f>
        <v>0</v>
      </c>
    </row>
    <row r="26" customFormat="false" ht="12.75" hidden="false" customHeight="false" outlineLevel="0" collapsed="false">
      <c r="A26" s="763" t="str">
        <f aca="false">'GTDB(W501D5)'!A29</f>
        <v>Row 4 Vanes</v>
      </c>
      <c r="B26" s="763" t="n">
        <f aca="false">'GTDB(W501D5)'!E29</f>
        <v>709.604</v>
      </c>
      <c r="C26" s="763" t="str">
        <f aca="false">IF('rotation(W501D5)'!AA65=0," ",B26*'rotation(W501D5)'!AA65)</f>
        <v> </v>
      </c>
      <c r="D26" s="764" t="str">
        <f aca="false">IF('rotation(W501D5)'!C66=0," ",$B26*'rotation(W501D5)'!C66)</f>
        <v> </v>
      </c>
      <c r="E26" s="764" t="str">
        <f aca="false">IF('rotation(W501D5)'!D66=0," ",$B26*'rotation(W501D5)'!D66)</f>
        <v> </v>
      </c>
      <c r="F26" s="764" t="str">
        <f aca="false">IF('rotation(W501D5)'!E66=0," ",$B26*'rotation(W501D5)'!E66)</f>
        <v> </v>
      </c>
      <c r="G26" s="764" t="str">
        <f aca="false">IF('rotation(W501D5)'!F66=0," ",$B26*'rotation(W501D5)'!F66)</f>
        <v> </v>
      </c>
      <c r="H26" s="764" t="str">
        <f aca="false">IF('rotation(W501D5)'!G66=0," ",$B26*'rotation(W501D5)'!G66)</f>
        <v> </v>
      </c>
      <c r="I26" s="764" t="str">
        <f aca="false">IF('rotation(W501D5)'!H66=0," ",$B26*'rotation(W501D5)'!H66)</f>
        <v> </v>
      </c>
      <c r="J26" s="764" t="str">
        <f aca="false">IF('rotation(W501D5)'!I66=0," ",$B26*'rotation(W501D5)'!I66)</f>
        <v> </v>
      </c>
      <c r="K26" s="764" t="str">
        <f aca="false">IF('rotation(W501D5)'!J66=0," ",$B26*'rotation(W501D5)'!J66)</f>
        <v> </v>
      </c>
      <c r="L26" s="764" t="str">
        <f aca="false">IF('rotation(W501D5)'!K66=0," ",$B26*'rotation(W501D5)'!K66)</f>
        <v> </v>
      </c>
      <c r="M26" s="764" t="str">
        <f aca="false">IF('rotation(W501D5)'!L66=0," ",$B26*'rotation(W501D5)'!L66)</f>
        <v> </v>
      </c>
      <c r="N26" s="764" t="str">
        <f aca="false">IF('rotation(W501D5)'!M66=0," ",$B26*'rotation(W501D5)'!M66)</f>
        <v> </v>
      </c>
      <c r="O26" s="764" t="str">
        <f aca="false">IF('rotation(W501D5)'!N66=0," ",$B26*'rotation(W501D5)'!N66)</f>
        <v> </v>
      </c>
      <c r="P26" s="764" t="str">
        <f aca="false">IF('rotation(W501D5)'!O66=0," ",$B26*'rotation(W501D5)'!O66)</f>
        <v> </v>
      </c>
      <c r="Q26" s="764" t="str">
        <f aca="false">IF('rotation(W501D5)'!P66=0," ",$B26*'rotation(W501D5)'!P66)</f>
        <v> </v>
      </c>
      <c r="R26" s="764" t="str">
        <f aca="false">IF('rotation(W501D5)'!Q66=0," ",$B26*'rotation(W501D5)'!Q66)</f>
        <v> </v>
      </c>
      <c r="S26" s="764" t="str">
        <f aca="false">IF('rotation(W501D5)'!R66=0," ",$B26*'rotation(W501D5)'!R66)</f>
        <v> </v>
      </c>
      <c r="T26" s="764" t="str">
        <f aca="false">IF('rotation(W501D5)'!S66=0," ",$B26*'rotation(W501D5)'!S66)</f>
        <v> </v>
      </c>
      <c r="U26" s="764" t="str">
        <f aca="false">IF('rotation(W501D5)'!T66=0," ",$B26*'rotation(W501D5)'!T66)</f>
        <v> </v>
      </c>
      <c r="V26" s="764" t="str">
        <f aca="false">IF('rotation(W501D5)'!U66=0," ",$B26*'rotation(W501D5)'!U66)</f>
        <v> </v>
      </c>
      <c r="W26" s="764" t="str">
        <f aca="false">IF('rotation(W501D5)'!V66=0," ",$B26*'rotation(W501D5)'!V66)</f>
        <v> </v>
      </c>
      <c r="X26" s="666" t="n">
        <f aca="false">SUM(D26:W26)</f>
        <v>0</v>
      </c>
    </row>
    <row r="27" customFormat="false" ht="12.75" hidden="false" customHeight="false" outlineLevel="0" collapsed="false">
      <c r="A27" s="763" t="str">
        <f aca="false">'GTDB(W501D5)'!A30</f>
        <v>Row 1 ring segments</v>
      </c>
      <c r="B27" s="763" t="n">
        <f aca="false">'GTDB(W501D5)'!E30</f>
        <v>106.368</v>
      </c>
      <c r="C27" s="763" t="str">
        <f aca="false">IF('rotation(W501D5)'!AA69=0," ",B27*'rotation(W501D5)'!AA69)</f>
        <v> </v>
      </c>
      <c r="D27" s="764" t="str">
        <f aca="false">IF('rotation(W501D5)'!C70=0," ",$B27*'rotation(W501D5)'!C70)</f>
        <v> </v>
      </c>
      <c r="E27" s="764" t="str">
        <f aca="false">IF('rotation(W501D5)'!D70=0," ",$B27*'rotation(W501D5)'!D70)</f>
        <v> </v>
      </c>
      <c r="F27" s="764" t="str">
        <f aca="false">IF('rotation(W501D5)'!E70=0," ",$B27*'rotation(W501D5)'!E70)</f>
        <v> </v>
      </c>
      <c r="G27" s="764" t="str">
        <f aca="false">IF('rotation(W501D5)'!F70=0," ",$B27*'rotation(W501D5)'!F70)</f>
        <v> </v>
      </c>
      <c r="H27" s="764" t="str">
        <f aca="false">IF('rotation(W501D5)'!G70=0," ",$B27*'rotation(W501D5)'!G70)</f>
        <v> </v>
      </c>
      <c r="I27" s="764" t="str">
        <f aca="false">IF('rotation(W501D5)'!H70=0," ",$B27*'rotation(W501D5)'!H70)</f>
        <v> </v>
      </c>
      <c r="J27" s="764" t="str">
        <f aca="false">IF('rotation(W501D5)'!I70=0," ",$B27*'rotation(W501D5)'!I70)</f>
        <v> </v>
      </c>
      <c r="K27" s="764" t="str">
        <f aca="false">IF('rotation(W501D5)'!J70=0," ",$B27*'rotation(W501D5)'!J70)</f>
        <v> </v>
      </c>
      <c r="L27" s="764" t="str">
        <f aca="false">IF('rotation(W501D5)'!K70=0," ",$B27*'rotation(W501D5)'!K70)</f>
        <v> </v>
      </c>
      <c r="M27" s="764" t="str">
        <f aca="false">IF('rotation(W501D5)'!L70=0," ",$B27*'rotation(W501D5)'!L70)</f>
        <v> </v>
      </c>
      <c r="N27" s="764" t="str">
        <f aca="false">IF('rotation(W501D5)'!M70=0," ",$B27*'rotation(W501D5)'!M70)</f>
        <v> </v>
      </c>
      <c r="O27" s="764" t="str">
        <f aca="false">IF('rotation(W501D5)'!N70=0," ",$B27*'rotation(W501D5)'!N70)</f>
        <v> </v>
      </c>
      <c r="P27" s="764" t="str">
        <f aca="false">IF('rotation(W501D5)'!O70=0," ",$B27*'rotation(W501D5)'!O70)</f>
        <v> </v>
      </c>
      <c r="Q27" s="764" t="str">
        <f aca="false">IF('rotation(W501D5)'!P70=0," ",$B27*'rotation(W501D5)'!P70)</f>
        <v> </v>
      </c>
      <c r="R27" s="764" t="str">
        <f aca="false">IF('rotation(W501D5)'!Q70=0," ",$B27*'rotation(W501D5)'!Q70)</f>
        <v> </v>
      </c>
      <c r="S27" s="764" t="str">
        <f aca="false">IF('rotation(W501D5)'!R70=0," ",$B27*'rotation(W501D5)'!R70)</f>
        <v> </v>
      </c>
      <c r="T27" s="764" t="str">
        <f aca="false">IF('rotation(W501D5)'!S70=0," ",$B27*'rotation(W501D5)'!S70)</f>
        <v> </v>
      </c>
      <c r="U27" s="764" t="str">
        <f aca="false">IF('rotation(W501D5)'!T70=0," ",$B27*'rotation(W501D5)'!T70)</f>
        <v> </v>
      </c>
      <c r="V27" s="764" t="str">
        <f aca="false">IF('rotation(W501D5)'!U70=0," ",$B27*'rotation(W501D5)'!U70)</f>
        <v> </v>
      </c>
      <c r="W27" s="764" t="str">
        <f aca="false">IF('rotation(W501D5)'!V70=0," ",$B27*'rotation(W501D5)'!V70)</f>
        <v> </v>
      </c>
      <c r="X27" s="666" t="n">
        <f aca="false">SUM(D27:W27)</f>
        <v>0</v>
      </c>
    </row>
    <row r="28" customFormat="false" ht="12.75" hidden="false" customHeight="false" outlineLevel="0" collapsed="false">
      <c r="A28" s="763" t="str">
        <f aca="false">'GTDB(W501D5)'!A31</f>
        <v>Row 2 ring segments</v>
      </c>
      <c r="B28" s="763" t="n">
        <f aca="false">'GTDB(W501D5)'!E31</f>
        <v>108.624</v>
      </c>
      <c r="C28" s="763" t="str">
        <f aca="false">IF('rotation(W501D5)'!AA73=0," ",B28*'rotation(W501D5)'!AA73)</f>
        <v> </v>
      </c>
      <c r="D28" s="764" t="str">
        <f aca="false">IF('rotation(W501D5)'!C74=0," ",$B28*'rotation(W501D5)'!C74)</f>
        <v> </v>
      </c>
      <c r="E28" s="764" t="str">
        <f aca="false">IF('rotation(W501D5)'!D74=0," ",$B28*'rotation(W501D5)'!D74)</f>
        <v> </v>
      </c>
      <c r="F28" s="764" t="str">
        <f aca="false">IF('rotation(W501D5)'!E74=0," ",$B28*'rotation(W501D5)'!E74)</f>
        <v> </v>
      </c>
      <c r="G28" s="764" t="str">
        <f aca="false">IF('rotation(W501D5)'!F74=0," ",$B28*'rotation(W501D5)'!F74)</f>
        <v> </v>
      </c>
      <c r="H28" s="764" t="str">
        <f aca="false">IF('rotation(W501D5)'!G74=0," ",$B28*'rotation(W501D5)'!G74)</f>
        <v> </v>
      </c>
      <c r="I28" s="764" t="str">
        <f aca="false">IF('rotation(W501D5)'!H74=0," ",$B28*'rotation(W501D5)'!H74)</f>
        <v> </v>
      </c>
      <c r="J28" s="764" t="str">
        <f aca="false">IF('rotation(W501D5)'!I74=0," ",$B28*'rotation(W501D5)'!I74)</f>
        <v> </v>
      </c>
      <c r="K28" s="764" t="str">
        <f aca="false">IF('rotation(W501D5)'!J74=0," ",$B28*'rotation(W501D5)'!J74)</f>
        <v> </v>
      </c>
      <c r="L28" s="764" t="str">
        <f aca="false">IF('rotation(W501D5)'!K74=0," ",$B28*'rotation(W501D5)'!K74)</f>
        <v> </v>
      </c>
      <c r="M28" s="764" t="str">
        <f aca="false">IF('rotation(W501D5)'!L74=0," ",$B28*'rotation(W501D5)'!L74)</f>
        <v> </v>
      </c>
      <c r="N28" s="764" t="str">
        <f aca="false">IF('rotation(W501D5)'!M74=0," ",$B28*'rotation(W501D5)'!M74)</f>
        <v> </v>
      </c>
      <c r="O28" s="764" t="str">
        <f aca="false">IF('rotation(W501D5)'!N74=0," ",$B28*'rotation(W501D5)'!N74)</f>
        <v> </v>
      </c>
      <c r="P28" s="764" t="str">
        <f aca="false">IF('rotation(W501D5)'!O74=0," ",$B28*'rotation(W501D5)'!O74)</f>
        <v> </v>
      </c>
      <c r="Q28" s="764" t="str">
        <f aca="false">IF('rotation(W501D5)'!P74=0," ",$B28*'rotation(W501D5)'!P74)</f>
        <v> </v>
      </c>
      <c r="R28" s="764" t="str">
        <f aca="false">IF('rotation(W501D5)'!Q74=0," ",$B28*'rotation(W501D5)'!Q74)</f>
        <v> </v>
      </c>
      <c r="S28" s="764" t="str">
        <f aca="false">IF('rotation(W501D5)'!R74=0," ",$B28*'rotation(W501D5)'!R74)</f>
        <v> </v>
      </c>
      <c r="T28" s="764" t="str">
        <f aca="false">IF('rotation(W501D5)'!S74=0," ",$B28*'rotation(W501D5)'!S74)</f>
        <v> </v>
      </c>
      <c r="U28" s="764" t="str">
        <f aca="false">IF('rotation(W501D5)'!T74=0," ",$B28*'rotation(W501D5)'!T74)</f>
        <v> </v>
      </c>
      <c r="V28" s="764" t="str">
        <f aca="false">IF('rotation(W501D5)'!U74=0," ",$B28*'rotation(W501D5)'!U74)</f>
        <v> </v>
      </c>
      <c r="W28" s="764" t="str">
        <f aca="false">IF('rotation(W501D5)'!V74=0," ",$B28*'rotation(W501D5)'!V74)</f>
        <v> </v>
      </c>
      <c r="X28" s="666" t="n">
        <f aca="false">SUM(D28:W28)</f>
        <v>0</v>
      </c>
    </row>
    <row r="29" customFormat="false" ht="12.75" hidden="false" customHeight="false" outlineLevel="0" collapsed="false">
      <c r="A29" s="763" t="str">
        <f aca="false">'GTDB(W501D5)'!A32</f>
        <v>Row 3 rings segments</v>
      </c>
      <c r="B29" s="763" t="n">
        <f aca="false">'GTDB(W501D5)'!E32</f>
        <v>64.74</v>
      </c>
      <c r="C29" s="763" t="str">
        <f aca="false">IF('rotation(W501D5)'!AA77=0," ",B29*'rotation(W501D5)'!AA77)</f>
        <v> </v>
      </c>
      <c r="D29" s="764" t="str">
        <f aca="false">IF('rotation(W501D5)'!C78=0," ",$B29*'rotation(W501D5)'!C78)</f>
        <v> </v>
      </c>
      <c r="E29" s="764" t="str">
        <f aca="false">IF('rotation(W501D5)'!D78=0," ",$B29*'rotation(W501D5)'!D78)</f>
        <v> </v>
      </c>
      <c r="F29" s="764" t="str">
        <f aca="false">IF('rotation(W501D5)'!E78=0," ",$B29*'rotation(W501D5)'!E78)</f>
        <v> </v>
      </c>
      <c r="G29" s="764" t="str">
        <f aca="false">IF('rotation(W501D5)'!F78=0," ",$B29*'rotation(W501D5)'!F78)</f>
        <v> </v>
      </c>
      <c r="H29" s="764" t="str">
        <f aca="false">IF('rotation(W501D5)'!G78=0," ",$B29*'rotation(W501D5)'!G78)</f>
        <v> </v>
      </c>
      <c r="I29" s="764" t="str">
        <f aca="false">IF('rotation(W501D5)'!H78=0," ",$B29*'rotation(W501D5)'!H78)</f>
        <v> </v>
      </c>
      <c r="J29" s="764" t="str">
        <f aca="false">IF('rotation(W501D5)'!I78=0," ",$B29*'rotation(W501D5)'!I78)</f>
        <v> </v>
      </c>
      <c r="K29" s="764" t="str">
        <f aca="false">IF('rotation(W501D5)'!J78=0," ",$B29*'rotation(W501D5)'!J78)</f>
        <v> </v>
      </c>
      <c r="L29" s="764" t="str">
        <f aca="false">IF('rotation(W501D5)'!K78=0," ",$B29*'rotation(W501D5)'!K78)</f>
        <v> </v>
      </c>
      <c r="M29" s="764" t="str">
        <f aca="false">IF('rotation(W501D5)'!L78=0," ",$B29*'rotation(W501D5)'!L78)</f>
        <v> </v>
      </c>
      <c r="N29" s="764" t="str">
        <f aca="false">IF('rotation(W501D5)'!M78=0," ",$B29*'rotation(W501D5)'!M78)</f>
        <v> </v>
      </c>
      <c r="O29" s="764" t="str">
        <f aca="false">IF('rotation(W501D5)'!N78=0," ",$B29*'rotation(W501D5)'!N78)</f>
        <v> </v>
      </c>
      <c r="P29" s="764" t="str">
        <f aca="false">IF('rotation(W501D5)'!O78=0," ",$B29*'rotation(W501D5)'!O78)</f>
        <v> </v>
      </c>
      <c r="Q29" s="764" t="str">
        <f aca="false">IF('rotation(W501D5)'!P78=0," ",$B29*'rotation(W501D5)'!P78)</f>
        <v> </v>
      </c>
      <c r="R29" s="764" t="str">
        <f aca="false">IF('rotation(W501D5)'!Q78=0," ",$B29*'rotation(W501D5)'!Q78)</f>
        <v> </v>
      </c>
      <c r="S29" s="764" t="str">
        <f aca="false">IF('rotation(W501D5)'!R78=0," ",$B29*'rotation(W501D5)'!R78)</f>
        <v> </v>
      </c>
      <c r="T29" s="764" t="str">
        <f aca="false">IF('rotation(W501D5)'!S78=0," ",$B29*'rotation(W501D5)'!S78)</f>
        <v> </v>
      </c>
      <c r="U29" s="764" t="str">
        <f aca="false">IF('rotation(W501D5)'!T78=0," ",$B29*'rotation(W501D5)'!T78)</f>
        <v> </v>
      </c>
      <c r="V29" s="764" t="str">
        <f aca="false">IF('rotation(W501D5)'!U78=0," ",$B29*'rotation(W501D5)'!U78)</f>
        <v> </v>
      </c>
      <c r="W29" s="764" t="str">
        <f aca="false">IF('rotation(W501D5)'!V78=0," ",$B29*'rotation(W501D5)'!V78)</f>
        <v> </v>
      </c>
      <c r="X29" s="666" t="n">
        <f aca="false">SUM(D29:W29)</f>
        <v>0</v>
      </c>
    </row>
    <row r="30" customFormat="false" ht="12.75" hidden="false" customHeight="false" outlineLevel="0" collapsed="false">
      <c r="A30" s="763" t="str">
        <f aca="false">'GTDB(W501D5)'!A33</f>
        <v>Row 4 rings segments</v>
      </c>
      <c r="B30" s="763" t="n">
        <f aca="false">'GTDB(W501D5)'!E33</f>
        <v>66.136</v>
      </c>
      <c r="C30" s="763" t="str">
        <f aca="false">IF('rotation(W501D5)'!AA81=0," ",B30*'rotation(W501D5)'!AA81)</f>
        <v> </v>
      </c>
      <c r="D30" s="764" t="str">
        <f aca="false">IF('rotation(W501D5)'!C82=0," ",$B30*'rotation(W501D5)'!C82)</f>
        <v> </v>
      </c>
      <c r="E30" s="764" t="str">
        <f aca="false">IF('rotation(W501D5)'!D82=0," ",$B30*'rotation(W501D5)'!D82)</f>
        <v> </v>
      </c>
      <c r="F30" s="764" t="str">
        <f aca="false">IF('rotation(W501D5)'!E82=0," ",$B30*'rotation(W501D5)'!E82)</f>
        <v> </v>
      </c>
      <c r="G30" s="764" t="str">
        <f aca="false">IF('rotation(W501D5)'!F82=0," ",$B30*'rotation(W501D5)'!F82)</f>
        <v> </v>
      </c>
      <c r="H30" s="764" t="str">
        <f aca="false">IF('rotation(W501D5)'!G82=0," ",$B30*'rotation(W501D5)'!G82)</f>
        <v> </v>
      </c>
      <c r="I30" s="764" t="str">
        <f aca="false">IF('rotation(W501D5)'!H82=0," ",$B30*'rotation(W501D5)'!H82)</f>
        <v> </v>
      </c>
      <c r="J30" s="764" t="str">
        <f aca="false">IF('rotation(W501D5)'!I82=0," ",$B30*'rotation(W501D5)'!I82)</f>
        <v> </v>
      </c>
      <c r="K30" s="764" t="str">
        <f aca="false">IF('rotation(W501D5)'!J82=0," ",$B30*'rotation(W501D5)'!J82)</f>
        <v> </v>
      </c>
      <c r="L30" s="764" t="str">
        <f aca="false">IF('rotation(W501D5)'!K82=0," ",$B30*'rotation(W501D5)'!K82)</f>
        <v> </v>
      </c>
      <c r="M30" s="764" t="str">
        <f aca="false">IF('rotation(W501D5)'!L82=0," ",$B30*'rotation(W501D5)'!L82)</f>
        <v> </v>
      </c>
      <c r="N30" s="764" t="str">
        <f aca="false">IF('rotation(W501D5)'!M82=0," ",$B30*'rotation(W501D5)'!M82)</f>
        <v> </v>
      </c>
      <c r="O30" s="764" t="str">
        <f aca="false">IF('rotation(W501D5)'!N82=0," ",$B30*'rotation(W501D5)'!N82)</f>
        <v> </v>
      </c>
      <c r="P30" s="764" t="str">
        <f aca="false">IF('rotation(W501D5)'!O82=0," ",$B30*'rotation(W501D5)'!O82)</f>
        <v> </v>
      </c>
      <c r="Q30" s="764" t="str">
        <f aca="false">IF('rotation(W501D5)'!P82=0," ",$B30*'rotation(W501D5)'!P82)</f>
        <v> </v>
      </c>
      <c r="R30" s="764" t="str">
        <f aca="false">IF('rotation(W501D5)'!Q82=0," ",$B30*'rotation(W501D5)'!Q82)</f>
        <v> </v>
      </c>
      <c r="S30" s="764" t="str">
        <f aca="false">IF('rotation(W501D5)'!R82=0," ",$B30*'rotation(W501D5)'!R82)</f>
        <v> </v>
      </c>
      <c r="T30" s="764" t="str">
        <f aca="false">IF('rotation(W501D5)'!S82=0," ",$B30*'rotation(W501D5)'!S82)</f>
        <v> </v>
      </c>
      <c r="U30" s="764" t="str">
        <f aca="false">IF('rotation(W501D5)'!T82=0," ",$B30*'rotation(W501D5)'!T82)</f>
        <v> </v>
      </c>
      <c r="V30" s="764" t="str">
        <f aca="false">IF('rotation(W501D5)'!U82=0," ",$B30*'rotation(W501D5)'!U82)</f>
        <v> </v>
      </c>
      <c r="W30" s="764" t="str">
        <f aca="false">IF('rotation(W501D5)'!V82=0," ",$B30*'rotation(W501D5)'!V82)</f>
        <v> </v>
      </c>
      <c r="X30" s="666" t="n">
        <f aca="false">SUM(D30:W30)</f>
        <v>0</v>
      </c>
    </row>
    <row r="31" customFormat="false" ht="12.75" hidden="false" customHeight="false" outlineLevel="0" collapsed="false">
      <c r="A31" s="763" t="str">
        <f aca="false">'GTDB(W501D5)'!A34</f>
        <v>Comp Rotor Blades</v>
      </c>
      <c r="B31" s="763" t="n">
        <f aca="false">'GTDB(W501D5)'!E34</f>
        <v>606.922</v>
      </c>
      <c r="C31" s="763" t="str">
        <f aca="false">IF('rotation(W501D5)'!AA85=0," ",B31*'rotation(W501D5)'!AA85)</f>
        <v> </v>
      </c>
      <c r="D31" s="764" t="str">
        <f aca="false">IF('rotation(W501D5)'!C86=0," ",$B31*'rotation(W501D5)'!C86)</f>
        <v> </v>
      </c>
      <c r="E31" s="764" t="str">
        <f aca="false">IF('rotation(W501D5)'!D86=0," ",$B31*'rotation(W501D5)'!D86)</f>
        <v> </v>
      </c>
      <c r="F31" s="764" t="str">
        <f aca="false">IF('rotation(W501D5)'!E86=0," ",$B31*'rotation(W501D5)'!E86)</f>
        <v> </v>
      </c>
      <c r="G31" s="764" t="str">
        <f aca="false">IF('rotation(W501D5)'!F86=0," ",$B31*'rotation(W501D5)'!F86)</f>
        <v> </v>
      </c>
      <c r="H31" s="764" t="str">
        <f aca="false">IF('rotation(W501D5)'!G86=0," ",$B31*'rotation(W501D5)'!G86)</f>
        <v> </v>
      </c>
      <c r="I31" s="764" t="str">
        <f aca="false">IF('rotation(W501D5)'!H86=0," ",$B31*'rotation(W501D5)'!H86)</f>
        <v> </v>
      </c>
      <c r="J31" s="764" t="str">
        <f aca="false">IF('rotation(W501D5)'!I86=0," ",$B31*'rotation(W501D5)'!I86)</f>
        <v> </v>
      </c>
      <c r="K31" s="764" t="str">
        <f aca="false">IF('rotation(W501D5)'!J86=0," ",$B31*'rotation(W501D5)'!J86)</f>
        <v> </v>
      </c>
      <c r="L31" s="764" t="str">
        <f aca="false">IF('rotation(W501D5)'!K86=0," ",$B31*'rotation(W501D5)'!K86)</f>
        <v> </v>
      </c>
      <c r="M31" s="764" t="str">
        <f aca="false">IF('rotation(W501D5)'!L86=0," ",$B31*'rotation(W501D5)'!L86)</f>
        <v> </v>
      </c>
      <c r="N31" s="764" t="str">
        <f aca="false">IF('rotation(W501D5)'!M86=0," ",$B31*'rotation(W501D5)'!M86)</f>
        <v> </v>
      </c>
      <c r="O31" s="764" t="str">
        <f aca="false">IF('rotation(W501D5)'!N86=0," ",$B31*'rotation(W501D5)'!N86)</f>
        <v> </v>
      </c>
      <c r="P31" s="764" t="str">
        <f aca="false">IF('rotation(W501D5)'!O86=0," ",$B31*'rotation(W501D5)'!O86)</f>
        <v> </v>
      </c>
      <c r="Q31" s="764" t="str">
        <f aca="false">IF('rotation(W501D5)'!P86=0," ",$B31*'rotation(W501D5)'!P86)</f>
        <v> </v>
      </c>
      <c r="R31" s="764" t="str">
        <f aca="false">IF('rotation(W501D5)'!Q86=0," ",$B31*'rotation(W501D5)'!Q86)</f>
        <v> </v>
      </c>
      <c r="S31" s="764" t="str">
        <f aca="false">IF('rotation(W501D5)'!R86=0," ",$B31*'rotation(W501D5)'!R86)</f>
        <v> </v>
      </c>
      <c r="T31" s="764" t="str">
        <f aca="false">IF('rotation(W501D5)'!S86=0," ",$B31*'rotation(W501D5)'!S86)</f>
        <v> </v>
      </c>
      <c r="U31" s="764" t="str">
        <f aca="false">IF('rotation(W501D5)'!T86=0," ",$B31*'rotation(W501D5)'!T86)</f>
        <v> </v>
      </c>
      <c r="V31" s="764" t="str">
        <f aca="false">IF('rotation(W501D5)'!U86=0," ",$B31*'rotation(W501D5)'!U86)</f>
        <v> </v>
      </c>
      <c r="W31" s="764" t="str">
        <f aca="false">IF('rotation(W501D5)'!V86=0," ",$B31*'rotation(W501D5)'!V86)</f>
        <v> </v>
      </c>
      <c r="X31" s="666" t="n">
        <f aca="false">SUM(D31:W31)</f>
        <v>0</v>
      </c>
    </row>
    <row r="32" customFormat="false" ht="12.75" hidden="false" customHeight="false" outlineLevel="0" collapsed="false">
      <c r="A32" s="763" t="str">
        <f aca="false">'GTDB(W501D5)'!A35</f>
        <v>Comp Diaphragms</v>
      </c>
      <c r="B32" s="763" t="n">
        <f aca="false">'GTDB(W501D5)'!E35</f>
        <v>1725.86</v>
      </c>
      <c r="C32" s="763" t="str">
        <f aca="false">IF('rotation(W501D5)'!AA89=0," ",B32*'rotation(W501D5)'!AA89)</f>
        <v> </v>
      </c>
      <c r="D32" s="764" t="str">
        <f aca="false">IF('rotation(W501D5)'!C90=0," ",$B32*'rotation(W501D5)'!C90)</f>
        <v> </v>
      </c>
      <c r="E32" s="764" t="str">
        <f aca="false">IF('rotation(W501D5)'!D90=0," ",$B32*'rotation(W501D5)'!D90)</f>
        <v> </v>
      </c>
      <c r="F32" s="764" t="str">
        <f aca="false">IF('rotation(W501D5)'!E90=0," ",$B32*'rotation(W501D5)'!E90)</f>
        <v> </v>
      </c>
      <c r="G32" s="764" t="str">
        <f aca="false">IF('rotation(W501D5)'!F90=0," ",$B32*'rotation(W501D5)'!F90)</f>
        <v> </v>
      </c>
      <c r="H32" s="764" t="str">
        <f aca="false">IF('rotation(W501D5)'!G90=0," ",$B32*'rotation(W501D5)'!G90)</f>
        <v> </v>
      </c>
      <c r="I32" s="764" t="str">
        <f aca="false">IF('rotation(W501D5)'!H90=0," ",$B32*'rotation(W501D5)'!H90)</f>
        <v> </v>
      </c>
      <c r="J32" s="764" t="str">
        <f aca="false">IF('rotation(W501D5)'!I90=0," ",$B32*'rotation(W501D5)'!I90)</f>
        <v> </v>
      </c>
      <c r="K32" s="764" t="str">
        <f aca="false">IF('rotation(W501D5)'!J90=0," ",$B32*'rotation(W501D5)'!J90)</f>
        <v> </v>
      </c>
      <c r="L32" s="764" t="str">
        <f aca="false">IF('rotation(W501D5)'!K90=0," ",$B32*'rotation(W501D5)'!K90)</f>
        <v> </v>
      </c>
      <c r="M32" s="764" t="str">
        <f aca="false">IF('rotation(W501D5)'!L90=0," ",$B32*'rotation(W501D5)'!L90)</f>
        <v> </v>
      </c>
      <c r="N32" s="764" t="str">
        <f aca="false">IF('rotation(W501D5)'!M90=0," ",$B32*'rotation(W501D5)'!M90)</f>
        <v> </v>
      </c>
      <c r="O32" s="764" t="str">
        <f aca="false">IF('rotation(W501D5)'!N90=0," ",$B32*'rotation(W501D5)'!N90)</f>
        <v> </v>
      </c>
      <c r="P32" s="764" t="str">
        <f aca="false">IF('rotation(W501D5)'!O90=0," ",$B32*'rotation(W501D5)'!O90)</f>
        <v> </v>
      </c>
      <c r="Q32" s="764" t="str">
        <f aca="false">IF('rotation(W501D5)'!P90=0," ",$B32*'rotation(W501D5)'!P90)</f>
        <v> </v>
      </c>
      <c r="R32" s="764" t="str">
        <f aca="false">IF('rotation(W501D5)'!Q90=0," ",$B32*'rotation(W501D5)'!Q90)</f>
        <v> </v>
      </c>
      <c r="S32" s="764" t="str">
        <f aca="false">IF('rotation(W501D5)'!R90=0," ",$B32*'rotation(W501D5)'!R90)</f>
        <v> </v>
      </c>
      <c r="T32" s="764" t="str">
        <f aca="false">IF('rotation(W501D5)'!S90=0," ",$B32*'rotation(W501D5)'!S90)</f>
        <v> </v>
      </c>
      <c r="U32" s="764" t="str">
        <f aca="false">IF('rotation(W501D5)'!T90=0," ",$B32*'rotation(W501D5)'!T90)</f>
        <v> </v>
      </c>
      <c r="V32" s="764" t="str">
        <f aca="false">IF('rotation(W501D5)'!U90=0," ",$B32*'rotation(W501D5)'!U90)</f>
        <v> </v>
      </c>
      <c r="W32" s="764" t="str">
        <f aca="false">IF('rotation(W501D5)'!V90=0," ",$B32*'rotation(W501D5)'!V90)</f>
        <v> </v>
      </c>
      <c r="X32" s="666" t="n">
        <f aca="false">SUM(D32:W32)</f>
        <v>0</v>
      </c>
    </row>
    <row r="33" customFormat="false" ht="15.75" hidden="false" customHeight="true" outlineLevel="0" collapsed="false">
      <c r="A33" s="756" t="s">
        <v>1365</v>
      </c>
      <c r="B33" s="666"/>
      <c r="C33" s="666" t="n">
        <f aca="false">SUM(C14:C32)</f>
        <v>0</v>
      </c>
      <c r="D33" s="666" t="n">
        <f aca="false">SUM(D14:D32)</f>
        <v>0</v>
      </c>
      <c r="E33" s="666" t="n">
        <f aca="false">SUM(E14:E32)</f>
        <v>0</v>
      </c>
      <c r="F33" s="666" t="n">
        <f aca="false">SUM(F14:F32)</f>
        <v>0</v>
      </c>
      <c r="G33" s="666" t="n">
        <f aca="false">SUM(G14:G32)</f>
        <v>0</v>
      </c>
      <c r="H33" s="666" t="n">
        <f aca="false">SUM(H14:H32)</f>
        <v>0</v>
      </c>
      <c r="I33" s="666" t="n">
        <f aca="false">SUM(I14:I32)</f>
        <v>0</v>
      </c>
      <c r="J33" s="666" t="n">
        <f aca="false">SUM(J14:J32)</f>
        <v>0</v>
      </c>
      <c r="K33" s="666" t="n">
        <f aca="false">SUM(K14:K32)</f>
        <v>0</v>
      </c>
      <c r="L33" s="666" t="n">
        <f aca="false">SUM(L14:L32)</f>
        <v>0</v>
      </c>
      <c r="M33" s="666" t="n">
        <f aca="false">SUM(M14:M32)</f>
        <v>0</v>
      </c>
      <c r="N33" s="666" t="n">
        <f aca="false">SUM(N14:N32)</f>
        <v>0</v>
      </c>
      <c r="O33" s="666" t="n">
        <f aca="false">SUM(O14:O32)</f>
        <v>0</v>
      </c>
      <c r="P33" s="666" t="n">
        <f aca="false">SUM(P14:P32)</f>
        <v>0</v>
      </c>
      <c r="Q33" s="666" t="n">
        <f aca="false">SUM(Q14:Q32)</f>
        <v>0</v>
      </c>
      <c r="R33" s="666" t="n">
        <f aca="false">SUM(R14:R32)</f>
        <v>0</v>
      </c>
      <c r="S33" s="666" t="n">
        <f aca="false">SUM(S14:S32)</f>
        <v>0</v>
      </c>
      <c r="T33" s="666" t="n">
        <f aca="false">SUM(T14:T32)</f>
        <v>0</v>
      </c>
      <c r="U33" s="666" t="n">
        <f aca="false">SUM(U14:U32)</f>
        <v>0</v>
      </c>
      <c r="V33" s="666" t="n">
        <f aca="false">SUM(V14:V32)</f>
        <v>0</v>
      </c>
      <c r="W33" s="666" t="n">
        <f aca="false">SUM(W14:W32)</f>
        <v>0</v>
      </c>
      <c r="X33" s="666" t="n">
        <f aca="false">SUM(D33:W33)</f>
        <v>0</v>
      </c>
    </row>
    <row r="34" customFormat="false" ht="16.5" hidden="false" customHeight="true" outlineLevel="0" collapsed="false">
      <c r="A34" s="756" t="s">
        <v>1373</v>
      </c>
      <c r="B34" s="765" t="n">
        <v>0.1</v>
      </c>
      <c r="C34" s="666" t="n">
        <f aca="false">C33*(1-$B34)</f>
        <v>0</v>
      </c>
      <c r="D34" s="666" t="n">
        <f aca="false">D33*(1-$B34)</f>
        <v>0</v>
      </c>
      <c r="E34" s="666" t="n">
        <f aca="false">E33*(1-$B34)</f>
        <v>0</v>
      </c>
      <c r="F34" s="666" t="n">
        <f aca="false">F33*(1-$B34)</f>
        <v>0</v>
      </c>
      <c r="G34" s="666" t="n">
        <f aca="false">G33*(1-$B34)</f>
        <v>0</v>
      </c>
      <c r="H34" s="666" t="n">
        <f aca="false">H33*(1-$B34)</f>
        <v>0</v>
      </c>
      <c r="I34" s="666" t="n">
        <f aca="false">I33*(1-$B34)</f>
        <v>0</v>
      </c>
      <c r="J34" s="666" t="n">
        <f aca="false">J33*(1-$B34)</f>
        <v>0</v>
      </c>
      <c r="K34" s="666" t="n">
        <f aca="false">K33*(1-$B34)</f>
        <v>0</v>
      </c>
      <c r="L34" s="666" t="n">
        <f aca="false">L33*(1-$B34)</f>
        <v>0</v>
      </c>
      <c r="M34" s="666" t="n">
        <f aca="false">M33*(1-$B34)</f>
        <v>0</v>
      </c>
      <c r="N34" s="666" t="n">
        <f aca="false">N33*(1-$B34)</f>
        <v>0</v>
      </c>
      <c r="O34" s="666" t="n">
        <f aca="false">O33*(1-$B34)</f>
        <v>0</v>
      </c>
      <c r="P34" s="666" t="n">
        <f aca="false">P33*(1-$B34)</f>
        <v>0</v>
      </c>
      <c r="Q34" s="666" t="n">
        <f aca="false">Q33*(1-$B34)</f>
        <v>0</v>
      </c>
      <c r="R34" s="666" t="n">
        <f aca="false">R33*(1-$B34)</f>
        <v>0</v>
      </c>
      <c r="S34" s="666" t="n">
        <f aca="false">S33*(1-$B34)</f>
        <v>0</v>
      </c>
      <c r="T34" s="666" t="n">
        <f aca="false">T33*(1-$B34)</f>
        <v>0</v>
      </c>
      <c r="U34" s="666" t="n">
        <f aca="false">U33*(1-$B34)</f>
        <v>0</v>
      </c>
      <c r="V34" s="666" t="n">
        <f aca="false">V33*(1-$B34)</f>
        <v>0</v>
      </c>
      <c r="W34" s="666" t="n">
        <f aca="false">W33*(1-$B34)</f>
        <v>0</v>
      </c>
      <c r="X34" s="666" t="n">
        <f aca="false">SUM(D34:W34)</f>
        <v>0</v>
      </c>
    </row>
    <row r="35" customFormat="false" ht="12.75" hidden="false" customHeight="true" outlineLevel="0" collapsed="false">
      <c r="A35" s="756" t="s">
        <v>1367</v>
      </c>
      <c r="B35" s="765" t="n">
        <v>0.03</v>
      </c>
      <c r="C35" s="666" t="n">
        <f aca="false">C34*(1+$B35)</f>
        <v>0</v>
      </c>
      <c r="D35" s="666" t="n">
        <f aca="false">D34*(1+$B35)</f>
        <v>0</v>
      </c>
      <c r="E35" s="666" t="n">
        <f aca="false">E34*(1+$B35)</f>
        <v>0</v>
      </c>
      <c r="F35" s="666" t="n">
        <f aca="false">F34*(1+$B35)</f>
        <v>0</v>
      </c>
      <c r="G35" s="666" t="n">
        <f aca="false">G34*(1+$B35)</f>
        <v>0</v>
      </c>
      <c r="H35" s="666" t="n">
        <f aca="false">H34*(1+$B35)</f>
        <v>0</v>
      </c>
      <c r="I35" s="666" t="n">
        <f aca="false">I34*(1+$B35)</f>
        <v>0</v>
      </c>
      <c r="J35" s="666" t="n">
        <f aca="false">J34*(1+$B35)</f>
        <v>0</v>
      </c>
      <c r="K35" s="666" t="n">
        <f aca="false">K34*(1+$B35)</f>
        <v>0</v>
      </c>
      <c r="L35" s="666" t="n">
        <f aca="false">L34*(1+$B35)</f>
        <v>0</v>
      </c>
      <c r="M35" s="666" t="n">
        <f aca="false">M34*(1+$B35)</f>
        <v>0</v>
      </c>
      <c r="N35" s="666" t="n">
        <f aca="false">N34*(1+$B35)</f>
        <v>0</v>
      </c>
      <c r="O35" s="666" t="n">
        <f aca="false">O34*(1+$B35)</f>
        <v>0</v>
      </c>
      <c r="P35" s="666" t="n">
        <f aca="false">P34*(1+$B35)</f>
        <v>0</v>
      </c>
      <c r="Q35" s="666" t="n">
        <f aca="false">Q34*(1+$B35)</f>
        <v>0</v>
      </c>
      <c r="R35" s="666" t="n">
        <f aca="false">R34*(1+$B35)</f>
        <v>0</v>
      </c>
      <c r="S35" s="666" t="n">
        <f aca="false">S34*(1+$B35)</f>
        <v>0</v>
      </c>
      <c r="T35" s="666" t="n">
        <f aca="false">T34*(1+$B35)</f>
        <v>0</v>
      </c>
      <c r="U35" s="666" t="n">
        <f aca="false">U34*(1+$B35)</f>
        <v>0</v>
      </c>
      <c r="V35" s="666" t="n">
        <f aca="false">V34*(1+$B35)</f>
        <v>0</v>
      </c>
      <c r="W35" s="666" t="n">
        <f aca="false">W34*(1+$B35)</f>
        <v>0</v>
      </c>
      <c r="X35" s="766" t="n">
        <f aca="false">SUM(D35:W35)</f>
        <v>0</v>
      </c>
    </row>
    <row r="36" customFormat="false" ht="12.75" hidden="false" customHeight="false" outlineLevel="0" collapsed="false">
      <c r="B36" s="666"/>
      <c r="C36" s="666"/>
      <c r="D36" s="666"/>
      <c r="E36" s="666"/>
      <c r="F36" s="666"/>
      <c r="G36" s="666"/>
      <c r="H36" s="666"/>
      <c r="I36" s="666"/>
      <c r="J36" s="666"/>
      <c r="K36" s="666"/>
      <c r="L36" s="666"/>
      <c r="M36" s="666"/>
      <c r="N36" s="666"/>
      <c r="O36" s="666"/>
      <c r="P36" s="666"/>
      <c r="Q36" s="666"/>
      <c r="R36" s="666"/>
      <c r="S36" s="666"/>
      <c r="T36" s="666"/>
      <c r="U36" s="666"/>
      <c r="V36" s="666"/>
      <c r="W36" s="666"/>
      <c r="X36" s="666"/>
    </row>
    <row r="37" customFormat="false" ht="12.75" hidden="false" customHeight="false" outlineLevel="0" collapsed="false">
      <c r="B37" s="666"/>
      <c r="C37" s="666"/>
      <c r="D37" s="666"/>
      <c r="E37" s="666"/>
      <c r="F37" s="666"/>
      <c r="G37" s="666"/>
      <c r="H37" s="666"/>
      <c r="I37" s="666"/>
      <c r="J37" s="666"/>
      <c r="K37" s="666"/>
      <c r="L37" s="666"/>
      <c r="M37" s="666"/>
      <c r="N37" s="666"/>
      <c r="O37" s="666"/>
      <c r="P37" s="666"/>
      <c r="Q37" s="666"/>
      <c r="R37" s="666"/>
      <c r="S37" s="666"/>
      <c r="T37" s="666"/>
      <c r="U37" s="666"/>
      <c r="V37" s="666"/>
      <c r="W37" s="666"/>
      <c r="X37" s="666"/>
    </row>
    <row r="38" customFormat="false" ht="12.75" hidden="false" customHeight="false" outlineLevel="0" collapsed="false">
      <c r="A38" s="767" t="s">
        <v>1368</v>
      </c>
      <c r="B38" s="666"/>
      <c r="C38" s="666"/>
      <c r="D38" s="666" t="n">
        <v>1</v>
      </c>
      <c r="E38" s="666" t="n">
        <v>2</v>
      </c>
      <c r="F38" s="666" t="n">
        <v>3</v>
      </c>
      <c r="G38" s="666" t="n">
        <v>4</v>
      </c>
      <c r="H38" s="666" t="n">
        <v>5</v>
      </c>
      <c r="I38" s="666" t="n">
        <v>6</v>
      </c>
      <c r="J38" s="666" t="n">
        <v>7</v>
      </c>
      <c r="K38" s="666" t="n">
        <v>8</v>
      </c>
      <c r="L38" s="666" t="n">
        <v>9</v>
      </c>
      <c r="M38" s="666" t="n">
        <v>10</v>
      </c>
      <c r="N38" s="666" t="n">
        <v>11</v>
      </c>
      <c r="O38" s="666" t="n">
        <v>12</v>
      </c>
      <c r="P38" s="666" t="n">
        <v>13</v>
      </c>
      <c r="Q38" s="666" t="n">
        <v>14</v>
      </c>
      <c r="R38" s="666" t="n">
        <v>15</v>
      </c>
      <c r="S38" s="666" t="n">
        <v>16</v>
      </c>
      <c r="T38" s="666" t="n">
        <v>17</v>
      </c>
      <c r="U38" s="666" t="n">
        <v>18</v>
      </c>
      <c r="V38" s="666" t="n">
        <v>19</v>
      </c>
      <c r="W38" s="666" t="n">
        <v>20</v>
      </c>
      <c r="X38" s="666"/>
    </row>
    <row r="39" customFormat="false" ht="12.75" hidden="false" customHeight="false" outlineLevel="0" collapsed="false">
      <c r="A39" s="768" t="s">
        <v>1359</v>
      </c>
      <c r="B39" s="769" t="s">
        <v>1369</v>
      </c>
      <c r="C39" s="764"/>
      <c r="D39" s="764"/>
      <c r="E39" s="764"/>
      <c r="F39" s="764"/>
      <c r="G39" s="764"/>
      <c r="H39" s="764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666"/>
    </row>
    <row r="40" customFormat="false" ht="12.75" hidden="false" customHeight="false" outlineLevel="0" collapsed="false">
      <c r="A40" s="770" t="str">
        <f aca="false">'GTDB(W501D5)'!A17</f>
        <v>Baskets</v>
      </c>
      <c r="B40" s="763" t="n">
        <f aca="false">'GTDB(W501D5)'!D17</f>
        <v>57.96</v>
      </c>
      <c r="C40" s="764" t="n">
        <v>0</v>
      </c>
      <c r="D40" s="764" t="str">
        <f aca="false">IF('rotation(W501D5)'!C17=0," ",$B40*'rotation(W501D5)'!C17)</f>
        <v> </v>
      </c>
      <c r="E40" s="764" t="str">
        <f aca="false">IF('rotation(W501D5)'!D17=0," ",$B40*'rotation(W501D5)'!D17)</f>
        <v> </v>
      </c>
      <c r="F40" s="764" t="str">
        <f aca="false">IF('rotation(W501D5)'!E17=0," ",$B40*'rotation(W501D5)'!E17)</f>
        <v> </v>
      </c>
      <c r="G40" s="764" t="str">
        <f aca="false">IF('rotation(W501D5)'!F17=0," ",$B40*'rotation(W501D5)'!F17)</f>
        <v> </v>
      </c>
      <c r="H40" s="764" t="str">
        <f aca="false">IF('rotation(W501D5)'!G17=0," ",$B40*'rotation(W501D5)'!G17)</f>
        <v> </v>
      </c>
      <c r="I40" s="764" t="str">
        <f aca="false">IF('rotation(W501D5)'!H17=0," ",$B40*'rotation(W501D5)'!H17)</f>
        <v> </v>
      </c>
      <c r="J40" s="764" t="str">
        <f aca="false">IF('rotation(W501D5)'!I17=0," ",$B40*'rotation(W501D5)'!I17)</f>
        <v> </v>
      </c>
      <c r="K40" s="764" t="str">
        <f aca="false">IF('rotation(W501D5)'!J17=0," ",$B40*'rotation(W501D5)'!J17)</f>
        <v> </v>
      </c>
      <c r="L40" s="764" t="str">
        <f aca="false">IF('rotation(W501D5)'!K17=0," ",$B40*'rotation(W501D5)'!K17)</f>
        <v> </v>
      </c>
      <c r="M40" s="764" t="str">
        <f aca="false">IF('rotation(W501D5)'!L17=0," ",$B40*'rotation(W501D5)'!L17)</f>
        <v> </v>
      </c>
      <c r="N40" s="764" t="str">
        <f aca="false">IF('rotation(W501D5)'!M17=0," ",$B40*'rotation(W501D5)'!M17)</f>
        <v> </v>
      </c>
      <c r="O40" s="764" t="str">
        <f aca="false">IF('rotation(W501D5)'!N17=0," ",$B40*'rotation(W501D5)'!N17)</f>
        <v> </v>
      </c>
      <c r="P40" s="764" t="str">
        <f aca="false">IF('rotation(W501D5)'!O17=0," ",$B40*'rotation(W501D5)'!O17)</f>
        <v> </v>
      </c>
      <c r="Q40" s="764" t="str">
        <f aca="false">IF('rotation(W501D5)'!P17=0," ",$B40*'rotation(W501D5)'!P17)</f>
        <v> </v>
      </c>
      <c r="R40" s="764" t="str">
        <f aca="false">IF('rotation(W501D5)'!Q17=0," ",$B40*'rotation(W501D5)'!Q17)</f>
        <v> </v>
      </c>
      <c r="S40" s="764" t="str">
        <f aca="false">IF('rotation(W501D5)'!R17=0," ",$B40*'rotation(W501D5)'!R17)</f>
        <v> </v>
      </c>
      <c r="T40" s="764" t="str">
        <f aca="false">IF('rotation(W501D5)'!S17=0," ",$B40*'rotation(W501D5)'!S17)</f>
        <v> </v>
      </c>
      <c r="U40" s="764" t="str">
        <f aca="false">IF('rotation(W501D5)'!T17=0," ",$B40*'rotation(W501D5)'!T17)</f>
        <v> </v>
      </c>
      <c r="V40" s="764" t="str">
        <f aca="false">IF('rotation(W501D5)'!U17=0," ",$B40*'rotation(W501D5)'!U17)</f>
        <v> </v>
      </c>
      <c r="W40" s="764" t="str">
        <f aca="false">IF('rotation(W501D5)'!V17=0," ",$B40*'rotation(W501D5)'!V17)</f>
        <v> </v>
      </c>
      <c r="X40" s="666" t="n">
        <f aca="false">SUM(D40:W40)</f>
        <v>0</v>
      </c>
    </row>
    <row r="41" customFormat="false" ht="12.75" hidden="false" customHeight="false" outlineLevel="0" collapsed="false">
      <c r="A41" s="770" t="str">
        <f aca="false">'GTDB(W501D5)'!A18</f>
        <v>Transition Pieces</v>
      </c>
      <c r="B41" s="763" t="n">
        <f aca="false">'GTDB(W501D5)'!D18</f>
        <v>105.65</v>
      </c>
      <c r="C41" s="764"/>
      <c r="D41" s="764" t="str">
        <f aca="false">IF('rotation(W501D5)'!C21=0," ",$B41*'rotation(W501D5)'!C21)</f>
        <v> </v>
      </c>
      <c r="E41" s="764" t="str">
        <f aca="false">IF('rotation(W501D5)'!D21=0," ",$B41*'rotation(W501D5)'!D21)</f>
        <v> </v>
      </c>
      <c r="F41" s="764" t="str">
        <f aca="false">IF('rotation(W501D5)'!E21=0," ",$B41*'rotation(W501D5)'!E21)</f>
        <v> </v>
      </c>
      <c r="G41" s="764" t="str">
        <f aca="false">IF('rotation(W501D5)'!F21=0," ",$B41*'rotation(W501D5)'!F21)</f>
        <v> </v>
      </c>
      <c r="H41" s="764" t="str">
        <f aca="false">IF('rotation(W501D5)'!G21=0," ",$B41*'rotation(W501D5)'!G21)</f>
        <v> </v>
      </c>
      <c r="I41" s="764" t="str">
        <f aca="false">IF('rotation(W501D5)'!H21=0," ",$B41*'rotation(W501D5)'!H21)</f>
        <v> </v>
      </c>
      <c r="J41" s="764" t="str">
        <f aca="false">IF('rotation(W501D5)'!I21=0," ",$B41*'rotation(W501D5)'!I21)</f>
        <v> </v>
      </c>
      <c r="K41" s="764" t="str">
        <f aca="false">IF('rotation(W501D5)'!J21=0," ",$B41*'rotation(W501D5)'!J21)</f>
        <v> </v>
      </c>
      <c r="L41" s="764" t="str">
        <f aca="false">IF('rotation(W501D5)'!K21=0," ",$B41*'rotation(W501D5)'!K21)</f>
        <v> </v>
      </c>
      <c r="M41" s="764" t="str">
        <f aca="false">IF('rotation(W501D5)'!L21=0," ",$B41*'rotation(W501D5)'!L21)</f>
        <v> </v>
      </c>
      <c r="N41" s="764" t="str">
        <f aca="false">IF('rotation(W501D5)'!M21=0," ",$B41*'rotation(W501D5)'!M21)</f>
        <v> </v>
      </c>
      <c r="O41" s="764" t="str">
        <f aca="false">IF('rotation(W501D5)'!N21=0," ",$B41*'rotation(W501D5)'!N21)</f>
        <v> </v>
      </c>
      <c r="P41" s="764" t="str">
        <f aca="false">IF('rotation(W501D5)'!O21=0," ",$B41*'rotation(W501D5)'!O21)</f>
        <v> </v>
      </c>
      <c r="Q41" s="764" t="str">
        <f aca="false">IF('rotation(W501D5)'!P21=0," ",$B41*'rotation(W501D5)'!P21)</f>
        <v> </v>
      </c>
      <c r="R41" s="764" t="str">
        <f aca="false">IF('rotation(W501D5)'!Q21=0," ",$B41*'rotation(W501D5)'!Q21)</f>
        <v> </v>
      </c>
      <c r="S41" s="764" t="str">
        <f aca="false">IF('rotation(W501D5)'!R21=0," ",$B41*'rotation(W501D5)'!R21)</f>
        <v> </v>
      </c>
      <c r="T41" s="764" t="str">
        <f aca="false">IF('rotation(W501D5)'!S21=0," ",$B41*'rotation(W501D5)'!S21)</f>
        <v> </v>
      </c>
      <c r="U41" s="764" t="str">
        <f aca="false">IF('rotation(W501D5)'!T21=0," ",$B41*'rotation(W501D5)'!T21)</f>
        <v> </v>
      </c>
      <c r="V41" s="764" t="str">
        <f aca="false">IF('rotation(W501D5)'!U21=0," ",$B41*'rotation(W501D5)'!U21)</f>
        <v> </v>
      </c>
      <c r="W41" s="764" t="str">
        <f aca="false">IF('rotation(W501D5)'!V21=0," ",$B41*'rotation(W501D5)'!V21)</f>
        <v> </v>
      </c>
      <c r="X41" s="666" t="n">
        <f aca="false">SUM(D41:W41)</f>
        <v>0</v>
      </c>
    </row>
    <row r="42" customFormat="false" ht="12.75" hidden="false" customHeight="false" outlineLevel="0" collapsed="false">
      <c r="A42" s="770" t="str">
        <f aca="false">'GTDB(W501D5)'!A19</f>
        <v>Transition Seals</v>
      </c>
      <c r="B42" s="763" t="n">
        <f aca="false">'GTDB(W501D5)'!D19</f>
        <v>15</v>
      </c>
      <c r="C42" s="764"/>
      <c r="D42" s="764" t="str">
        <f aca="false">IF('rotation(W501D5)'!C25=0," ",$B42*'rotation(W501D5)'!C25)</f>
        <v> </v>
      </c>
      <c r="E42" s="764" t="str">
        <f aca="false">IF('rotation(W501D5)'!D25=0," ",$B42*'rotation(W501D5)'!D25)</f>
        <v> </v>
      </c>
      <c r="F42" s="764" t="str">
        <f aca="false">IF('rotation(W501D5)'!E25=0," ",$B42*'rotation(W501D5)'!E25)</f>
        <v> </v>
      </c>
      <c r="G42" s="764" t="str">
        <f aca="false">IF('rotation(W501D5)'!F25=0," ",$B42*'rotation(W501D5)'!F25)</f>
        <v> </v>
      </c>
      <c r="H42" s="764" t="str">
        <f aca="false">IF('rotation(W501D5)'!G25=0," ",$B42*'rotation(W501D5)'!G25)</f>
        <v> </v>
      </c>
      <c r="I42" s="764" t="str">
        <f aca="false">IF('rotation(W501D5)'!H25=0," ",$B42*'rotation(W501D5)'!H25)</f>
        <v> </v>
      </c>
      <c r="J42" s="764" t="str">
        <f aca="false">IF('rotation(W501D5)'!I25=0," ",$B42*'rotation(W501D5)'!I25)</f>
        <v> </v>
      </c>
      <c r="K42" s="764" t="str">
        <f aca="false">IF('rotation(W501D5)'!J25=0," ",$B42*'rotation(W501D5)'!J25)</f>
        <v> </v>
      </c>
      <c r="L42" s="764" t="str">
        <f aca="false">IF('rotation(W501D5)'!K25=0," ",$B42*'rotation(W501D5)'!K25)</f>
        <v> </v>
      </c>
      <c r="M42" s="764" t="str">
        <f aca="false">IF('rotation(W501D5)'!L25=0," ",$B42*'rotation(W501D5)'!L25)</f>
        <v> </v>
      </c>
      <c r="N42" s="764" t="str">
        <f aca="false">IF('rotation(W501D5)'!M25=0," ",$B42*'rotation(W501D5)'!M25)</f>
        <v> </v>
      </c>
      <c r="O42" s="764" t="str">
        <f aca="false">IF('rotation(W501D5)'!N25=0," ",$B42*'rotation(W501D5)'!N25)</f>
        <v> </v>
      </c>
      <c r="P42" s="764" t="str">
        <f aca="false">IF('rotation(W501D5)'!O25=0," ",$B42*'rotation(W501D5)'!O25)</f>
        <v> </v>
      </c>
      <c r="Q42" s="764" t="str">
        <f aca="false">IF('rotation(W501D5)'!P25=0," ",$B42*'rotation(W501D5)'!P25)</f>
        <v> </v>
      </c>
      <c r="R42" s="764" t="str">
        <f aca="false">IF('rotation(W501D5)'!Q25=0," ",$B42*'rotation(W501D5)'!Q25)</f>
        <v> </v>
      </c>
      <c r="S42" s="764" t="str">
        <f aca="false">IF('rotation(W501D5)'!R25=0," ",$B42*'rotation(W501D5)'!R25)</f>
        <v> </v>
      </c>
      <c r="T42" s="764" t="str">
        <f aca="false">IF('rotation(W501D5)'!S25=0," ",$B42*'rotation(W501D5)'!S25)</f>
        <v> </v>
      </c>
      <c r="U42" s="764" t="str">
        <f aca="false">IF('rotation(W501D5)'!T25=0," ",$B42*'rotation(W501D5)'!T25)</f>
        <v> </v>
      </c>
      <c r="V42" s="764" t="str">
        <f aca="false">IF('rotation(W501D5)'!U25=0," ",$B42*'rotation(W501D5)'!U25)</f>
        <v> </v>
      </c>
      <c r="W42" s="764" t="str">
        <f aca="false">IF('rotation(W501D5)'!V25=0," ",$B42*'rotation(W501D5)'!V25)</f>
        <v> </v>
      </c>
      <c r="X42" s="666" t="n">
        <f aca="false">SUM(D42:W42)</f>
        <v>0</v>
      </c>
    </row>
    <row r="43" customFormat="false" ht="12.75" hidden="false" customHeight="false" outlineLevel="0" collapsed="false">
      <c r="A43" s="770" t="str">
        <f aca="false">'GTDB(W501D5)'!A20</f>
        <v>Fuel Nozzles</v>
      </c>
      <c r="B43" s="763" t="n">
        <f aca="false">'GTDB(W501D5)'!D20</f>
        <v>92.3</v>
      </c>
      <c r="C43" s="764"/>
      <c r="D43" s="764" t="str">
        <f aca="false">IF('rotation(W501D5)'!C29=0," ",$B43*'rotation(W501D5)'!C29)</f>
        <v> </v>
      </c>
      <c r="E43" s="764" t="str">
        <f aca="false">IF('rotation(W501D5)'!D29=0," ",$B43*'rotation(W501D5)'!D29)</f>
        <v> </v>
      </c>
      <c r="F43" s="764" t="str">
        <f aca="false">IF('rotation(W501D5)'!E29=0," ",$B43*'rotation(W501D5)'!E29)</f>
        <v> </v>
      </c>
      <c r="G43" s="764" t="str">
        <f aca="false">IF('rotation(W501D5)'!F29=0," ",$B43*'rotation(W501D5)'!F29)</f>
        <v> </v>
      </c>
      <c r="H43" s="764" t="str">
        <f aca="false">IF('rotation(W501D5)'!G29=0," ",$B43*'rotation(W501D5)'!G29)</f>
        <v> </v>
      </c>
      <c r="I43" s="764" t="str">
        <f aca="false">IF('rotation(W501D5)'!H29=0," ",$B43*'rotation(W501D5)'!H29)</f>
        <v> </v>
      </c>
      <c r="J43" s="764" t="str">
        <f aca="false">IF('rotation(W501D5)'!I29=0," ",$B43*'rotation(W501D5)'!I29)</f>
        <v> </v>
      </c>
      <c r="K43" s="764" t="str">
        <f aca="false">IF('rotation(W501D5)'!J29=0," ",$B43*'rotation(W501D5)'!J29)</f>
        <v> </v>
      </c>
      <c r="L43" s="764" t="str">
        <f aca="false">IF('rotation(W501D5)'!K29=0," ",$B43*'rotation(W501D5)'!K29)</f>
        <v> </v>
      </c>
      <c r="M43" s="764" t="str">
        <f aca="false">IF('rotation(W501D5)'!L29=0," ",$B43*'rotation(W501D5)'!L29)</f>
        <v> </v>
      </c>
      <c r="N43" s="764" t="str">
        <f aca="false">IF('rotation(W501D5)'!M29=0," ",$B43*'rotation(W501D5)'!M29)</f>
        <v> </v>
      </c>
      <c r="O43" s="764" t="str">
        <f aca="false">IF('rotation(W501D5)'!N29=0," ",$B43*'rotation(W501D5)'!N29)</f>
        <v> </v>
      </c>
      <c r="P43" s="764" t="str">
        <f aca="false">IF('rotation(W501D5)'!O29=0," ",$B43*'rotation(W501D5)'!O29)</f>
        <v> </v>
      </c>
      <c r="Q43" s="764" t="str">
        <f aca="false">IF('rotation(W501D5)'!P29=0," ",$B43*'rotation(W501D5)'!P29)</f>
        <v> </v>
      </c>
      <c r="R43" s="764" t="str">
        <f aca="false">IF('rotation(W501D5)'!Q29=0," ",$B43*'rotation(W501D5)'!Q29)</f>
        <v> </v>
      </c>
      <c r="S43" s="764" t="str">
        <f aca="false">IF('rotation(W501D5)'!R29=0," ",$B43*'rotation(W501D5)'!R29)</f>
        <v> </v>
      </c>
      <c r="T43" s="764" t="str">
        <f aca="false">IF('rotation(W501D5)'!S29=0," ",$B43*'rotation(W501D5)'!S29)</f>
        <v> </v>
      </c>
      <c r="U43" s="764" t="str">
        <f aca="false">IF('rotation(W501D5)'!T29=0," ",$B43*'rotation(W501D5)'!T29)</f>
        <v> </v>
      </c>
      <c r="V43" s="764" t="str">
        <f aca="false">IF('rotation(W501D5)'!U29=0," ",$B43*'rotation(W501D5)'!U29)</f>
        <v> </v>
      </c>
      <c r="W43" s="764" t="str">
        <f aca="false">IF('rotation(W501D5)'!V29=0," ",$B43*'rotation(W501D5)'!V29)</f>
        <v> </v>
      </c>
      <c r="X43" s="666" t="n">
        <f aca="false">SUM(D43:W43)</f>
        <v>0</v>
      </c>
    </row>
    <row r="44" customFormat="false" ht="12.75" hidden="false" customHeight="false" outlineLevel="0" collapsed="false">
      <c r="A44" s="770" t="str">
        <f aca="false">'GTDB(W501D5)'!A21</f>
        <v>Clamshells</v>
      </c>
      <c r="B44" s="763" t="n">
        <f aca="false">'GTDB(W501D5)'!D21</f>
        <v>14.7</v>
      </c>
      <c r="C44" s="764"/>
      <c r="D44" s="764" t="str">
        <f aca="false">IF('rotation(W501D5)'!C33=0," ",$B44*'rotation(W501D5)'!C33)</f>
        <v> </v>
      </c>
      <c r="E44" s="764" t="str">
        <f aca="false">IF('rotation(W501D5)'!D33=0," ",$B44*'rotation(W501D5)'!D33)</f>
        <v> </v>
      </c>
      <c r="F44" s="764" t="str">
        <f aca="false">IF('rotation(W501D5)'!E33=0," ",$B44*'rotation(W501D5)'!E33)</f>
        <v> </v>
      </c>
      <c r="G44" s="764" t="str">
        <f aca="false">IF('rotation(W501D5)'!F33=0," ",$B44*'rotation(W501D5)'!F33)</f>
        <v> </v>
      </c>
      <c r="H44" s="764" t="str">
        <f aca="false">IF('rotation(W501D5)'!G33=0," ",$B44*'rotation(W501D5)'!G33)</f>
        <v> </v>
      </c>
      <c r="I44" s="764" t="str">
        <f aca="false">IF('rotation(W501D5)'!H33=0," ",$B44*'rotation(W501D5)'!H33)</f>
        <v> </v>
      </c>
      <c r="J44" s="764" t="str">
        <f aca="false">IF('rotation(W501D5)'!I33=0," ",$B44*'rotation(W501D5)'!I33)</f>
        <v> </v>
      </c>
      <c r="K44" s="764" t="str">
        <f aca="false">IF('rotation(W501D5)'!J33=0," ",$B44*'rotation(W501D5)'!J33)</f>
        <v> </v>
      </c>
      <c r="L44" s="764" t="str">
        <f aca="false">IF('rotation(W501D5)'!K33=0," ",$B44*'rotation(W501D5)'!K33)</f>
        <v> </v>
      </c>
      <c r="M44" s="764" t="str">
        <f aca="false">IF('rotation(W501D5)'!L33=0," ",$B44*'rotation(W501D5)'!L33)</f>
        <v> </v>
      </c>
      <c r="N44" s="764" t="str">
        <f aca="false">IF('rotation(W501D5)'!M33=0," ",$B44*'rotation(W501D5)'!M33)</f>
        <v> </v>
      </c>
      <c r="O44" s="764" t="str">
        <f aca="false">IF('rotation(W501D5)'!N33=0," ",$B44*'rotation(W501D5)'!N33)</f>
        <v> </v>
      </c>
      <c r="P44" s="764" t="str">
        <f aca="false">IF('rotation(W501D5)'!O33=0," ",$B44*'rotation(W501D5)'!O33)</f>
        <v> </v>
      </c>
      <c r="Q44" s="764" t="str">
        <f aca="false">IF('rotation(W501D5)'!P33=0," ",$B44*'rotation(W501D5)'!P33)</f>
        <v> </v>
      </c>
      <c r="R44" s="764" t="str">
        <f aca="false">IF('rotation(W501D5)'!Q33=0," ",$B44*'rotation(W501D5)'!Q33)</f>
        <v> </v>
      </c>
      <c r="S44" s="764" t="str">
        <f aca="false">IF('rotation(W501D5)'!R33=0," ",$B44*'rotation(W501D5)'!R33)</f>
        <v> </v>
      </c>
      <c r="T44" s="764" t="str">
        <f aca="false">IF('rotation(W501D5)'!S33=0," ",$B44*'rotation(W501D5)'!S33)</f>
        <v> </v>
      </c>
      <c r="U44" s="764" t="str">
        <f aca="false">IF('rotation(W501D5)'!T33=0," ",$B44*'rotation(W501D5)'!T33)</f>
        <v> </v>
      </c>
      <c r="V44" s="764" t="str">
        <f aca="false">IF('rotation(W501D5)'!U33=0," ",$B44*'rotation(W501D5)'!U33)</f>
        <v> </v>
      </c>
      <c r="W44" s="764" t="str">
        <f aca="false">IF('rotation(W501D5)'!V33=0," ",$B44*'rotation(W501D5)'!V33)</f>
        <v> </v>
      </c>
      <c r="X44" s="666" t="n">
        <f aca="false">SUM(D44:W44)</f>
        <v>0</v>
      </c>
    </row>
    <row r="45" customFormat="false" ht="12.75" hidden="false" customHeight="false" outlineLevel="0" collapsed="false">
      <c r="A45" s="770" t="str">
        <f aca="false">'GTDB(W501D5)'!A22</f>
        <v>Row 1 Blades</v>
      </c>
      <c r="B45" s="763" t="n">
        <f aca="false">'GTDB(W501D5)'!D22</f>
        <v>73.5</v>
      </c>
      <c r="C45" s="764"/>
      <c r="D45" s="764" t="str">
        <f aca="false">IF('rotation(W501D5)'!C37=0," ",$B45*'rotation(W501D5)'!C37)</f>
        <v> </v>
      </c>
      <c r="E45" s="764" t="str">
        <f aca="false">IF('rotation(W501D5)'!D37=0," ",$B45*'rotation(W501D5)'!D37)</f>
        <v> </v>
      </c>
      <c r="F45" s="764" t="str">
        <f aca="false">IF('rotation(W501D5)'!E37=0," ",$B45*'rotation(W501D5)'!E37)</f>
        <v> </v>
      </c>
      <c r="G45" s="764" t="str">
        <f aca="false">IF('rotation(W501D5)'!F37=0," ",$B45*'rotation(W501D5)'!F37)</f>
        <v> </v>
      </c>
      <c r="H45" s="764" t="str">
        <f aca="false">IF('rotation(W501D5)'!G37=0," ",$B45*'rotation(W501D5)'!G37)</f>
        <v> </v>
      </c>
      <c r="I45" s="764" t="str">
        <f aca="false">IF('rotation(W501D5)'!H37=0," ",$B45*'rotation(W501D5)'!H37)</f>
        <v> </v>
      </c>
      <c r="J45" s="764" t="str">
        <f aca="false">IF('rotation(W501D5)'!I37=0," ",$B45*'rotation(W501D5)'!I37)</f>
        <v> </v>
      </c>
      <c r="K45" s="764" t="str">
        <f aca="false">IF('rotation(W501D5)'!J37=0," ",$B45*'rotation(W501D5)'!J37)</f>
        <v> </v>
      </c>
      <c r="L45" s="764" t="str">
        <f aca="false">IF('rotation(W501D5)'!K37=0," ",$B45*'rotation(W501D5)'!K37)</f>
        <v> </v>
      </c>
      <c r="M45" s="764" t="str">
        <f aca="false">IF('rotation(W501D5)'!L37=0," ",$B45*'rotation(W501D5)'!L37)</f>
        <v> </v>
      </c>
      <c r="N45" s="764" t="str">
        <f aca="false">IF('rotation(W501D5)'!M37=0," ",$B45*'rotation(W501D5)'!M37)</f>
        <v> </v>
      </c>
      <c r="O45" s="764" t="str">
        <f aca="false">IF('rotation(W501D5)'!N37=0," ",$B45*'rotation(W501D5)'!N37)</f>
        <v> </v>
      </c>
      <c r="P45" s="764" t="str">
        <f aca="false">IF('rotation(W501D5)'!O37=0," ",$B45*'rotation(W501D5)'!O37)</f>
        <v> </v>
      </c>
      <c r="Q45" s="764" t="str">
        <f aca="false">IF('rotation(W501D5)'!P37=0," ",$B45*'rotation(W501D5)'!P37)</f>
        <v> </v>
      </c>
      <c r="R45" s="764" t="str">
        <f aca="false">IF('rotation(W501D5)'!Q37=0," ",$B45*'rotation(W501D5)'!Q37)</f>
        <v> </v>
      </c>
      <c r="S45" s="764" t="str">
        <f aca="false">IF('rotation(W501D5)'!R37=0," ",$B45*'rotation(W501D5)'!R37)</f>
        <v> </v>
      </c>
      <c r="T45" s="764" t="str">
        <f aca="false">IF('rotation(W501D5)'!S37=0," ",$B45*'rotation(W501D5)'!S37)</f>
        <v> </v>
      </c>
      <c r="U45" s="764" t="str">
        <f aca="false">IF('rotation(W501D5)'!T37=0," ",$B45*'rotation(W501D5)'!T37)</f>
        <v> </v>
      </c>
      <c r="V45" s="764" t="str">
        <f aca="false">IF('rotation(W501D5)'!U37=0," ",$B45*'rotation(W501D5)'!U37)</f>
        <v> </v>
      </c>
      <c r="W45" s="764" t="str">
        <f aca="false">IF('rotation(W501D5)'!V37=0," ",$B45*'rotation(W501D5)'!V37)</f>
        <v> </v>
      </c>
      <c r="X45" s="666" t="n">
        <f aca="false">SUM(D45:W45)</f>
        <v>0</v>
      </c>
    </row>
    <row r="46" customFormat="false" ht="12.75" hidden="false" customHeight="false" outlineLevel="0" collapsed="false">
      <c r="A46" s="770" t="str">
        <f aca="false">'GTDB(W501D5)'!A23</f>
        <v>Row 2 Blades</v>
      </c>
      <c r="B46" s="763" t="n">
        <f aca="false">'GTDB(W501D5)'!D23</f>
        <v>68.4</v>
      </c>
      <c r="C46" s="764"/>
      <c r="D46" s="764" t="str">
        <f aca="false">IF('rotation(W501D5)'!C41=0," ",$B46*'rotation(W501D5)'!C41)</f>
        <v> </v>
      </c>
      <c r="E46" s="764" t="str">
        <f aca="false">IF('rotation(W501D5)'!D41=0," ",$B46*'rotation(W501D5)'!D41)</f>
        <v> </v>
      </c>
      <c r="F46" s="764" t="str">
        <f aca="false">IF('rotation(W501D5)'!E41=0," ",$B46*'rotation(W501D5)'!E41)</f>
        <v> </v>
      </c>
      <c r="G46" s="764" t="str">
        <f aca="false">IF('rotation(W501D5)'!F41=0," ",$B46*'rotation(W501D5)'!F41)</f>
        <v> </v>
      </c>
      <c r="H46" s="764" t="str">
        <f aca="false">IF('rotation(W501D5)'!G41=0," ",$B46*'rotation(W501D5)'!G41)</f>
        <v> </v>
      </c>
      <c r="I46" s="764" t="str">
        <f aca="false">IF('rotation(W501D5)'!H41=0," ",$B46*'rotation(W501D5)'!H41)</f>
        <v> </v>
      </c>
      <c r="J46" s="764" t="str">
        <f aca="false">IF('rotation(W501D5)'!I41=0," ",$B46*'rotation(W501D5)'!I41)</f>
        <v> </v>
      </c>
      <c r="K46" s="764" t="str">
        <f aca="false">IF('rotation(W501D5)'!J41=0," ",$B46*'rotation(W501D5)'!J41)</f>
        <v> </v>
      </c>
      <c r="L46" s="764" t="str">
        <f aca="false">IF('rotation(W501D5)'!K41=0," ",$B46*'rotation(W501D5)'!K41)</f>
        <v> </v>
      </c>
      <c r="M46" s="764" t="str">
        <f aca="false">IF('rotation(W501D5)'!L41=0," ",$B46*'rotation(W501D5)'!L41)</f>
        <v> </v>
      </c>
      <c r="N46" s="764" t="str">
        <f aca="false">IF('rotation(W501D5)'!M41=0," ",$B46*'rotation(W501D5)'!M41)</f>
        <v> </v>
      </c>
      <c r="O46" s="764" t="str">
        <f aca="false">IF('rotation(W501D5)'!N41=0," ",$B46*'rotation(W501D5)'!N41)</f>
        <v> </v>
      </c>
      <c r="P46" s="764" t="str">
        <f aca="false">IF('rotation(W501D5)'!O41=0," ",$B46*'rotation(W501D5)'!O41)</f>
        <v> </v>
      </c>
      <c r="Q46" s="764" t="str">
        <f aca="false">IF('rotation(W501D5)'!P41=0," ",$B46*'rotation(W501D5)'!P41)</f>
        <v> </v>
      </c>
      <c r="R46" s="764" t="str">
        <f aca="false">IF('rotation(W501D5)'!Q41=0," ",$B46*'rotation(W501D5)'!Q41)</f>
        <v> </v>
      </c>
      <c r="S46" s="764" t="str">
        <f aca="false">IF('rotation(W501D5)'!R41=0," ",$B46*'rotation(W501D5)'!R41)</f>
        <v> </v>
      </c>
      <c r="T46" s="764" t="str">
        <f aca="false">IF('rotation(W501D5)'!S41=0," ",$B46*'rotation(W501D5)'!S41)</f>
        <v> </v>
      </c>
      <c r="U46" s="764" t="str">
        <f aca="false">IF('rotation(W501D5)'!T41=0," ",$B46*'rotation(W501D5)'!T41)</f>
        <v> </v>
      </c>
      <c r="V46" s="764" t="str">
        <f aca="false">IF('rotation(W501D5)'!U41=0," ",$B46*'rotation(W501D5)'!U41)</f>
        <v> </v>
      </c>
      <c r="W46" s="764" t="str">
        <f aca="false">IF('rotation(W501D5)'!V41=0," ",$B46*'rotation(W501D5)'!V41)</f>
        <v> </v>
      </c>
      <c r="X46" s="666" t="n">
        <f aca="false">SUM(D46:W46)</f>
        <v>0</v>
      </c>
    </row>
    <row r="47" customFormat="false" ht="12.75" hidden="false" customHeight="false" outlineLevel="0" collapsed="false">
      <c r="A47" s="770" t="str">
        <f aca="false">'GTDB(W501D5)'!A24</f>
        <v>Row 3 Blades</v>
      </c>
      <c r="B47" s="763" t="n">
        <f aca="false">'GTDB(W501D5)'!D24</f>
        <v>56.7</v>
      </c>
      <c r="C47" s="764"/>
      <c r="D47" s="764" t="str">
        <f aca="false">IF('rotation(W501D5)'!C45=0," ",$B47*'rotation(W501D5)'!C45)</f>
        <v> </v>
      </c>
      <c r="E47" s="764" t="str">
        <f aca="false">IF('rotation(W501D5)'!D45=0," ",$B47*'rotation(W501D5)'!D45)</f>
        <v> </v>
      </c>
      <c r="F47" s="764" t="str">
        <f aca="false">IF('rotation(W501D5)'!E45=0," ",$B47*'rotation(W501D5)'!E45)</f>
        <v> </v>
      </c>
      <c r="G47" s="764" t="str">
        <f aca="false">IF('rotation(W501D5)'!F45=0," ",$B47*'rotation(W501D5)'!F45)</f>
        <v> </v>
      </c>
      <c r="H47" s="764" t="str">
        <f aca="false">IF('rotation(W501D5)'!G45=0," ",$B47*'rotation(W501D5)'!G45)</f>
        <v> </v>
      </c>
      <c r="I47" s="764" t="str">
        <f aca="false">IF('rotation(W501D5)'!H45=0," ",$B47*'rotation(W501D5)'!H45)</f>
        <v> </v>
      </c>
      <c r="J47" s="764" t="str">
        <f aca="false">IF('rotation(W501D5)'!I45=0," ",$B47*'rotation(W501D5)'!I45)</f>
        <v> </v>
      </c>
      <c r="K47" s="764" t="str">
        <f aca="false">IF('rotation(W501D5)'!J45=0," ",$B47*'rotation(W501D5)'!J45)</f>
        <v> </v>
      </c>
      <c r="L47" s="764" t="str">
        <f aca="false">IF('rotation(W501D5)'!K45=0," ",$B47*'rotation(W501D5)'!K45)</f>
        <v> </v>
      </c>
      <c r="M47" s="764" t="str">
        <f aca="false">IF('rotation(W501D5)'!L45=0," ",$B47*'rotation(W501D5)'!L45)</f>
        <v> </v>
      </c>
      <c r="N47" s="764" t="str">
        <f aca="false">IF('rotation(W501D5)'!M45=0," ",$B47*'rotation(W501D5)'!M45)</f>
        <v> </v>
      </c>
      <c r="O47" s="764" t="str">
        <f aca="false">IF('rotation(W501D5)'!N45=0," ",$B47*'rotation(W501D5)'!N45)</f>
        <v> </v>
      </c>
      <c r="P47" s="764" t="str">
        <f aca="false">IF('rotation(W501D5)'!O45=0," ",$B47*'rotation(W501D5)'!O45)</f>
        <v> </v>
      </c>
      <c r="Q47" s="764" t="str">
        <f aca="false">IF('rotation(W501D5)'!P45=0," ",$B47*'rotation(W501D5)'!P45)</f>
        <v> </v>
      </c>
      <c r="R47" s="764" t="str">
        <f aca="false">IF('rotation(W501D5)'!Q45=0," ",$B47*'rotation(W501D5)'!Q45)</f>
        <v> </v>
      </c>
      <c r="S47" s="764" t="str">
        <f aca="false">IF('rotation(W501D5)'!R45=0," ",$B47*'rotation(W501D5)'!R45)</f>
        <v> </v>
      </c>
      <c r="T47" s="764" t="str">
        <f aca="false">IF('rotation(W501D5)'!S45=0," ",$B47*'rotation(W501D5)'!S45)</f>
        <v> </v>
      </c>
      <c r="U47" s="764" t="str">
        <f aca="false">IF('rotation(W501D5)'!T45=0," ",$B47*'rotation(W501D5)'!T45)</f>
        <v> </v>
      </c>
      <c r="V47" s="764" t="str">
        <f aca="false">IF('rotation(W501D5)'!U45=0," ",$B47*'rotation(W501D5)'!U45)</f>
        <v> </v>
      </c>
      <c r="W47" s="764" t="str">
        <f aca="false">IF('rotation(W501D5)'!V45=0," ",$B47*'rotation(W501D5)'!V45)</f>
        <v> </v>
      </c>
      <c r="X47" s="666" t="n">
        <f aca="false">SUM(D47:W47)</f>
        <v>0</v>
      </c>
    </row>
    <row r="48" customFormat="false" ht="12.75" hidden="false" customHeight="false" outlineLevel="0" collapsed="false">
      <c r="A48" s="770" t="str">
        <f aca="false">'GTDB(W501D5)'!A25</f>
        <v>Row 4 Blades</v>
      </c>
      <c r="B48" s="763" t="n">
        <f aca="false">'GTDB(W501D5)'!D25</f>
        <v>79.17</v>
      </c>
      <c r="C48" s="764"/>
      <c r="D48" s="764" t="str">
        <f aca="false">IF('rotation(W501D5)'!C49=0," ",$B48*'rotation(W501D5)'!C49)</f>
        <v> </v>
      </c>
      <c r="E48" s="764" t="str">
        <f aca="false">IF('rotation(W501D5)'!D49=0," ",$B48*'rotation(W501D5)'!D49)</f>
        <v> </v>
      </c>
      <c r="F48" s="764" t="str">
        <f aca="false">IF('rotation(W501D5)'!E49=0," ",$B48*'rotation(W501D5)'!E49)</f>
        <v> </v>
      </c>
      <c r="G48" s="764" t="str">
        <f aca="false">IF('rotation(W501D5)'!F49=0," ",$B48*'rotation(W501D5)'!F49)</f>
        <v> </v>
      </c>
      <c r="H48" s="764" t="str">
        <f aca="false">IF('rotation(W501D5)'!G49=0," ",$B48*'rotation(W501D5)'!G49)</f>
        <v> </v>
      </c>
      <c r="I48" s="764" t="str">
        <f aca="false">IF('rotation(W501D5)'!H49=0," ",$B48*'rotation(W501D5)'!H49)</f>
        <v> </v>
      </c>
      <c r="J48" s="764" t="str">
        <f aca="false">IF('rotation(W501D5)'!I49=0," ",$B48*'rotation(W501D5)'!I49)</f>
        <v> </v>
      </c>
      <c r="K48" s="764" t="str">
        <f aca="false">IF('rotation(W501D5)'!J49=0," ",$B48*'rotation(W501D5)'!J49)</f>
        <v> </v>
      </c>
      <c r="L48" s="764" t="str">
        <f aca="false">IF('rotation(W501D5)'!K49=0," ",$B48*'rotation(W501D5)'!K49)</f>
        <v> </v>
      </c>
      <c r="M48" s="764" t="str">
        <f aca="false">IF('rotation(W501D5)'!L49=0," ",$B48*'rotation(W501D5)'!L49)</f>
        <v> </v>
      </c>
      <c r="N48" s="764" t="str">
        <f aca="false">IF('rotation(W501D5)'!M49=0," ",$B48*'rotation(W501D5)'!M49)</f>
        <v> </v>
      </c>
      <c r="O48" s="764" t="str">
        <f aca="false">IF('rotation(W501D5)'!N49=0," ",$B48*'rotation(W501D5)'!N49)</f>
        <v> </v>
      </c>
      <c r="P48" s="764" t="str">
        <f aca="false">IF('rotation(W501D5)'!O49=0," ",$B48*'rotation(W501D5)'!O49)</f>
        <v> </v>
      </c>
      <c r="Q48" s="764" t="str">
        <f aca="false">IF('rotation(W501D5)'!P49=0," ",$B48*'rotation(W501D5)'!P49)</f>
        <v> </v>
      </c>
      <c r="R48" s="764" t="str">
        <f aca="false">IF('rotation(W501D5)'!Q49=0," ",$B48*'rotation(W501D5)'!Q49)</f>
        <v> </v>
      </c>
      <c r="S48" s="764" t="str">
        <f aca="false">IF('rotation(W501D5)'!R49=0," ",$B48*'rotation(W501D5)'!R49)</f>
        <v> </v>
      </c>
      <c r="T48" s="764" t="str">
        <f aca="false">IF('rotation(W501D5)'!S49=0," ",$B48*'rotation(W501D5)'!S49)</f>
        <v> </v>
      </c>
      <c r="U48" s="764" t="str">
        <f aca="false">IF('rotation(W501D5)'!T49=0," ",$B48*'rotation(W501D5)'!T49)</f>
        <v> </v>
      </c>
      <c r="V48" s="764" t="str">
        <f aca="false">IF('rotation(W501D5)'!U49=0," ",$B48*'rotation(W501D5)'!U49)</f>
        <v> </v>
      </c>
      <c r="W48" s="764" t="str">
        <f aca="false">IF('rotation(W501D5)'!V49=0," ",$B48*'rotation(W501D5)'!V49)</f>
        <v> </v>
      </c>
      <c r="X48" s="666" t="n">
        <f aca="false">SUM(D48:W48)</f>
        <v>0</v>
      </c>
    </row>
    <row r="49" customFormat="false" ht="12.75" hidden="false" customHeight="false" outlineLevel="0" collapsed="false">
      <c r="A49" s="770" t="str">
        <f aca="false">'GTDB(W501D5)'!A26</f>
        <v>Row 1 Vanes </v>
      </c>
      <c r="B49" s="763" t="n">
        <f aca="false">'GTDB(W501D5)'!D26</f>
        <v>105.36</v>
      </c>
      <c r="C49" s="764"/>
      <c r="D49" s="764" t="str">
        <f aca="false">IF('rotation(W501D5)'!C53=0," ",$B49*'rotation(W501D5)'!C53)</f>
        <v> </v>
      </c>
      <c r="E49" s="764" t="str">
        <f aca="false">IF('rotation(W501D5)'!D53=0," ",$B49*'rotation(W501D5)'!D53)</f>
        <v> </v>
      </c>
      <c r="F49" s="764" t="str">
        <f aca="false">IF('rotation(W501D5)'!E53=0," ",$B49*'rotation(W501D5)'!E53)</f>
        <v> </v>
      </c>
      <c r="G49" s="764" t="str">
        <f aca="false">IF('rotation(W501D5)'!F53=0," ",$B49*'rotation(W501D5)'!F53)</f>
        <v> </v>
      </c>
      <c r="H49" s="764" t="str">
        <f aca="false">IF('rotation(W501D5)'!G53=0," ",$B49*'rotation(W501D5)'!G53)</f>
        <v> </v>
      </c>
      <c r="I49" s="764" t="str">
        <f aca="false">IF('rotation(W501D5)'!H53=0," ",$B49*'rotation(W501D5)'!H53)</f>
        <v> </v>
      </c>
      <c r="J49" s="764" t="str">
        <f aca="false">IF('rotation(W501D5)'!I53=0," ",$B49*'rotation(W501D5)'!I53)</f>
        <v> </v>
      </c>
      <c r="K49" s="764" t="str">
        <f aca="false">IF('rotation(W501D5)'!J53=0," ",$B49*'rotation(W501D5)'!J53)</f>
        <v> </v>
      </c>
      <c r="L49" s="764" t="str">
        <f aca="false">IF('rotation(W501D5)'!K53=0," ",$B49*'rotation(W501D5)'!K53)</f>
        <v> </v>
      </c>
      <c r="M49" s="764" t="str">
        <f aca="false">IF('rotation(W501D5)'!L53=0," ",$B49*'rotation(W501D5)'!L53)</f>
        <v> </v>
      </c>
      <c r="N49" s="764" t="str">
        <f aca="false">IF('rotation(W501D5)'!M53=0," ",$B49*'rotation(W501D5)'!M53)</f>
        <v> </v>
      </c>
      <c r="O49" s="764" t="str">
        <f aca="false">IF('rotation(W501D5)'!N53=0," ",$B49*'rotation(W501D5)'!N53)</f>
        <v> </v>
      </c>
      <c r="P49" s="764" t="str">
        <f aca="false">IF('rotation(W501D5)'!O53=0," ",$B49*'rotation(W501D5)'!O53)</f>
        <v> </v>
      </c>
      <c r="Q49" s="764" t="str">
        <f aca="false">IF('rotation(W501D5)'!P53=0," ",$B49*'rotation(W501D5)'!P53)</f>
        <v> </v>
      </c>
      <c r="R49" s="764" t="str">
        <f aca="false">IF('rotation(W501D5)'!Q53=0," ",$B49*'rotation(W501D5)'!Q53)</f>
        <v> </v>
      </c>
      <c r="S49" s="764" t="str">
        <f aca="false">IF('rotation(W501D5)'!R53=0," ",$B49*'rotation(W501D5)'!R53)</f>
        <v> </v>
      </c>
      <c r="T49" s="764" t="str">
        <f aca="false">IF('rotation(W501D5)'!S53=0," ",$B49*'rotation(W501D5)'!S53)</f>
        <v> </v>
      </c>
      <c r="U49" s="764" t="str">
        <f aca="false">IF('rotation(W501D5)'!T53=0," ",$B49*'rotation(W501D5)'!T53)</f>
        <v> </v>
      </c>
      <c r="V49" s="764" t="str">
        <f aca="false">IF('rotation(W501D5)'!U53=0," ",$B49*'rotation(W501D5)'!U53)</f>
        <v> </v>
      </c>
      <c r="W49" s="764" t="str">
        <f aca="false">IF('rotation(W501D5)'!V53=0," ",$B49*'rotation(W501D5)'!V53)</f>
        <v> </v>
      </c>
      <c r="X49" s="666" t="n">
        <f aca="false">SUM(D49:W49)</f>
        <v>0</v>
      </c>
    </row>
    <row r="50" customFormat="false" ht="12.75" hidden="false" customHeight="false" outlineLevel="0" collapsed="false">
      <c r="A50" s="770" t="str">
        <f aca="false">'GTDB(W501D5)'!A27</f>
        <v>Row 2 Vanes</v>
      </c>
      <c r="B50" s="763" t="n">
        <f aca="false">'GTDB(W501D5)'!D27</f>
        <v>84.68</v>
      </c>
      <c r="C50" s="764"/>
      <c r="D50" s="764" t="str">
        <f aca="false">IF('rotation(W501D5)'!C57=0," ",$B50*'rotation(W501D5)'!C57)</f>
        <v> </v>
      </c>
      <c r="E50" s="764" t="str">
        <f aca="false">IF('rotation(W501D5)'!D57=0," ",$B50*'rotation(W501D5)'!D57)</f>
        <v> </v>
      </c>
      <c r="F50" s="764" t="str">
        <f aca="false">IF('rotation(W501D5)'!E57=0," ",$B50*'rotation(W501D5)'!E57)</f>
        <v> </v>
      </c>
      <c r="G50" s="764" t="str">
        <f aca="false">IF('rotation(W501D5)'!F57=0," ",$B50*'rotation(W501D5)'!F57)</f>
        <v> </v>
      </c>
      <c r="H50" s="764" t="str">
        <f aca="false">IF('rotation(W501D5)'!G57=0," ",$B50*'rotation(W501D5)'!G57)</f>
        <v> </v>
      </c>
      <c r="I50" s="764" t="str">
        <f aca="false">IF('rotation(W501D5)'!H57=0," ",$B50*'rotation(W501D5)'!H57)</f>
        <v> </v>
      </c>
      <c r="J50" s="764" t="str">
        <f aca="false">IF('rotation(W501D5)'!I57=0," ",$B50*'rotation(W501D5)'!I57)</f>
        <v> </v>
      </c>
      <c r="K50" s="764" t="str">
        <f aca="false">IF('rotation(W501D5)'!J57=0," ",$B50*'rotation(W501D5)'!J57)</f>
        <v> </v>
      </c>
      <c r="L50" s="764" t="str">
        <f aca="false">IF('rotation(W501D5)'!K57=0," ",$B50*'rotation(W501D5)'!K57)</f>
        <v> </v>
      </c>
      <c r="M50" s="764" t="str">
        <f aca="false">IF('rotation(W501D5)'!L57=0," ",$B50*'rotation(W501D5)'!L57)</f>
        <v> </v>
      </c>
      <c r="N50" s="764" t="str">
        <f aca="false">IF('rotation(W501D5)'!M57=0," ",$B50*'rotation(W501D5)'!M57)</f>
        <v> </v>
      </c>
      <c r="O50" s="764" t="str">
        <f aca="false">IF('rotation(W501D5)'!N57=0," ",$B50*'rotation(W501D5)'!N57)</f>
        <v> </v>
      </c>
      <c r="P50" s="764" t="str">
        <f aca="false">IF('rotation(W501D5)'!O57=0," ",$B50*'rotation(W501D5)'!O57)</f>
        <v> </v>
      </c>
      <c r="Q50" s="764" t="str">
        <f aca="false">IF('rotation(W501D5)'!P57=0," ",$B50*'rotation(W501D5)'!P57)</f>
        <v> </v>
      </c>
      <c r="R50" s="764" t="str">
        <f aca="false">IF('rotation(W501D5)'!Q57=0," ",$B50*'rotation(W501D5)'!Q57)</f>
        <v> </v>
      </c>
      <c r="S50" s="764" t="str">
        <f aca="false">IF('rotation(W501D5)'!R57=0," ",$B50*'rotation(W501D5)'!R57)</f>
        <v> </v>
      </c>
      <c r="T50" s="764" t="str">
        <f aca="false">IF('rotation(W501D5)'!S57=0," ",$B50*'rotation(W501D5)'!S57)</f>
        <v> </v>
      </c>
      <c r="U50" s="764" t="str">
        <f aca="false">IF('rotation(W501D5)'!T57=0," ",$B50*'rotation(W501D5)'!T57)</f>
        <v> </v>
      </c>
      <c r="V50" s="764" t="str">
        <f aca="false">IF('rotation(W501D5)'!U57=0," ",$B50*'rotation(W501D5)'!U57)</f>
        <v> </v>
      </c>
      <c r="W50" s="764" t="str">
        <f aca="false">IF('rotation(W501D5)'!V57=0," ",$B50*'rotation(W501D5)'!V57)</f>
        <v> </v>
      </c>
      <c r="X50" s="666" t="n">
        <f aca="false">SUM(D50:W50)</f>
        <v>0</v>
      </c>
    </row>
    <row r="51" customFormat="false" ht="12.75" hidden="false" customHeight="false" outlineLevel="0" collapsed="false">
      <c r="A51" s="770" t="str">
        <f aca="false">'GTDB(W501D5)'!A28</f>
        <v>Row 3 Vanes</v>
      </c>
      <c r="B51" s="763" t="n">
        <f aca="false">'GTDB(W501D5)'!D28</f>
        <v>77.4</v>
      </c>
      <c r="C51" s="764"/>
      <c r="D51" s="764" t="str">
        <f aca="false">IF('rotation(W501D5)'!C61=0," ",$B51*'rotation(W501D5)'!C61)</f>
        <v> </v>
      </c>
      <c r="E51" s="764" t="str">
        <f aca="false">IF('rotation(W501D5)'!D61=0," ",$B51*'rotation(W501D5)'!D61)</f>
        <v> </v>
      </c>
      <c r="F51" s="764" t="str">
        <f aca="false">IF('rotation(W501D5)'!E61=0," ",$B51*'rotation(W501D5)'!E61)</f>
        <v> </v>
      </c>
      <c r="G51" s="764" t="str">
        <f aca="false">IF('rotation(W501D5)'!F61=0," ",$B51*'rotation(W501D5)'!F61)</f>
        <v> </v>
      </c>
      <c r="H51" s="764" t="str">
        <f aca="false">IF('rotation(W501D5)'!G61=0," ",$B51*'rotation(W501D5)'!G61)</f>
        <v> </v>
      </c>
      <c r="I51" s="764" t="str">
        <f aca="false">IF('rotation(W501D5)'!H61=0," ",$B51*'rotation(W501D5)'!H61)</f>
        <v> </v>
      </c>
      <c r="J51" s="764" t="str">
        <f aca="false">IF('rotation(W501D5)'!I61=0," ",$B51*'rotation(W501D5)'!I61)</f>
        <v> </v>
      </c>
      <c r="K51" s="764" t="str">
        <f aca="false">IF('rotation(W501D5)'!J61=0," ",$B51*'rotation(W501D5)'!J61)</f>
        <v> </v>
      </c>
      <c r="L51" s="764" t="str">
        <f aca="false">IF('rotation(W501D5)'!K61=0," ",$B51*'rotation(W501D5)'!K61)</f>
        <v> </v>
      </c>
      <c r="M51" s="764" t="str">
        <f aca="false">IF('rotation(W501D5)'!L61=0," ",$B51*'rotation(W501D5)'!L61)</f>
        <v> </v>
      </c>
      <c r="N51" s="764" t="str">
        <f aca="false">IF('rotation(W501D5)'!M61=0," ",$B51*'rotation(W501D5)'!M61)</f>
        <v> </v>
      </c>
      <c r="O51" s="764" t="str">
        <f aca="false">IF('rotation(W501D5)'!N61=0," ",$B51*'rotation(W501D5)'!N61)</f>
        <v> </v>
      </c>
      <c r="P51" s="764" t="str">
        <f aca="false">IF('rotation(W501D5)'!O61=0," ",$B51*'rotation(W501D5)'!O61)</f>
        <v> </v>
      </c>
      <c r="Q51" s="764" t="str">
        <f aca="false">IF('rotation(W501D5)'!P61=0," ",$B51*'rotation(W501D5)'!P61)</f>
        <v> </v>
      </c>
      <c r="R51" s="764" t="str">
        <f aca="false">IF('rotation(W501D5)'!Q61=0," ",$B51*'rotation(W501D5)'!Q61)</f>
        <v> </v>
      </c>
      <c r="S51" s="764" t="str">
        <f aca="false">IF('rotation(W501D5)'!R61=0," ",$B51*'rotation(W501D5)'!R61)</f>
        <v> </v>
      </c>
      <c r="T51" s="764" t="str">
        <f aca="false">IF('rotation(W501D5)'!S61=0," ",$B51*'rotation(W501D5)'!S61)</f>
        <v> </v>
      </c>
      <c r="U51" s="764" t="str">
        <f aca="false">IF('rotation(W501D5)'!T61=0," ",$B51*'rotation(W501D5)'!T61)</f>
        <v> </v>
      </c>
      <c r="V51" s="764" t="str">
        <f aca="false">IF('rotation(W501D5)'!U61=0," ",$B51*'rotation(W501D5)'!U61)</f>
        <v> </v>
      </c>
      <c r="W51" s="764" t="str">
        <f aca="false">IF('rotation(W501D5)'!V61=0," ",$B51*'rotation(W501D5)'!V61)</f>
        <v> </v>
      </c>
      <c r="X51" s="666" t="n">
        <f aca="false">SUM(D51:W51)</f>
        <v>0</v>
      </c>
    </row>
    <row r="52" customFormat="false" ht="12.75" hidden="false" customHeight="false" outlineLevel="0" collapsed="false">
      <c r="A52" s="770" t="str">
        <f aca="false">'GTDB(W501D5)'!A29</f>
        <v>Row 4 Vanes</v>
      </c>
      <c r="B52" s="763" t="n">
        <f aca="false">'GTDB(W501D5)'!D29</f>
        <v>70.95</v>
      </c>
      <c r="C52" s="764"/>
      <c r="D52" s="764" t="str">
        <f aca="false">IF('rotation(W501D5)'!C65=0," ",$B52*'rotation(W501D5)'!C65)</f>
        <v> </v>
      </c>
      <c r="E52" s="764" t="str">
        <f aca="false">IF('rotation(W501D5)'!D65=0," ",$B52*'rotation(W501D5)'!D65)</f>
        <v> </v>
      </c>
      <c r="F52" s="764" t="str">
        <f aca="false">IF('rotation(W501D5)'!E65=0," ",$B52*'rotation(W501D5)'!E65)</f>
        <v> </v>
      </c>
      <c r="G52" s="764" t="str">
        <f aca="false">IF('rotation(W501D5)'!F65=0," ",$B52*'rotation(W501D5)'!F65)</f>
        <v> </v>
      </c>
      <c r="H52" s="764" t="str">
        <f aca="false">IF('rotation(W501D5)'!G65=0," ",$B52*'rotation(W501D5)'!G65)</f>
        <v> </v>
      </c>
      <c r="I52" s="764" t="str">
        <f aca="false">IF('rotation(W501D5)'!H65=0," ",$B52*'rotation(W501D5)'!H65)</f>
        <v> </v>
      </c>
      <c r="J52" s="764" t="str">
        <f aca="false">IF('rotation(W501D5)'!I65=0," ",$B52*'rotation(W501D5)'!I65)</f>
        <v> </v>
      </c>
      <c r="K52" s="764" t="str">
        <f aca="false">IF('rotation(W501D5)'!J65=0," ",$B52*'rotation(W501D5)'!J65)</f>
        <v> </v>
      </c>
      <c r="L52" s="764" t="str">
        <f aca="false">IF('rotation(W501D5)'!K65=0," ",$B52*'rotation(W501D5)'!K65)</f>
        <v> </v>
      </c>
      <c r="M52" s="764" t="str">
        <f aca="false">IF('rotation(W501D5)'!L65=0," ",$B52*'rotation(W501D5)'!L65)</f>
        <v> </v>
      </c>
      <c r="N52" s="764" t="str">
        <f aca="false">IF('rotation(W501D5)'!M65=0," ",$B52*'rotation(W501D5)'!M65)</f>
        <v> </v>
      </c>
      <c r="O52" s="764" t="str">
        <f aca="false">IF('rotation(W501D5)'!N65=0," ",$B52*'rotation(W501D5)'!N65)</f>
        <v> </v>
      </c>
      <c r="P52" s="764" t="str">
        <f aca="false">IF('rotation(W501D5)'!O65=0," ",$B52*'rotation(W501D5)'!O65)</f>
        <v> </v>
      </c>
      <c r="Q52" s="764" t="str">
        <f aca="false">IF('rotation(W501D5)'!P65=0," ",$B52*'rotation(W501D5)'!P65)</f>
        <v> </v>
      </c>
      <c r="R52" s="764" t="str">
        <f aca="false">IF('rotation(W501D5)'!Q65=0," ",$B52*'rotation(W501D5)'!Q65)</f>
        <v> </v>
      </c>
      <c r="S52" s="764" t="str">
        <f aca="false">IF('rotation(W501D5)'!R65=0," ",$B52*'rotation(W501D5)'!R65)</f>
        <v> </v>
      </c>
      <c r="T52" s="764" t="str">
        <f aca="false">IF('rotation(W501D5)'!S65=0," ",$B52*'rotation(W501D5)'!S65)</f>
        <v> </v>
      </c>
      <c r="U52" s="764" t="str">
        <f aca="false">IF('rotation(W501D5)'!T65=0," ",$B52*'rotation(W501D5)'!T65)</f>
        <v> </v>
      </c>
      <c r="V52" s="764" t="str">
        <f aca="false">IF('rotation(W501D5)'!U65=0," ",$B52*'rotation(W501D5)'!U65)</f>
        <v> </v>
      </c>
      <c r="W52" s="764" t="str">
        <f aca="false">IF('rotation(W501D5)'!V65=0," ",$B52*'rotation(W501D5)'!V65)</f>
        <v> </v>
      </c>
      <c r="X52" s="666" t="n">
        <f aca="false">SUM(D52:W52)</f>
        <v>0</v>
      </c>
    </row>
    <row r="53" customFormat="false" ht="12.75" hidden="false" customHeight="false" outlineLevel="0" collapsed="false">
      <c r="A53" s="770" t="str">
        <f aca="false">'GTDB(W501D5)'!A30</f>
        <v>Row 1 ring segments</v>
      </c>
      <c r="B53" s="763" t="n">
        <f aca="false">'GTDB(W501D5)'!D30</f>
        <v>14.5</v>
      </c>
      <c r="C53" s="764"/>
      <c r="D53" s="764" t="str">
        <f aca="false">IF('rotation(W501D5)'!C69=0," ",$B53*'rotation(W501D5)'!C69)</f>
        <v> </v>
      </c>
      <c r="E53" s="764" t="str">
        <f aca="false">IF('rotation(W501D5)'!D69=0," ",$B53*'rotation(W501D5)'!D69)</f>
        <v> </v>
      </c>
      <c r="F53" s="764" t="str">
        <f aca="false">IF('rotation(W501D5)'!E69=0," ",$B53*'rotation(W501D5)'!E69)</f>
        <v> </v>
      </c>
      <c r="G53" s="764" t="str">
        <f aca="false">IF('rotation(W501D5)'!F69=0," ",$B53*'rotation(W501D5)'!F69)</f>
        <v> </v>
      </c>
      <c r="H53" s="764" t="str">
        <f aca="false">IF('rotation(W501D5)'!G69=0," ",$B53*'rotation(W501D5)'!G69)</f>
        <v> </v>
      </c>
      <c r="I53" s="764" t="str">
        <f aca="false">IF('rotation(W501D5)'!H69=0," ",$B53*'rotation(W501D5)'!H69)</f>
        <v> </v>
      </c>
      <c r="J53" s="764" t="str">
        <f aca="false">IF('rotation(W501D5)'!I69=0," ",$B53*'rotation(W501D5)'!I69)</f>
        <v> </v>
      </c>
      <c r="K53" s="764" t="str">
        <f aca="false">IF('rotation(W501D5)'!J69=0," ",$B53*'rotation(W501D5)'!J69)</f>
        <v> </v>
      </c>
      <c r="L53" s="764" t="str">
        <f aca="false">IF('rotation(W501D5)'!K69=0," ",$B53*'rotation(W501D5)'!K69)</f>
        <v> </v>
      </c>
      <c r="M53" s="764" t="str">
        <f aca="false">IF('rotation(W501D5)'!L69=0," ",$B53*'rotation(W501D5)'!L69)</f>
        <v> </v>
      </c>
      <c r="N53" s="764" t="str">
        <f aca="false">IF('rotation(W501D5)'!M69=0," ",$B53*'rotation(W501D5)'!M69)</f>
        <v> </v>
      </c>
      <c r="O53" s="764" t="str">
        <f aca="false">IF('rotation(W501D5)'!N69=0," ",$B53*'rotation(W501D5)'!N69)</f>
        <v> </v>
      </c>
      <c r="P53" s="764" t="str">
        <f aca="false">IF('rotation(W501D5)'!O69=0," ",$B53*'rotation(W501D5)'!O69)</f>
        <v> </v>
      </c>
      <c r="Q53" s="764" t="str">
        <f aca="false">IF('rotation(W501D5)'!P69=0," ",$B53*'rotation(W501D5)'!P69)</f>
        <v> </v>
      </c>
      <c r="R53" s="764" t="str">
        <f aca="false">IF('rotation(W501D5)'!Q69=0," ",$B53*'rotation(W501D5)'!Q69)</f>
        <v> </v>
      </c>
      <c r="S53" s="764" t="str">
        <f aca="false">IF('rotation(W501D5)'!R69=0," ",$B53*'rotation(W501D5)'!R69)</f>
        <v> </v>
      </c>
      <c r="T53" s="764" t="str">
        <f aca="false">IF('rotation(W501D5)'!S69=0," ",$B53*'rotation(W501D5)'!S69)</f>
        <v> </v>
      </c>
      <c r="U53" s="764" t="str">
        <f aca="false">IF('rotation(W501D5)'!T69=0," ",$B53*'rotation(W501D5)'!T69)</f>
        <v> </v>
      </c>
      <c r="V53" s="764" t="str">
        <f aca="false">IF('rotation(W501D5)'!U69=0," ",$B53*'rotation(W501D5)'!U69)</f>
        <v> </v>
      </c>
      <c r="W53" s="764" t="str">
        <f aca="false">IF('rotation(W501D5)'!V69=0," ",$B53*'rotation(W501D5)'!V69)</f>
        <v> </v>
      </c>
      <c r="X53" s="666" t="n">
        <f aca="false">SUM(D53:W53)</f>
        <v>0</v>
      </c>
    </row>
    <row r="54" customFormat="false" ht="12.75" hidden="false" customHeight="false" outlineLevel="0" collapsed="false">
      <c r="A54" s="770" t="str">
        <f aca="false">'GTDB(W501D5)'!A31</f>
        <v>Row 2 ring segments</v>
      </c>
      <c r="B54" s="763" t="n">
        <f aca="false">'GTDB(W501D5)'!D31</f>
        <v>14.5</v>
      </c>
      <c r="C54" s="764"/>
      <c r="D54" s="764" t="str">
        <f aca="false">IF('rotation(W501D5)'!C73=0," ",$B54*'rotation(W501D5)'!C73)</f>
        <v> </v>
      </c>
      <c r="E54" s="764" t="str">
        <f aca="false">IF('rotation(W501D5)'!D73=0," ",$B54*'rotation(W501D5)'!D73)</f>
        <v> </v>
      </c>
      <c r="F54" s="764" t="str">
        <f aca="false">IF('rotation(W501D5)'!E73=0," ",$B54*'rotation(W501D5)'!E73)</f>
        <v> </v>
      </c>
      <c r="G54" s="764" t="str">
        <f aca="false">IF('rotation(W501D5)'!F73=0," ",$B54*'rotation(W501D5)'!F73)</f>
        <v> </v>
      </c>
      <c r="H54" s="764" t="str">
        <f aca="false">IF('rotation(W501D5)'!G73=0," ",$B54*'rotation(W501D5)'!G73)</f>
        <v> </v>
      </c>
      <c r="I54" s="764" t="str">
        <f aca="false">IF('rotation(W501D5)'!H73=0," ",$B54*'rotation(W501D5)'!H73)</f>
        <v> </v>
      </c>
      <c r="J54" s="764" t="str">
        <f aca="false">IF('rotation(W501D5)'!I73=0," ",$B54*'rotation(W501D5)'!I73)</f>
        <v> </v>
      </c>
      <c r="K54" s="764" t="str">
        <f aca="false">IF('rotation(W501D5)'!J73=0," ",$B54*'rotation(W501D5)'!J73)</f>
        <v> </v>
      </c>
      <c r="L54" s="764" t="str">
        <f aca="false">IF('rotation(W501D5)'!K73=0," ",$B54*'rotation(W501D5)'!K73)</f>
        <v> </v>
      </c>
      <c r="M54" s="764" t="str">
        <f aca="false">IF('rotation(W501D5)'!L73=0," ",$B54*'rotation(W501D5)'!L73)</f>
        <v> </v>
      </c>
      <c r="N54" s="764" t="str">
        <f aca="false">IF('rotation(W501D5)'!M73=0," ",$B54*'rotation(W501D5)'!M73)</f>
        <v> </v>
      </c>
      <c r="O54" s="764" t="str">
        <f aca="false">IF('rotation(W501D5)'!N73=0," ",$B54*'rotation(W501D5)'!N73)</f>
        <v> </v>
      </c>
      <c r="P54" s="764" t="str">
        <f aca="false">IF('rotation(W501D5)'!O73=0," ",$B54*'rotation(W501D5)'!O73)</f>
        <v> </v>
      </c>
      <c r="Q54" s="764" t="str">
        <f aca="false">IF('rotation(W501D5)'!P73=0," ",$B54*'rotation(W501D5)'!P73)</f>
        <v> </v>
      </c>
      <c r="R54" s="764" t="str">
        <f aca="false">IF('rotation(W501D5)'!Q73=0," ",$B54*'rotation(W501D5)'!Q73)</f>
        <v> </v>
      </c>
      <c r="S54" s="764" t="str">
        <f aca="false">IF('rotation(W501D5)'!R73=0," ",$B54*'rotation(W501D5)'!R73)</f>
        <v> </v>
      </c>
      <c r="T54" s="764" t="str">
        <f aca="false">IF('rotation(W501D5)'!S73=0," ",$B54*'rotation(W501D5)'!S73)</f>
        <v> </v>
      </c>
      <c r="U54" s="764" t="str">
        <f aca="false">IF('rotation(W501D5)'!T73=0," ",$B54*'rotation(W501D5)'!T73)</f>
        <v> </v>
      </c>
      <c r="V54" s="764" t="str">
        <f aca="false">IF('rotation(W501D5)'!U73=0," ",$B54*'rotation(W501D5)'!U73)</f>
        <v> </v>
      </c>
      <c r="W54" s="764" t="str">
        <f aca="false">IF('rotation(W501D5)'!V73=0," ",$B54*'rotation(W501D5)'!V73)</f>
        <v> </v>
      </c>
      <c r="X54" s="666" t="n">
        <f aca="false">SUM(D54:W54)</f>
        <v>0</v>
      </c>
    </row>
    <row r="55" customFormat="false" ht="12.75" hidden="false" customHeight="false" outlineLevel="0" collapsed="false">
      <c r="A55" s="770" t="str">
        <f aca="false">'GTDB(W501D5)'!A32</f>
        <v>Row 3 rings segments</v>
      </c>
      <c r="B55" s="763" t="n">
        <f aca="false">'GTDB(W501D5)'!D32</f>
        <v>13</v>
      </c>
      <c r="C55" s="764"/>
      <c r="D55" s="764" t="str">
        <f aca="false">IF('rotation(W501D5)'!C77=0," ",$B55*'rotation(W501D5)'!C77)</f>
        <v> </v>
      </c>
      <c r="E55" s="764" t="str">
        <f aca="false">IF('rotation(W501D5)'!D77=0," ",$B55*'rotation(W501D5)'!D77)</f>
        <v> </v>
      </c>
      <c r="F55" s="764" t="str">
        <f aca="false">IF('rotation(W501D5)'!E77=0," ",$B55*'rotation(W501D5)'!E77)</f>
        <v> </v>
      </c>
      <c r="G55" s="764" t="str">
        <f aca="false">IF('rotation(W501D5)'!F77=0," ",$B55*'rotation(W501D5)'!F77)</f>
        <v> </v>
      </c>
      <c r="H55" s="764" t="str">
        <f aca="false">IF('rotation(W501D5)'!G77=0," ",$B55*'rotation(W501D5)'!G77)</f>
        <v> </v>
      </c>
      <c r="I55" s="764" t="str">
        <f aca="false">IF('rotation(W501D5)'!H77=0," ",$B55*'rotation(W501D5)'!H77)</f>
        <v> </v>
      </c>
      <c r="J55" s="764" t="str">
        <f aca="false">IF('rotation(W501D5)'!I77=0," ",$B55*'rotation(W501D5)'!I77)</f>
        <v> </v>
      </c>
      <c r="K55" s="764" t="str">
        <f aca="false">IF('rotation(W501D5)'!J77=0," ",$B55*'rotation(W501D5)'!J77)</f>
        <v> </v>
      </c>
      <c r="L55" s="764" t="str">
        <f aca="false">IF('rotation(W501D5)'!K77=0," ",$B55*'rotation(W501D5)'!K77)</f>
        <v> </v>
      </c>
      <c r="M55" s="764" t="str">
        <f aca="false">IF('rotation(W501D5)'!L77=0," ",$B55*'rotation(W501D5)'!L77)</f>
        <v> </v>
      </c>
      <c r="N55" s="764" t="str">
        <f aca="false">IF('rotation(W501D5)'!M77=0," ",$B55*'rotation(W501D5)'!M77)</f>
        <v> </v>
      </c>
      <c r="O55" s="764" t="str">
        <f aca="false">IF('rotation(W501D5)'!N77=0," ",$B55*'rotation(W501D5)'!N77)</f>
        <v> </v>
      </c>
      <c r="P55" s="764" t="str">
        <f aca="false">IF('rotation(W501D5)'!O77=0," ",$B55*'rotation(W501D5)'!O77)</f>
        <v> </v>
      </c>
      <c r="Q55" s="764" t="str">
        <f aca="false">IF('rotation(W501D5)'!P77=0," ",$B55*'rotation(W501D5)'!P77)</f>
        <v> </v>
      </c>
      <c r="R55" s="764" t="str">
        <f aca="false">IF('rotation(W501D5)'!Q77=0," ",$B55*'rotation(W501D5)'!Q77)</f>
        <v> </v>
      </c>
      <c r="S55" s="764" t="str">
        <f aca="false">IF('rotation(W501D5)'!R77=0," ",$B55*'rotation(W501D5)'!R77)</f>
        <v> </v>
      </c>
      <c r="T55" s="764" t="str">
        <f aca="false">IF('rotation(W501D5)'!S77=0," ",$B55*'rotation(W501D5)'!S77)</f>
        <v> </v>
      </c>
      <c r="U55" s="764" t="str">
        <f aca="false">IF('rotation(W501D5)'!T77=0," ",$B55*'rotation(W501D5)'!T77)</f>
        <v> </v>
      </c>
      <c r="V55" s="764" t="str">
        <f aca="false">IF('rotation(W501D5)'!U77=0," ",$B55*'rotation(W501D5)'!U77)</f>
        <v> </v>
      </c>
      <c r="W55" s="764" t="str">
        <f aca="false">IF('rotation(W501D5)'!V77=0," ",$B55*'rotation(W501D5)'!V77)</f>
        <v> </v>
      </c>
      <c r="X55" s="666" t="n">
        <f aca="false">SUM(D55:W55)</f>
        <v>0</v>
      </c>
    </row>
    <row r="56" customFormat="false" ht="12.75" hidden="false" customHeight="false" outlineLevel="0" collapsed="false">
      <c r="A56" s="770" t="str">
        <f aca="false">'GTDB(W501D5)'!A33</f>
        <v>Row 4 rings segments</v>
      </c>
      <c r="B56" s="763" t="n">
        <f aca="false">'GTDB(W501D5)'!D33</f>
        <v>13</v>
      </c>
      <c r="C56" s="764"/>
      <c r="D56" s="764" t="str">
        <f aca="false">IF('rotation(W501D5)'!C81=0," ",$B56*'rotation(W501D5)'!C81)</f>
        <v> </v>
      </c>
      <c r="E56" s="764" t="str">
        <f aca="false">IF('rotation(W501D5)'!D81=0," ",$B56*'rotation(W501D5)'!D81)</f>
        <v> </v>
      </c>
      <c r="F56" s="764" t="str">
        <f aca="false">IF('rotation(W501D5)'!E81=0," ",$B56*'rotation(W501D5)'!E81)</f>
        <v> </v>
      </c>
      <c r="G56" s="764" t="str">
        <f aca="false">IF('rotation(W501D5)'!F81=0," ",$B56*'rotation(W501D5)'!F81)</f>
        <v> </v>
      </c>
      <c r="H56" s="764" t="str">
        <f aca="false">IF('rotation(W501D5)'!G81=0," ",$B56*'rotation(W501D5)'!G81)</f>
        <v> </v>
      </c>
      <c r="I56" s="764" t="str">
        <f aca="false">IF('rotation(W501D5)'!H81=0," ",$B56*'rotation(W501D5)'!H81)</f>
        <v> </v>
      </c>
      <c r="J56" s="764" t="str">
        <f aca="false">IF('rotation(W501D5)'!I81=0," ",$B56*'rotation(W501D5)'!I81)</f>
        <v> </v>
      </c>
      <c r="K56" s="764" t="str">
        <f aca="false">IF('rotation(W501D5)'!J81=0," ",$B56*'rotation(W501D5)'!J81)</f>
        <v> </v>
      </c>
      <c r="L56" s="764" t="str">
        <f aca="false">IF('rotation(W501D5)'!K81=0," ",$B56*'rotation(W501D5)'!K81)</f>
        <v> </v>
      </c>
      <c r="M56" s="764" t="str">
        <f aca="false">IF('rotation(W501D5)'!L81=0," ",$B56*'rotation(W501D5)'!L81)</f>
        <v> </v>
      </c>
      <c r="N56" s="764" t="str">
        <f aca="false">IF('rotation(W501D5)'!M81=0," ",$B56*'rotation(W501D5)'!M81)</f>
        <v> </v>
      </c>
      <c r="O56" s="764" t="str">
        <f aca="false">IF('rotation(W501D5)'!N81=0," ",$B56*'rotation(W501D5)'!N81)</f>
        <v> </v>
      </c>
      <c r="P56" s="764" t="str">
        <f aca="false">IF('rotation(W501D5)'!O81=0," ",$B56*'rotation(W501D5)'!O81)</f>
        <v> </v>
      </c>
      <c r="Q56" s="764" t="str">
        <f aca="false">IF('rotation(W501D5)'!P81=0," ",$B56*'rotation(W501D5)'!P81)</f>
        <v> </v>
      </c>
      <c r="R56" s="764" t="str">
        <f aca="false">IF('rotation(W501D5)'!Q81=0," ",$B56*'rotation(W501D5)'!Q81)</f>
        <v> </v>
      </c>
      <c r="S56" s="764" t="str">
        <f aca="false">IF('rotation(W501D5)'!R81=0," ",$B56*'rotation(W501D5)'!R81)</f>
        <v> </v>
      </c>
      <c r="T56" s="764" t="str">
        <f aca="false">IF('rotation(W501D5)'!S81=0," ",$B56*'rotation(W501D5)'!S81)</f>
        <v> </v>
      </c>
      <c r="U56" s="764" t="str">
        <f aca="false">IF('rotation(W501D5)'!T81=0," ",$B56*'rotation(W501D5)'!T81)</f>
        <v> </v>
      </c>
      <c r="V56" s="764" t="str">
        <f aca="false">IF('rotation(W501D5)'!U81=0," ",$B56*'rotation(W501D5)'!U81)</f>
        <v> </v>
      </c>
      <c r="W56" s="764" t="str">
        <f aca="false">IF('rotation(W501D5)'!V81=0," ",$B56*'rotation(W501D5)'!V81)</f>
        <v> </v>
      </c>
      <c r="X56" s="666" t="n">
        <f aca="false">SUM(D56:W56)</f>
        <v>0</v>
      </c>
    </row>
    <row r="57" customFormat="false" ht="12.75" hidden="false" customHeight="false" outlineLevel="0" collapsed="false">
      <c r="A57" s="770" t="str">
        <f aca="false">'GTDB(W501D5)'!A34</f>
        <v>Comp Rotor Blades</v>
      </c>
      <c r="B57" s="763" t="n">
        <f aca="false">'GTDB(W501D5)'!D34</f>
        <v>63</v>
      </c>
      <c r="C57" s="764"/>
      <c r="D57" s="764" t="str">
        <f aca="false">IF('rotation(W501D5)'!C85=0," ",$B57*'rotation(W501D5)'!C85)</f>
        <v> </v>
      </c>
      <c r="E57" s="764" t="str">
        <f aca="false">IF('rotation(W501D5)'!D85=0," ",$B57*'rotation(W501D5)'!D85)</f>
        <v> </v>
      </c>
      <c r="F57" s="764" t="str">
        <f aca="false">IF('rotation(W501D5)'!E85=0," ",$B57*'rotation(W501D5)'!E85)</f>
        <v> </v>
      </c>
      <c r="G57" s="764" t="str">
        <f aca="false">IF('rotation(W501D5)'!F85=0," ",$B57*'rotation(W501D5)'!F85)</f>
        <v> </v>
      </c>
      <c r="H57" s="764" t="str">
        <f aca="false">IF('rotation(W501D5)'!G85=0," ",$B57*'rotation(W501D5)'!G85)</f>
        <v> </v>
      </c>
      <c r="I57" s="764" t="str">
        <f aca="false">IF('rotation(W501D5)'!H85=0," ",$B57*'rotation(W501D5)'!H85)</f>
        <v> </v>
      </c>
      <c r="J57" s="764" t="str">
        <f aca="false">IF('rotation(W501D5)'!I85=0," ",$B57*'rotation(W501D5)'!I85)</f>
        <v> </v>
      </c>
      <c r="K57" s="764" t="str">
        <f aca="false">IF('rotation(W501D5)'!J85=0," ",$B57*'rotation(W501D5)'!J85)</f>
        <v> </v>
      </c>
      <c r="L57" s="764" t="str">
        <f aca="false">IF('rotation(W501D5)'!K85=0," ",$B57*'rotation(W501D5)'!K85)</f>
        <v> </v>
      </c>
      <c r="M57" s="764" t="str">
        <f aca="false">IF('rotation(W501D5)'!L85=0," ",$B57*'rotation(W501D5)'!L85)</f>
        <v> </v>
      </c>
      <c r="N57" s="764" t="str">
        <f aca="false">IF('rotation(W501D5)'!M85=0," ",$B57*'rotation(W501D5)'!M85)</f>
        <v> </v>
      </c>
      <c r="O57" s="764" t="str">
        <f aca="false">IF('rotation(W501D5)'!N85=0," ",$B57*'rotation(W501D5)'!N85)</f>
        <v> </v>
      </c>
      <c r="P57" s="764" t="str">
        <f aca="false">IF('rotation(W501D5)'!O85=0," ",$B57*'rotation(W501D5)'!O85)</f>
        <v> </v>
      </c>
      <c r="Q57" s="764" t="str">
        <f aca="false">IF('rotation(W501D5)'!P85=0," ",$B57*'rotation(W501D5)'!P85)</f>
        <v> </v>
      </c>
      <c r="R57" s="764" t="str">
        <f aca="false">IF('rotation(W501D5)'!Q85=0," ",$B57*'rotation(W501D5)'!Q85)</f>
        <v> </v>
      </c>
      <c r="S57" s="764" t="str">
        <f aca="false">IF('rotation(W501D5)'!R85=0," ",$B57*'rotation(W501D5)'!R85)</f>
        <v> </v>
      </c>
      <c r="T57" s="764" t="str">
        <f aca="false">IF('rotation(W501D5)'!S85=0," ",$B57*'rotation(W501D5)'!S85)</f>
        <v> </v>
      </c>
      <c r="U57" s="764" t="str">
        <f aca="false">IF('rotation(W501D5)'!T85=0," ",$B57*'rotation(W501D5)'!T85)</f>
        <v> </v>
      </c>
      <c r="V57" s="764" t="str">
        <f aca="false">IF('rotation(W501D5)'!U85=0," ",$B57*'rotation(W501D5)'!U85)</f>
        <v> </v>
      </c>
      <c r="W57" s="764" t="str">
        <f aca="false">IF('rotation(W501D5)'!V85=0," ",$B57*'rotation(W501D5)'!V85)</f>
        <v> </v>
      </c>
      <c r="X57" s="666" t="n">
        <f aca="false">SUM(D57:W57)</f>
        <v>0</v>
      </c>
    </row>
    <row r="58" customFormat="false" ht="12.75" hidden="false" customHeight="false" outlineLevel="0" collapsed="false">
      <c r="A58" s="770" t="str">
        <f aca="false">'GTDB(W501D5)'!A35</f>
        <v>Comp Diaphragms</v>
      </c>
      <c r="B58" s="763" t="n">
        <f aca="false">'GTDB(W501D5)'!D35</f>
        <v>63</v>
      </c>
      <c r="C58" s="764"/>
      <c r="D58" s="764" t="str">
        <f aca="false">IF('rotation(W501D5)'!C89=0," ",$B58*'rotation(W501D5)'!C89)</f>
        <v> </v>
      </c>
      <c r="E58" s="764" t="str">
        <f aca="false">IF('rotation(W501D5)'!D89=0," ",$B58*'rotation(W501D5)'!D89)</f>
        <v> </v>
      </c>
      <c r="F58" s="764" t="str">
        <f aca="false">IF('rotation(W501D5)'!E89=0," ",$B58*'rotation(W501D5)'!E89)</f>
        <v> </v>
      </c>
      <c r="G58" s="764" t="str">
        <f aca="false">IF('rotation(W501D5)'!F89=0," ",$B58*'rotation(W501D5)'!F89)</f>
        <v> </v>
      </c>
      <c r="H58" s="764" t="str">
        <f aca="false">IF('rotation(W501D5)'!G89=0," ",$B58*'rotation(W501D5)'!G89)</f>
        <v> </v>
      </c>
      <c r="I58" s="764" t="str">
        <f aca="false">IF('rotation(W501D5)'!H89=0," ",$B58*'rotation(W501D5)'!H89)</f>
        <v> </v>
      </c>
      <c r="J58" s="764" t="str">
        <f aca="false">IF('rotation(W501D5)'!I89=0," ",$B58*'rotation(W501D5)'!I89)</f>
        <v> </v>
      </c>
      <c r="K58" s="764" t="str">
        <f aca="false">IF('rotation(W501D5)'!J89=0," ",$B58*'rotation(W501D5)'!J89)</f>
        <v> </v>
      </c>
      <c r="L58" s="764" t="str">
        <f aca="false">IF('rotation(W501D5)'!K89=0," ",$B58*'rotation(W501D5)'!K89)</f>
        <v> </v>
      </c>
      <c r="M58" s="764" t="str">
        <f aca="false">IF('rotation(W501D5)'!L89=0," ",$B58*'rotation(W501D5)'!L89)</f>
        <v> </v>
      </c>
      <c r="N58" s="764" t="str">
        <f aca="false">IF('rotation(W501D5)'!M89=0," ",$B58*'rotation(W501D5)'!M89)</f>
        <v> </v>
      </c>
      <c r="O58" s="764" t="str">
        <f aca="false">IF('rotation(W501D5)'!N89=0," ",$B58*'rotation(W501D5)'!N89)</f>
        <v> </v>
      </c>
      <c r="P58" s="764" t="str">
        <f aca="false">IF('rotation(W501D5)'!O89=0," ",$B58*'rotation(W501D5)'!O89)</f>
        <v> </v>
      </c>
      <c r="Q58" s="764" t="str">
        <f aca="false">IF('rotation(W501D5)'!P89=0," ",$B58*'rotation(W501D5)'!P89)</f>
        <v> </v>
      </c>
      <c r="R58" s="764" t="str">
        <f aca="false">IF('rotation(W501D5)'!Q89=0," ",$B58*'rotation(W501D5)'!Q89)</f>
        <v> </v>
      </c>
      <c r="S58" s="764" t="str">
        <f aca="false">IF('rotation(W501D5)'!R89=0," ",$B58*'rotation(W501D5)'!R89)</f>
        <v> </v>
      </c>
      <c r="T58" s="764" t="str">
        <f aca="false">IF('rotation(W501D5)'!S89=0," ",$B58*'rotation(W501D5)'!S89)</f>
        <v> </v>
      </c>
      <c r="U58" s="764" t="str">
        <f aca="false">IF('rotation(W501D5)'!T89=0," ",$B58*'rotation(W501D5)'!T89)</f>
        <v> </v>
      </c>
      <c r="V58" s="764" t="str">
        <f aca="false">IF('rotation(W501D5)'!U89=0," ",$B58*'rotation(W501D5)'!U89)</f>
        <v> </v>
      </c>
      <c r="W58" s="764" t="str">
        <f aca="false">IF('rotation(W501D5)'!V89=0," ",$B58*'rotation(W501D5)'!V89)</f>
        <v> </v>
      </c>
      <c r="X58" s="666" t="n">
        <f aca="false">SUM(D58:W58)</f>
        <v>0</v>
      </c>
    </row>
    <row r="59" customFormat="false" ht="12.75" hidden="false" customHeight="false" outlineLevel="0" collapsed="false">
      <c r="A59" s="771"/>
      <c r="B59" s="681"/>
      <c r="C59" s="681"/>
      <c r="D59" s="681"/>
      <c r="E59" s="681"/>
      <c r="F59" s="681"/>
      <c r="G59" s="681"/>
      <c r="H59" s="681"/>
      <c r="I59" s="681"/>
      <c r="J59" s="681"/>
      <c r="K59" s="681"/>
      <c r="L59" s="681"/>
      <c r="M59" s="681"/>
      <c r="N59" s="681"/>
      <c r="O59" s="681"/>
      <c r="P59" s="681"/>
      <c r="Q59" s="681"/>
      <c r="R59" s="681"/>
      <c r="S59" s="681"/>
      <c r="T59" s="681"/>
      <c r="U59" s="681"/>
      <c r="V59" s="681"/>
      <c r="W59" s="681"/>
      <c r="X59" s="666"/>
    </row>
    <row r="60" customFormat="false" ht="12.75" hidden="false" customHeight="false" outlineLevel="0" collapsed="false">
      <c r="A60" s="772" t="s">
        <v>1370</v>
      </c>
      <c r="B60" s="765" t="n">
        <v>0.02</v>
      </c>
      <c r="C60" s="681"/>
      <c r="D60" s="681" t="n">
        <f aca="false">SUM(D40:D58)*(1-$B60)</f>
        <v>0</v>
      </c>
      <c r="E60" s="681" t="n">
        <f aca="false">SUM(E40:E58)*(1-$B60)</f>
        <v>0</v>
      </c>
      <c r="F60" s="681" t="n">
        <f aca="false">SUM(F40:F58)*(1-$B60)</f>
        <v>0</v>
      </c>
      <c r="G60" s="681" t="n">
        <f aca="false">SUM(G40:G58)*(1-$B60)</f>
        <v>0</v>
      </c>
      <c r="H60" s="681" t="n">
        <f aca="false">SUM(H40:H58)*(1-$B60)</f>
        <v>0</v>
      </c>
      <c r="I60" s="681" t="n">
        <f aca="false">SUM(I40:I58)*(1-$B60)</f>
        <v>0</v>
      </c>
      <c r="J60" s="681" t="n">
        <f aca="false">SUM(J40:J58)*(1-$B60)</f>
        <v>0</v>
      </c>
      <c r="K60" s="681" t="n">
        <f aca="false">SUM(K40:K58)*(1-$B60)</f>
        <v>0</v>
      </c>
      <c r="L60" s="681" t="n">
        <f aca="false">SUM(L40:L58)*(1-$B60)</f>
        <v>0</v>
      </c>
      <c r="M60" s="681" t="n">
        <f aca="false">SUM(M40:M58)*(1-$B60)</f>
        <v>0</v>
      </c>
      <c r="N60" s="681" t="n">
        <f aca="false">SUM(N40:N58)*(1-$B60)</f>
        <v>0</v>
      </c>
      <c r="O60" s="681" t="n">
        <f aca="false">SUM(O40:O58)*(1-$B60)</f>
        <v>0</v>
      </c>
      <c r="P60" s="681" t="n">
        <f aca="false">SUM(P40:P58)*(1-$B60)</f>
        <v>0</v>
      </c>
      <c r="Q60" s="681" t="n">
        <f aca="false">SUM(Q40:Q58)*(1-$B60)</f>
        <v>0</v>
      </c>
      <c r="R60" s="681" t="n">
        <f aca="false">SUM(R40:R58)*(1-$B60)</f>
        <v>0</v>
      </c>
      <c r="S60" s="681" t="n">
        <f aca="false">SUM(S40:S58)*(1-$B60)</f>
        <v>0</v>
      </c>
      <c r="T60" s="681" t="n">
        <f aca="false">SUM(T40:T58)*(1-$B60)</f>
        <v>0</v>
      </c>
      <c r="U60" s="681" t="n">
        <f aca="false">SUM(U40:U58)*(1-$B60)</f>
        <v>0</v>
      </c>
      <c r="V60" s="681" t="n">
        <f aca="false">SUM(V40:V58)*(1-$B60)</f>
        <v>0</v>
      </c>
      <c r="W60" s="681" t="n">
        <f aca="false">SUM(W40:W58)*(1-$B60)</f>
        <v>0</v>
      </c>
      <c r="X60" s="666" t="n">
        <f aca="false">SUM(D60:W60)</f>
        <v>0</v>
      </c>
    </row>
    <row r="61" customFormat="false" ht="12.75" hidden="false" customHeight="false" outlineLevel="0" collapsed="false">
      <c r="A61" s="772" t="s">
        <v>1371</v>
      </c>
      <c r="B61" s="765" t="n">
        <v>0.01</v>
      </c>
      <c r="C61" s="681"/>
      <c r="D61" s="681" t="n">
        <f aca="false">D60*(1+$B61)</f>
        <v>0</v>
      </c>
      <c r="E61" s="681" t="n">
        <f aca="false">E60*(1+$B61)</f>
        <v>0</v>
      </c>
      <c r="F61" s="681" t="n">
        <f aca="false">F60*(1+$B61)</f>
        <v>0</v>
      </c>
      <c r="G61" s="681" t="n">
        <f aca="false">G60*(1+$B61)</f>
        <v>0</v>
      </c>
      <c r="H61" s="681" t="n">
        <f aca="false">H60*(1+$B61)</f>
        <v>0</v>
      </c>
      <c r="I61" s="681" t="n">
        <f aca="false">I60*(1+$B61)</f>
        <v>0</v>
      </c>
      <c r="J61" s="681" t="n">
        <f aca="false">J60*(1+$B61)</f>
        <v>0</v>
      </c>
      <c r="K61" s="681" t="n">
        <f aca="false">K60*(1+$B61)</f>
        <v>0</v>
      </c>
      <c r="L61" s="681" t="n">
        <f aca="false">L60*(1+$B61)</f>
        <v>0</v>
      </c>
      <c r="M61" s="681" t="n">
        <f aca="false">M60*(1+$B61)</f>
        <v>0</v>
      </c>
      <c r="N61" s="681" t="n">
        <f aca="false">N60*(1+$B61)</f>
        <v>0</v>
      </c>
      <c r="O61" s="681" t="n">
        <f aca="false">O60*(1+$B61)</f>
        <v>0</v>
      </c>
      <c r="P61" s="681" t="n">
        <f aca="false">P60*(1+$B61)</f>
        <v>0</v>
      </c>
      <c r="Q61" s="681" t="n">
        <f aca="false">Q60*(1+$B61)</f>
        <v>0</v>
      </c>
      <c r="R61" s="681" t="n">
        <f aca="false">R60*(1+$B61)</f>
        <v>0</v>
      </c>
      <c r="S61" s="681" t="n">
        <f aca="false">S60*(1+$B61)</f>
        <v>0</v>
      </c>
      <c r="T61" s="681" t="n">
        <f aca="false">T60*(1+$B61)</f>
        <v>0</v>
      </c>
      <c r="U61" s="681" t="n">
        <f aca="false">U60*(1+$B61)</f>
        <v>0</v>
      </c>
      <c r="V61" s="681" t="n">
        <f aca="false">V60*(1+$B61)</f>
        <v>0</v>
      </c>
      <c r="W61" s="681" t="n">
        <f aca="false">W60*(1+$B61)</f>
        <v>0</v>
      </c>
      <c r="X61" s="766" t="n">
        <f aca="false">SUM(D61:W61)</f>
        <v>0</v>
      </c>
    </row>
    <row r="62" customFormat="false" ht="12.75" hidden="false" customHeight="false" outlineLevel="0" collapsed="false">
      <c r="B62" s="666"/>
      <c r="C62" s="666"/>
      <c r="D62" s="666"/>
      <c r="E62" s="666"/>
      <c r="F62" s="666"/>
      <c r="G62" s="666"/>
      <c r="H62" s="666"/>
      <c r="I62" s="666"/>
      <c r="J62" s="666"/>
      <c r="K62" s="666"/>
      <c r="L62" s="666"/>
      <c r="M62" s="666"/>
      <c r="N62" s="666"/>
      <c r="O62" s="666"/>
      <c r="P62" s="666"/>
      <c r="Q62" s="666"/>
      <c r="R62" s="666"/>
      <c r="S62" s="666"/>
      <c r="T62" s="666"/>
      <c r="U62" s="666"/>
      <c r="V62" s="666"/>
      <c r="W62" s="666"/>
      <c r="X62" s="666"/>
    </row>
    <row r="63" customFormat="false" ht="12.75" hidden="false" customHeight="false" outlineLevel="0" collapsed="false">
      <c r="A63" s="756" t="s">
        <v>1372</v>
      </c>
      <c r="B63" s="666"/>
      <c r="C63" s="666"/>
      <c r="D63" s="666" t="n">
        <f aca="false">D10+D35+D61</f>
        <v>0</v>
      </c>
      <c r="E63" s="666" t="n">
        <f aca="false">E10+E35+E61</f>
        <v>0</v>
      </c>
      <c r="F63" s="666" t="n">
        <f aca="false">F10+F35+F61</f>
        <v>0</v>
      </c>
      <c r="G63" s="666" t="n">
        <f aca="false">G10+G35+G61</f>
        <v>0</v>
      </c>
      <c r="H63" s="666" t="n">
        <f aca="false">H10+H35+H61</f>
        <v>0</v>
      </c>
      <c r="I63" s="666" t="n">
        <f aca="false">I10+I35+I61</f>
        <v>0</v>
      </c>
      <c r="J63" s="666" t="n">
        <f aca="false">J10+J35+J61</f>
        <v>0</v>
      </c>
      <c r="K63" s="666" t="n">
        <f aca="false">K10+K35+K61</f>
        <v>0</v>
      </c>
      <c r="L63" s="666" t="n">
        <f aca="false">L10+L35+L61</f>
        <v>0</v>
      </c>
      <c r="M63" s="666" t="n">
        <f aca="false">M10+M35+M61</f>
        <v>0</v>
      </c>
      <c r="N63" s="666" t="n">
        <f aca="false">N10+N35+N61</f>
        <v>0</v>
      </c>
      <c r="O63" s="666" t="n">
        <f aca="false">O10+O35+O61</f>
        <v>0</v>
      </c>
      <c r="P63" s="666" t="n">
        <f aca="false">P10+P35+P61</f>
        <v>0</v>
      </c>
      <c r="Q63" s="666" t="n">
        <f aca="false">Q10+Q35+Q61</f>
        <v>0</v>
      </c>
      <c r="R63" s="666" t="n">
        <f aca="false">R10+R35+R61</f>
        <v>0</v>
      </c>
      <c r="S63" s="666" t="n">
        <f aca="false">S10+S35+S61</f>
        <v>0</v>
      </c>
      <c r="T63" s="666" t="n">
        <f aca="false">T10+T35+T61</f>
        <v>0</v>
      </c>
      <c r="U63" s="666" t="n">
        <f aca="false">U10+U35+U61</f>
        <v>0</v>
      </c>
      <c r="V63" s="666" t="n">
        <f aca="false">V10+V35+V61</f>
        <v>0</v>
      </c>
      <c r="W63" s="666" t="n">
        <f aca="false">W10+W35+W61</f>
        <v>0</v>
      </c>
      <c r="X63" s="773" t="n">
        <f aca="false">SUM(D63:W63)</f>
        <v>0</v>
      </c>
    </row>
    <row r="64" customFormat="false" ht="12.75" hidden="false" customHeight="false" outlineLevel="0" collapsed="false"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66"/>
      <c r="N64" s="666"/>
      <c r="O64" s="666"/>
      <c r="P64" s="666"/>
      <c r="Q64" s="666"/>
      <c r="R64" s="666"/>
      <c r="S64" s="666"/>
      <c r="T64" s="666"/>
      <c r="U64" s="666"/>
      <c r="V64" s="666"/>
      <c r="W64" s="666"/>
      <c r="X64" s="666"/>
    </row>
    <row r="65" customFormat="false" ht="12.75" hidden="false" customHeight="false" outlineLevel="0" collapsed="false">
      <c r="B65" s="666"/>
      <c r="C65" s="666"/>
      <c r="D65" s="666"/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6"/>
      <c r="Q65" s="666"/>
      <c r="R65" s="666"/>
      <c r="S65" s="666"/>
      <c r="T65" s="666"/>
      <c r="U65" s="666"/>
      <c r="V65" s="666"/>
      <c r="W65" s="666"/>
      <c r="X65" s="666"/>
    </row>
    <row r="66" customFormat="false" ht="12.75" hidden="false" customHeight="false" outlineLevel="0" collapsed="false">
      <c r="B66" s="666"/>
      <c r="C66" s="666"/>
      <c r="D66" s="666"/>
      <c r="E66" s="666"/>
      <c r="F66" s="666"/>
      <c r="G66" s="666"/>
      <c r="H66" s="666"/>
      <c r="I66" s="666"/>
      <c r="J66" s="666"/>
      <c r="K66" s="666"/>
      <c r="L66" s="666"/>
      <c r="M66" s="666"/>
      <c r="N66" s="666"/>
      <c r="O66" s="666"/>
      <c r="P66" s="666"/>
      <c r="Q66" s="666"/>
      <c r="R66" s="666"/>
      <c r="S66" s="666"/>
      <c r="T66" s="666"/>
      <c r="U66" s="666"/>
      <c r="V66" s="666"/>
      <c r="W66" s="666"/>
      <c r="X66" s="666"/>
    </row>
    <row r="67" customFormat="false" ht="12.75" hidden="false" customHeight="false" outlineLevel="0" collapsed="false">
      <c r="B67" s="666"/>
      <c r="C67" s="666"/>
      <c r="D67" s="666"/>
      <c r="E67" s="666"/>
      <c r="F67" s="666"/>
      <c r="G67" s="666"/>
      <c r="H67" s="666"/>
      <c r="I67" s="666"/>
      <c r="J67" s="666"/>
      <c r="K67" s="666"/>
      <c r="L67" s="666"/>
      <c r="M67" s="666"/>
      <c r="N67" s="666"/>
      <c r="O67" s="666"/>
      <c r="P67" s="666"/>
      <c r="Q67" s="666"/>
      <c r="R67" s="666"/>
      <c r="S67" s="666"/>
      <c r="T67" s="666"/>
      <c r="U67" s="666"/>
      <c r="V67" s="666"/>
      <c r="W67" s="666"/>
      <c r="X67" s="666"/>
    </row>
    <row r="68" customFormat="false" ht="12.75" hidden="false" customHeight="false" outlineLevel="0" collapsed="false">
      <c r="B68" s="666"/>
      <c r="C68" s="666"/>
      <c r="D68" s="666"/>
      <c r="E68" s="666"/>
      <c r="F68" s="666"/>
      <c r="G68" s="666"/>
      <c r="H68" s="666"/>
      <c r="I68" s="666"/>
      <c r="J68" s="666"/>
      <c r="K68" s="666"/>
      <c r="L68" s="666"/>
      <c r="M68" s="666"/>
      <c r="N68" s="666"/>
      <c r="O68" s="666"/>
      <c r="P68" s="666"/>
      <c r="Q68" s="666"/>
      <c r="R68" s="666"/>
      <c r="S68" s="666"/>
      <c r="T68" s="666"/>
      <c r="U68" s="666"/>
      <c r="V68" s="666"/>
      <c r="W68" s="666"/>
      <c r="X68" s="666"/>
    </row>
    <row r="69" customFormat="false" ht="12.75" hidden="false" customHeight="false" outlineLevel="0" collapsed="false">
      <c r="B69" s="666"/>
      <c r="C69" s="666"/>
      <c r="D69" s="666"/>
      <c r="E69" s="666"/>
      <c r="F69" s="666"/>
      <c r="G69" s="666"/>
      <c r="H69" s="666"/>
      <c r="I69" s="666"/>
      <c r="J69" s="666"/>
      <c r="K69" s="666"/>
      <c r="L69" s="666"/>
      <c r="M69" s="666"/>
      <c r="N69" s="666"/>
      <c r="O69" s="666"/>
      <c r="P69" s="666"/>
      <c r="Q69" s="666"/>
      <c r="R69" s="666"/>
      <c r="S69" s="666"/>
      <c r="T69" s="666"/>
      <c r="U69" s="666"/>
      <c r="V69" s="666"/>
      <c r="W69" s="666"/>
      <c r="X69" s="666"/>
    </row>
    <row r="70" customFormat="false" ht="12.75" hidden="false" customHeight="false" outlineLevel="0" collapsed="false">
      <c r="B70" s="666"/>
      <c r="C70" s="666"/>
      <c r="D70" s="666"/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6"/>
      <c r="Q70" s="666"/>
      <c r="R70" s="666"/>
      <c r="S70" s="666"/>
      <c r="T70" s="666"/>
      <c r="U70" s="666"/>
      <c r="V70" s="666"/>
      <c r="W70" s="666"/>
      <c r="X70" s="666"/>
    </row>
    <row r="71" customFormat="false" ht="12.75" hidden="false" customHeight="false" outlineLevel="0" collapsed="false">
      <c r="B71" s="666"/>
      <c r="C71" s="666"/>
      <c r="D71" s="666"/>
      <c r="E71" s="666"/>
      <c r="F71" s="666"/>
      <c r="G71" s="666"/>
      <c r="H71" s="666"/>
      <c r="I71" s="666"/>
      <c r="J71" s="666"/>
      <c r="K71" s="666"/>
      <c r="L71" s="666"/>
      <c r="M71" s="666"/>
      <c r="N71" s="666"/>
      <c r="O71" s="666"/>
      <c r="P71" s="666"/>
      <c r="Q71" s="666"/>
      <c r="R71" s="666"/>
      <c r="S71" s="666"/>
      <c r="T71" s="666"/>
      <c r="U71" s="666"/>
      <c r="V71" s="666"/>
      <c r="W71" s="666"/>
      <c r="X71" s="666"/>
    </row>
    <row r="72" customFormat="false" ht="12.75" hidden="false" customHeight="false" outlineLevel="0" collapsed="false">
      <c r="B72" s="666"/>
      <c r="C72" s="666"/>
      <c r="D72" s="666"/>
      <c r="E72" s="666"/>
      <c r="F72" s="666"/>
      <c r="G72" s="666"/>
      <c r="H72" s="666"/>
      <c r="I72" s="666"/>
      <c r="J72" s="666"/>
      <c r="K72" s="666"/>
      <c r="L72" s="666"/>
      <c r="M72" s="666"/>
      <c r="N72" s="666"/>
      <c r="O72" s="666"/>
      <c r="P72" s="666"/>
      <c r="Q72" s="666"/>
      <c r="R72" s="666"/>
      <c r="S72" s="666"/>
      <c r="T72" s="666"/>
      <c r="U72" s="666"/>
      <c r="V72" s="666"/>
      <c r="W72" s="666"/>
      <c r="X72" s="666"/>
    </row>
    <row r="73" customFormat="false" ht="12.75" hidden="false" customHeight="false" outlineLevel="0" collapsed="false">
      <c r="B73" s="666"/>
      <c r="C73" s="666"/>
      <c r="D73" s="666"/>
      <c r="E73" s="666"/>
      <c r="F73" s="666"/>
      <c r="G73" s="666"/>
      <c r="H73" s="666"/>
      <c r="I73" s="666"/>
      <c r="J73" s="666"/>
      <c r="K73" s="666"/>
      <c r="L73" s="666"/>
      <c r="M73" s="666"/>
      <c r="N73" s="666"/>
      <c r="O73" s="666"/>
      <c r="P73" s="666"/>
      <c r="Q73" s="666"/>
      <c r="R73" s="666"/>
      <c r="S73" s="666"/>
      <c r="T73" s="666"/>
      <c r="U73" s="666"/>
      <c r="V73" s="666"/>
      <c r="W73" s="666"/>
      <c r="X73" s="666"/>
    </row>
    <row r="74" customFormat="false" ht="12.75" hidden="false" customHeight="false" outlineLevel="0" collapsed="false">
      <c r="B74" s="666"/>
      <c r="C74" s="666"/>
      <c r="D74" s="666"/>
      <c r="E74" s="666"/>
      <c r="F74" s="666"/>
      <c r="G74" s="666"/>
      <c r="H74" s="666"/>
      <c r="I74" s="666"/>
      <c r="J74" s="666"/>
      <c r="K74" s="666"/>
      <c r="L74" s="666"/>
      <c r="M74" s="666"/>
      <c r="N74" s="666"/>
      <c r="O74" s="666"/>
      <c r="P74" s="666"/>
      <c r="Q74" s="666"/>
      <c r="R74" s="666"/>
      <c r="S74" s="666"/>
      <c r="T74" s="666"/>
      <c r="U74" s="666"/>
      <c r="V74" s="666"/>
      <c r="W74" s="666"/>
      <c r="X74" s="666"/>
    </row>
    <row r="75" customFormat="false" ht="12.75" hidden="false" customHeight="false" outlineLevel="0" collapsed="false">
      <c r="B75" s="666"/>
      <c r="C75" s="666"/>
      <c r="D75" s="666"/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6"/>
      <c r="Q75" s="666"/>
      <c r="R75" s="666"/>
      <c r="S75" s="666"/>
      <c r="T75" s="666"/>
      <c r="U75" s="666"/>
      <c r="V75" s="666"/>
      <c r="W75" s="666"/>
      <c r="X75" s="666"/>
    </row>
    <row r="76" customFormat="false" ht="12.75" hidden="false" customHeight="false" outlineLevel="0" collapsed="false">
      <c r="B76" s="666"/>
      <c r="C76" s="666"/>
      <c r="D76" s="666"/>
      <c r="E76" s="666"/>
      <c r="F76" s="666"/>
      <c r="G76" s="666"/>
      <c r="H76" s="666"/>
      <c r="I76" s="666"/>
      <c r="J76" s="666"/>
      <c r="K76" s="666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6"/>
      <c r="X76" s="66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92"/>
  <sheetViews>
    <sheetView showFormulas="false" showGridLines="true" showRowColHeaders="true" showZeros="true" rightToLeft="false" tabSelected="false" showOutlineSymbols="true" defaultGridColor="true" view="normal" topLeftCell="A26" colorId="64" zoomScale="75" zoomScaleNormal="75" zoomScalePageLayoutView="100" workbookViewId="0">
      <selection pane="topLeft" activeCell="X8" activeCellId="0" sqref="X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74" t="s">
        <v>1374</v>
      </c>
    </row>
    <row r="4" customFormat="false" ht="20.25" hidden="false" customHeight="false" outlineLevel="0" collapsed="false">
      <c r="A4" s="774" t="s">
        <v>1375</v>
      </c>
      <c r="B4" s="17"/>
      <c r="C4" s="17"/>
      <c r="D4" s="17"/>
      <c r="W4" s="775" t="str">
        <f aca="false">'GTDB(W501D5)'!B4</f>
        <v>W501D5</v>
      </c>
      <c r="X4" s="153" t="s">
        <v>1376</v>
      </c>
      <c r="Y4" s="153" t="s">
        <v>1377</v>
      </c>
      <c r="Z4" s="157" t="s">
        <v>1007</v>
      </c>
      <c r="AA4" s="153" t="s">
        <v>1378</v>
      </c>
    </row>
    <row r="5" customFormat="false" ht="12.75" hidden="false" customHeight="false" outlineLevel="0" collapsed="false">
      <c r="A5" s="153" t="s">
        <v>1327</v>
      </c>
      <c r="B5" s="153" t="s">
        <v>1007</v>
      </c>
      <c r="C5" s="153" t="n">
        <v>1</v>
      </c>
      <c r="D5" s="153" t="n">
        <v>2</v>
      </c>
      <c r="E5" s="153" t="n">
        <v>3</v>
      </c>
      <c r="F5" s="153" t="n">
        <v>4</v>
      </c>
      <c r="G5" s="153" t="n">
        <v>5</v>
      </c>
      <c r="H5" s="153" t="n">
        <v>6</v>
      </c>
      <c r="I5" s="153" t="n">
        <v>7</v>
      </c>
      <c r="J5" s="153" t="n">
        <v>8</v>
      </c>
      <c r="K5" s="153" t="n">
        <v>9</v>
      </c>
      <c r="L5" s="153" t="n">
        <v>10</v>
      </c>
      <c r="M5" s="153" t="n">
        <v>11</v>
      </c>
      <c r="N5" s="153" t="n">
        <v>12</v>
      </c>
      <c r="O5" s="153" t="n">
        <v>13</v>
      </c>
      <c r="P5" s="153" t="n">
        <v>14</v>
      </c>
      <c r="Q5" s="153" t="n">
        <v>15</v>
      </c>
      <c r="R5" s="153" t="n">
        <v>16</v>
      </c>
      <c r="S5" s="153" t="n">
        <v>17</v>
      </c>
      <c r="T5" s="153" t="n">
        <v>18</v>
      </c>
      <c r="U5" s="153" t="n">
        <v>19</v>
      </c>
      <c r="V5" s="380" t="n">
        <v>20</v>
      </c>
      <c r="W5" s="511" t="s">
        <v>1379</v>
      </c>
      <c r="X5" s="776" t="n">
        <v>20</v>
      </c>
      <c r="Y5" s="776" t="n">
        <f aca="false">20-X5</f>
        <v>0</v>
      </c>
      <c r="Z5" s="157" t="s">
        <v>1007</v>
      </c>
      <c r="AA5" s="777"/>
    </row>
    <row r="6" customFormat="false" ht="13.5" hidden="false" customHeight="false" outlineLevel="0" collapsed="false">
      <c r="A6" s="153" t="s">
        <v>1380</v>
      </c>
      <c r="B6" s="520"/>
      <c r="C6" s="153" t="n">
        <f aca="false">B6+IF(C5&gt;$X$5,$Y$6,$X$6)</f>
        <v>0</v>
      </c>
      <c r="D6" s="153" t="n">
        <f aca="false">C6+IF(D5&gt;$X$5,$Y$6,$X$6)</f>
        <v>0</v>
      </c>
      <c r="E6" s="153" t="n">
        <f aca="false">D6+IF(E5&gt;$X$5,$Y$6,$X$6)</f>
        <v>0</v>
      </c>
      <c r="F6" s="153" t="n">
        <f aca="false">E6+IF(F5&gt;$X$5,$Y$6,$X$6)</f>
        <v>0</v>
      </c>
      <c r="G6" s="153" t="n">
        <f aca="false">F6+IF(G5&gt;$X$5,$Y$6,$X$6)</f>
        <v>0</v>
      </c>
      <c r="H6" s="153" t="n">
        <f aca="false">G6+IF(H5&gt;$X$5,$Y$6,$X$6)</f>
        <v>0</v>
      </c>
      <c r="I6" s="153" t="n">
        <f aca="false">H6+IF(I5&gt;$X$5,$Y$6,$X$6)</f>
        <v>0</v>
      </c>
      <c r="J6" s="153" t="n">
        <f aca="false">I6+IF(J5&gt;$X$5,$Y$6,$X$6)</f>
        <v>0</v>
      </c>
      <c r="K6" s="153" t="n">
        <f aca="false">J6+IF(K5&gt;$X$5,$Y$6,$X$6)</f>
        <v>0</v>
      </c>
      <c r="L6" s="153" t="n">
        <f aca="false">K6+IF(L5&gt;$X$5,$Y$6,$X$6)</f>
        <v>0</v>
      </c>
      <c r="M6" s="153" t="n">
        <f aca="false">L6+IF(M5&gt;$X$5,$Y$6,$X$6)</f>
        <v>0</v>
      </c>
      <c r="N6" s="153" t="n">
        <f aca="false">M6+IF(N5&gt;$X$5,$Y$6,$X$6)</f>
        <v>0</v>
      </c>
      <c r="O6" s="153" t="n">
        <f aca="false">N6+IF(O5&gt;$X$5,$Y$6,$X$6)</f>
        <v>0</v>
      </c>
      <c r="P6" s="153" t="n">
        <f aca="false">O6+IF(P5&gt;$X$5,$Y$6,$X$6)</f>
        <v>0</v>
      </c>
      <c r="Q6" s="153" t="n">
        <f aca="false">P6+IF(Q5&gt;$X$5,$Y$6,$X$6)</f>
        <v>0</v>
      </c>
      <c r="R6" s="153" t="n">
        <f aca="false">Q6+IF(R5&gt;$X$5,$Y$6,$X$6)</f>
        <v>0</v>
      </c>
      <c r="S6" s="153" t="n">
        <f aca="false">R6+IF(S5&gt;$X$5,$Y$6,$X$6)</f>
        <v>0</v>
      </c>
      <c r="T6" s="153" t="n">
        <f aca="false">S6+IF(T5&gt;$X$5,$Y$6,$X$6)</f>
        <v>0</v>
      </c>
      <c r="U6" s="153" t="n">
        <f aca="false">T6+IF(U5&gt;$X$5,$Y$6,$X$6)</f>
        <v>0</v>
      </c>
      <c r="V6" s="153" t="n">
        <f aca="false">U6+IF(V5&gt;$X$5,$Y$6,$X$6)</f>
        <v>0</v>
      </c>
      <c r="W6" s="778" t="s">
        <v>1381</v>
      </c>
      <c r="X6" s="779" t="n">
        <f aca="false">IF(X7=0,0,Scope!F41)</f>
        <v>0</v>
      </c>
      <c r="Y6" s="780" t="n">
        <v>8000</v>
      </c>
      <c r="Z6" s="781"/>
      <c r="AA6" s="777"/>
      <c r="AD6" s="782" t="n">
        <v>1</v>
      </c>
    </row>
    <row r="7" customFormat="false" ht="13.5" hidden="false" customHeight="false" outlineLevel="0" collapsed="false">
      <c r="A7" s="157"/>
      <c r="B7" s="157" t="s">
        <v>1007</v>
      </c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783" t="s">
        <v>1382</v>
      </c>
      <c r="X7" s="784" t="n">
        <v>0</v>
      </c>
      <c r="Y7" s="785"/>
      <c r="Z7" s="157"/>
      <c r="AA7" s="786"/>
    </row>
    <row r="8" customFormat="false" ht="12.75" hidden="false" customHeight="false" outlineLevel="0" collapsed="false">
      <c r="A8" s="153" t="s">
        <v>1383</v>
      </c>
      <c r="B8" s="153" t="n">
        <v>0</v>
      </c>
      <c r="C8" s="153" t="n">
        <f aca="false">(INT(C6/$X8)*$X$7-INT(B6/$X8)*$X$7-C9-C10)</f>
        <v>0</v>
      </c>
      <c r="D8" s="153" t="n">
        <f aca="false">(INT(D6/$X8)*$X$7-INT(C6/$X8)*$X$7-D9-D10)</f>
        <v>0</v>
      </c>
      <c r="E8" s="153" t="n">
        <f aca="false">(INT(E6/$X8)*$X$7-INT(D6/$X8)*$X$7-E9-E10)</f>
        <v>0</v>
      </c>
      <c r="F8" s="153" t="n">
        <f aca="false">(INT(F6/$X8)*$X$7-INT(E6/$X8)*$X$7-F9-F10)</f>
        <v>0</v>
      </c>
      <c r="G8" s="153" t="n">
        <f aca="false">(INT(G6/$X8)*$X$7-INT(F6/$X8)*$X$7-G9-G10)</f>
        <v>0</v>
      </c>
      <c r="H8" s="153" t="n">
        <f aca="false">(INT(H6/$X8)*$X$7-INT(G6/$X8)*$X$7-H9-H10)</f>
        <v>0</v>
      </c>
      <c r="I8" s="153" t="n">
        <f aca="false">(INT(I6/$X8)*$X$7-INT(H6/$X8)*$X$7-I9-I10)</f>
        <v>0</v>
      </c>
      <c r="J8" s="153" t="n">
        <f aca="false">(INT(J6/$X8)*$X$7-INT(I6/$X8)*$X$7-J9-J10)</f>
        <v>0</v>
      </c>
      <c r="K8" s="153" t="n">
        <f aca="false">(INT(K6/$X8)*$X$7-INT(J6/$X8)*$X$7-K9-K10)</f>
        <v>0</v>
      </c>
      <c r="L8" s="153" t="n">
        <f aca="false">(INT(L6/$X8)*$X$7-INT(K6/$X8)*$X$7-L9-L10)</f>
        <v>0</v>
      </c>
      <c r="M8" s="153" t="n">
        <f aca="false">(INT(M6/$X8)*$X$7-INT(L6/$X8)*$X$7-M9-M10)</f>
        <v>0</v>
      </c>
      <c r="N8" s="153" t="n">
        <f aca="false">(INT(N6/$X8)*$X$7-INT(M6/$X8)*$X$7-N9-N10)</f>
        <v>0</v>
      </c>
      <c r="O8" s="153" t="n">
        <f aca="false">(INT(O6/$X8)*$X$7-INT(N6/$X8)*$X$7-O9-O10)</f>
        <v>0</v>
      </c>
      <c r="P8" s="153" t="n">
        <f aca="false">(INT(P6/$X8)*$X$7-INT(O6/$X8)*$X$7-P9-P10)</f>
        <v>0</v>
      </c>
      <c r="Q8" s="153" t="n">
        <f aca="false">(INT(Q6/$X8)*$X$7-INT(P6/$X8)*$X$7-Q9-Q10)</f>
        <v>0</v>
      </c>
      <c r="R8" s="153" t="n">
        <f aca="false">(INT(R6/$X8)*$X$7-INT(Q6/$X8)*$X$7-R9-R10)</f>
        <v>0</v>
      </c>
      <c r="S8" s="153" t="n">
        <f aca="false">(INT(S6/$X8)*$X$7-INT(R6/$X8)*$X$7-S9-S10)</f>
        <v>0</v>
      </c>
      <c r="T8" s="153" t="n">
        <f aca="false">(INT(T6/$X8)*$X$7-INT(S6/$X8)*$X$7-T9-T10)</f>
        <v>0</v>
      </c>
      <c r="U8" s="153" t="n">
        <f aca="false">(INT(U6/$X8)*$X$7-INT(T6/$X8)*$X$7-U9-U10)</f>
        <v>0</v>
      </c>
      <c r="V8" s="380" t="n">
        <f aca="false">(INT(V6/$X8)*$X$7-INT(U6/$X8)*$X$7-V9-V10)</f>
        <v>0</v>
      </c>
      <c r="W8" s="787" t="s">
        <v>1384</v>
      </c>
      <c r="X8" s="788" t="n">
        <f aca="false">IF($AD$6=1,'GTDB(W501D5)'!B12,'GTDB(W501D5)'!G12)</f>
        <v>8000</v>
      </c>
      <c r="Y8" s="785"/>
      <c r="Z8" s="785"/>
    </row>
    <row r="9" customFormat="false" ht="12.75" hidden="false" customHeight="false" outlineLevel="0" collapsed="false">
      <c r="A9" s="153" t="s">
        <v>1385</v>
      </c>
      <c r="B9" s="153" t="n">
        <v>0</v>
      </c>
      <c r="C9" s="153" t="n">
        <f aca="false">(INT(C6/$X9)-INT(B6/$X9))*$X$7-C10</f>
        <v>0</v>
      </c>
      <c r="D9" s="153" t="n">
        <f aca="false">(INT(D6/$X9)-INT(C6/$X9))*$X$7-D10</f>
        <v>0</v>
      </c>
      <c r="E9" s="153" t="n">
        <f aca="false">(INT(E6/$X9)-INT(D6/$X9))*$X$7-E10</f>
        <v>0</v>
      </c>
      <c r="F9" s="153" t="n">
        <f aca="false">(INT(F6/$X9)-INT(E6/$X9))*$X$7-F10</f>
        <v>0</v>
      </c>
      <c r="G9" s="153" t="n">
        <f aca="false">(INT(G6/$X9)-INT(F6/$X9))*$X$7-G10</f>
        <v>0</v>
      </c>
      <c r="H9" s="153" t="n">
        <f aca="false">(INT(H6/$X9)-INT(G6/$X9))*$X$7-H10</f>
        <v>0</v>
      </c>
      <c r="I9" s="153" t="n">
        <f aca="false">(INT(I6/$X9)-INT(H6/$X9))*$X$7-I10</f>
        <v>0</v>
      </c>
      <c r="J9" s="153" t="n">
        <f aca="false">(INT(J6/$X9)-INT(I6/$X9))*$X$7-J10</f>
        <v>0</v>
      </c>
      <c r="K9" s="153" t="n">
        <f aca="false">(INT(K6/$X9)-INT(J6/$X9))*$X$7-K10</f>
        <v>0</v>
      </c>
      <c r="L9" s="153" t="n">
        <f aca="false">(INT(L6/$X9)-INT(K6/$X9))*$X$7-L10</f>
        <v>0</v>
      </c>
      <c r="M9" s="153" t="n">
        <f aca="false">(INT(M6/$X9)-INT(L6/$X9))*$X$7-M10</f>
        <v>0</v>
      </c>
      <c r="N9" s="153" t="n">
        <f aca="false">(INT(N6/$X9)-INT(M6/$X9))*$X$7-N10</f>
        <v>0</v>
      </c>
      <c r="O9" s="153" t="n">
        <f aca="false">(INT(O6/$X9)-INT(N6/$X9))*$X$7-O10</f>
        <v>0</v>
      </c>
      <c r="P9" s="153" t="n">
        <f aca="false">(INT(P6/$X9)-INT(O6/$X9))*$X$7-P10</f>
        <v>0</v>
      </c>
      <c r="Q9" s="153" t="n">
        <f aca="false">(INT(Q6/$X9)-INT(P6/$X9))*$X$7-Q10</f>
        <v>0</v>
      </c>
      <c r="R9" s="153" t="n">
        <f aca="false">(INT(R6/$X9)-INT(Q6/$X9))*$X$7-R10</f>
        <v>0</v>
      </c>
      <c r="S9" s="153" t="n">
        <f aca="false">(INT(S6/$X9)-INT(R6/$X9))*$X$7-S10</f>
        <v>0</v>
      </c>
      <c r="T9" s="153" t="n">
        <f aca="false">(INT(T6/$X9)-INT(S6/$X9))*$X$7-T10</f>
        <v>0</v>
      </c>
      <c r="U9" s="153" t="n">
        <f aca="false">(INT(U6/$X9)-INT(T6/$X9))*$X$7-U10</f>
        <v>0</v>
      </c>
      <c r="V9" s="380" t="n">
        <f aca="false">(INT(V6/$X9)-INT(U6/$X9))*$X$7-V10</f>
        <v>0</v>
      </c>
      <c r="W9" s="789" t="s">
        <v>1386</v>
      </c>
      <c r="X9" s="788" t="n">
        <f aca="false">IF($AD$6=1,'GTDB(W501D5)'!B13,'GTDB(W501D5)'!G13)</f>
        <v>24000</v>
      </c>
      <c r="Y9" s="785"/>
      <c r="Z9" s="785"/>
    </row>
    <row r="10" customFormat="false" ht="12.75" hidden="false" customHeight="false" outlineLevel="0" collapsed="false">
      <c r="A10" s="153" t="s">
        <v>1387</v>
      </c>
      <c r="B10" s="153" t="n">
        <v>0</v>
      </c>
      <c r="C10" s="153" t="n">
        <f aca="false">(INT(C6/$X10)-INT(B6/$X10))*$X$7</f>
        <v>0</v>
      </c>
      <c r="D10" s="153" t="n">
        <f aca="false">(INT(D6/$X10)-INT(C6/$X10))*$X$7</f>
        <v>0</v>
      </c>
      <c r="E10" s="153" t="n">
        <f aca="false">(INT(E6/$X10)-INT(D6/$X10))*$X$7</f>
        <v>0</v>
      </c>
      <c r="F10" s="153" t="n">
        <f aca="false">(INT(F6/$X10)-INT(E6/$X10))*$X$7</f>
        <v>0</v>
      </c>
      <c r="G10" s="153" t="n">
        <f aca="false">(INT(G6/$X10)-INT(F6/$X10))*$X$7</f>
        <v>0</v>
      </c>
      <c r="H10" s="153" t="n">
        <f aca="false">(INT(H6/$X10)-INT(G6/$X10))*$X$7</f>
        <v>0</v>
      </c>
      <c r="I10" s="153" t="n">
        <f aca="false">(INT(I6/$X10)-INT(H6/$X10))*$X$7</f>
        <v>0</v>
      </c>
      <c r="J10" s="153" t="n">
        <f aca="false">(INT(J6/$X10)-INT(I6/$X10))*$X$7</f>
        <v>0</v>
      </c>
      <c r="K10" s="153" t="n">
        <f aca="false">(INT(K6/$X10)-INT(J6/$X10))*$X$7</f>
        <v>0</v>
      </c>
      <c r="L10" s="153" t="n">
        <f aca="false">(INT(L6/$X10)-INT(K6/$X10))*$X$7</f>
        <v>0</v>
      </c>
      <c r="M10" s="153" t="n">
        <f aca="false">(INT(M6/$X10)-INT(L6/$X10))*$X$7</f>
        <v>0</v>
      </c>
      <c r="N10" s="153" t="n">
        <f aca="false">(INT(N6/$X10)-INT(M6/$X10))*$X$7</f>
        <v>0</v>
      </c>
      <c r="O10" s="153" t="n">
        <f aca="false">(INT(O6/$X10)-INT(N6/$X10))*$X$7</f>
        <v>0</v>
      </c>
      <c r="P10" s="153" t="n">
        <f aca="false">(INT(P6/$X10)-INT(O6/$X10))*$X$7</f>
        <v>0</v>
      </c>
      <c r="Q10" s="153" t="n">
        <f aca="false">(INT(Q6/$X10)-INT(P6/$X10))*$X$7</f>
        <v>0</v>
      </c>
      <c r="R10" s="153" t="n">
        <f aca="false">(INT(R6/$X10)-INT(Q6/$X10))*$X$7</f>
        <v>0</v>
      </c>
      <c r="S10" s="153" t="n">
        <f aca="false">(INT(S6/$X10)-INT(R6/$X10))*$X$7</f>
        <v>0</v>
      </c>
      <c r="T10" s="153" t="n">
        <f aca="false">(INT(T6/$X10)-INT(S6/$X10))*$X$7</f>
        <v>0</v>
      </c>
      <c r="U10" s="153" t="n">
        <f aca="false">(INT(U6/$X10)-INT(T6/$X10))*$X$7</f>
        <v>0</v>
      </c>
      <c r="V10" s="380" t="n">
        <f aca="false">(INT(V6/$X10)-INT(U6/$X10))*$X$7</f>
        <v>0</v>
      </c>
      <c r="W10" s="789" t="s">
        <v>1388</v>
      </c>
      <c r="X10" s="788" t="n">
        <f aca="false">IF($AD$6=1,'GTDB(W501D5)'!B14,'GTDB(W501D5)'!G14)</f>
        <v>48000</v>
      </c>
      <c r="Y10" s="785"/>
      <c r="Z10" s="785"/>
      <c r="AA10" s="0" t="s">
        <v>1007</v>
      </c>
    </row>
    <row r="11" customFormat="false" ht="11.25" hidden="false" customHeight="true" outlineLevel="0" collapsed="false">
      <c r="A11" s="157"/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790"/>
      <c r="X11" s="791"/>
      <c r="Y11" s="785"/>
      <c r="Z11" s="785"/>
      <c r="AF11" s="792"/>
    </row>
    <row r="12" customFormat="false" ht="12.75" hidden="true" customHeight="false" outlineLevel="0" collapsed="false">
      <c r="A12" s="153" t="s">
        <v>1383</v>
      </c>
      <c r="B12" s="153"/>
      <c r="C12" s="153" t="str">
        <f aca="false">IF(C8=0," ",IF(C8/$X$7=1,"C",C8/$X$7&amp;"C"))</f>
        <v> </v>
      </c>
      <c r="D12" s="153" t="str">
        <f aca="false">IF(D8=0," ",IF(D8/$X$7=1,"C",D8/$X$7&amp;"C"))</f>
        <v> </v>
      </c>
      <c r="E12" s="153" t="str">
        <f aca="false">IF(E8=0," ",IF(E8/$X$7=1,"C",E8/$X$7&amp;"C"))</f>
        <v> </v>
      </c>
      <c r="F12" s="153" t="str">
        <f aca="false">IF(F8=0," ",IF(F8/$X$7=1,"C",F8/$X$7&amp;"C"))</f>
        <v> </v>
      </c>
      <c r="G12" s="153" t="str">
        <f aca="false">IF(G8=0," ",IF(G8/$X$7=1,"C",G8/$X$7&amp;"C"))</f>
        <v> </v>
      </c>
      <c r="H12" s="153" t="str">
        <f aca="false">IF(H8=0," ",IF(H8/$X$7=1,"C",H8/$X$7&amp;"C"))</f>
        <v> </v>
      </c>
      <c r="I12" s="153" t="str">
        <f aca="false">IF(I8=0," ",IF(I8/$X$7=1,"C",I8/$X$7&amp;"C"))</f>
        <v> </v>
      </c>
      <c r="J12" s="153" t="str">
        <f aca="false">IF(J8=0," ",IF(J8/$X$7=1,"C",J8/$X$7&amp;"C"))</f>
        <v> </v>
      </c>
      <c r="K12" s="153" t="str">
        <f aca="false">IF(K8=0," ",IF(K8/$X$7=1,"C",K8/$X$7&amp;"C"))</f>
        <v> </v>
      </c>
      <c r="L12" s="153" t="str">
        <f aca="false">IF(L8=0," ",IF(L8/$X$7=1,"C",L8/$X$7&amp;"C"))</f>
        <v> </v>
      </c>
      <c r="M12" s="153" t="str">
        <f aca="false">IF(M8=0," ",IF(M8/$X$7=1,"C",M8/$X$7&amp;"C"))</f>
        <v> </v>
      </c>
      <c r="N12" s="153" t="str">
        <f aca="false">IF(N8=0," ",IF(N8/$X$7=1,"C",N8/$X$7&amp;"C"))</f>
        <v> </v>
      </c>
      <c r="O12" s="153" t="str">
        <f aca="false">IF(O8=0," ",IF(O8/$X$7=1,"C",O8/$X$7&amp;"C"))</f>
        <v> </v>
      </c>
      <c r="P12" s="153" t="str">
        <f aca="false">IF(P8=0," ",IF(P8/$X$7=1,"C",P8/$X$7&amp;"C"))</f>
        <v> </v>
      </c>
      <c r="Q12" s="153" t="str">
        <f aca="false">IF(Q8=0," ",IF(Q8/$X$7=1,"C",Q8/$X$7&amp;"C"))</f>
        <v> </v>
      </c>
      <c r="R12" s="153" t="str">
        <f aca="false">IF(R8=0," ",IF(R8/$X$7=1,"C",R8/$X$7&amp;"C"))</f>
        <v> </v>
      </c>
      <c r="S12" s="153" t="str">
        <f aca="false">IF(S8=0," ",IF(S8/$X$7=1,"C",S8/$X$7&amp;"C"))</f>
        <v> </v>
      </c>
      <c r="T12" s="153" t="str">
        <f aca="false">IF(T8=0," ",IF(T8/$X$7=1,"C",T8/$X$7&amp;"C"))</f>
        <v> </v>
      </c>
      <c r="U12" s="153" t="str">
        <f aca="false">IF(U8=0," ",IF(U8/$X$7=1,"C",U8/$X$7&amp;"C"))</f>
        <v> </v>
      </c>
      <c r="V12" s="153" t="str">
        <f aca="false">IF(V8=0," ",IF(V8/$X$7=1,"C",V8/$X$7&amp;"C"))</f>
        <v> </v>
      </c>
      <c r="W12" s="518"/>
      <c r="X12" s="793"/>
      <c r="Y12" s="794"/>
      <c r="Z12" s="794"/>
    </row>
    <row r="13" customFormat="false" ht="12.75" hidden="true" customHeight="false" outlineLevel="0" collapsed="false">
      <c r="A13" s="153" t="s">
        <v>1385</v>
      </c>
      <c r="B13" s="153"/>
      <c r="C13" s="153" t="str">
        <f aca="false">IF(C9=0," ",IF(C9/$X$7=1,"H",C9/$X$7&amp;"H"))</f>
        <v> </v>
      </c>
      <c r="D13" s="153" t="str">
        <f aca="false">IF(D9=0," ",IF(D9/$X$7=1,"H",D9/$X$7&amp;"H"))</f>
        <v> </v>
      </c>
      <c r="E13" s="153" t="str">
        <f aca="false">IF(E9=0," ",IF(E9/$X$7=1,"H",E9/$X$7&amp;"H"))</f>
        <v> </v>
      </c>
      <c r="F13" s="153" t="str">
        <f aca="false">IF(F9=0," ",IF(F9/$X$7=1,"H",F9/$X$7&amp;"H"))</f>
        <v> </v>
      </c>
      <c r="G13" s="153" t="str">
        <f aca="false">IF(G9=0," ",IF(G9/$X$7=1,"H",G9/$X$7&amp;"H"))</f>
        <v> </v>
      </c>
      <c r="H13" s="153" t="str">
        <f aca="false">IF(H9=0," ",IF(H9/$X$7=1,"H",H9/$X$7&amp;"H"))</f>
        <v> </v>
      </c>
      <c r="I13" s="153" t="str">
        <f aca="false">IF(I9=0," ",IF(I9/$X$7=1,"H",I9/$X$7&amp;"H"))</f>
        <v> </v>
      </c>
      <c r="J13" s="153" t="str">
        <f aca="false">IF(J9=0," ",IF(J9/$X$7=1,"H",J9/$X$7&amp;"H"))</f>
        <v> </v>
      </c>
      <c r="K13" s="153" t="str">
        <f aca="false">IF(K9=0," ",IF(K9/$X$7=1,"H",K9/$X$7&amp;"H"))</f>
        <v> </v>
      </c>
      <c r="L13" s="153" t="str">
        <f aca="false">IF(L9=0," ",IF(L9/$X$7=1,"H",L9/$X$7&amp;"H"))</f>
        <v> </v>
      </c>
      <c r="M13" s="153" t="str">
        <f aca="false">IF(M9=0," ",IF(M9/$X$7=1,"H",M9/$X$7&amp;"H"))</f>
        <v> </v>
      </c>
      <c r="N13" s="153" t="str">
        <f aca="false">IF(N9=0," ",IF(N9/$X$7=1,"H",N9/$X$7&amp;"H"))</f>
        <v> </v>
      </c>
      <c r="O13" s="153" t="str">
        <f aca="false">IF(O9=0," ",IF(O9/$X$7=1,"H",O9/$X$7&amp;"H"))</f>
        <v> </v>
      </c>
      <c r="P13" s="153" t="str">
        <f aca="false">IF(P9=0," ",IF(P9/$X$7=1,"H",P9/$X$7&amp;"H"))</f>
        <v> </v>
      </c>
      <c r="Q13" s="153" t="str">
        <f aca="false">IF(Q9=0," ",IF(Q9/$X$7=1,"H",Q9/$X$7&amp;"H"))</f>
        <v> </v>
      </c>
      <c r="R13" s="153" t="str">
        <f aca="false">IF(R9=0," ",IF(R9/$X$7=1,"H",R9/$X$7&amp;"H"))</f>
        <v> </v>
      </c>
      <c r="S13" s="153" t="str">
        <f aca="false">IF(S9=0," ",IF(S9/$X$7=1,"H",S9/$X$7&amp;"H"))</f>
        <v> </v>
      </c>
      <c r="T13" s="153" t="str">
        <f aca="false">IF(T9=0," ",IF(T9/$X$7=1,"H",T9/$X$7&amp;"H"))</f>
        <v> </v>
      </c>
      <c r="U13" s="153" t="str">
        <f aca="false">IF(U9=0," ",IF(U9/$X$7=1,"H",U9/$X$7&amp;"H"))</f>
        <v> </v>
      </c>
      <c r="V13" s="153" t="str">
        <f aca="false">IF(V9=0," ",IF(V9/$X$7=1,"H",V9/$X$7&amp;"H"))</f>
        <v> </v>
      </c>
      <c r="W13" s="518"/>
      <c r="X13" s="793"/>
      <c r="Y13" s="794"/>
      <c r="Z13" s="794"/>
    </row>
    <row r="14" customFormat="false" ht="12.75" hidden="true" customHeight="true" outlineLevel="0" collapsed="false">
      <c r="A14" s="153" t="s">
        <v>1387</v>
      </c>
      <c r="B14" s="153"/>
      <c r="C14" s="153" t="str">
        <f aca="false">IF(C10=0," ",IF(C10/$X$7=1,"M",C10/$X$7&amp;"M"))</f>
        <v> </v>
      </c>
      <c r="D14" s="153" t="str">
        <f aca="false">IF(D10=0," ",IF(D10/$X$7=1,"M",D10/$X$7&amp;"M"))</f>
        <v> </v>
      </c>
      <c r="E14" s="153" t="str">
        <f aca="false">IF(E10=0," ",IF(E10/$X$7=1,"M",E10/$X$7&amp;"M"))</f>
        <v> </v>
      </c>
      <c r="F14" s="153" t="str">
        <f aca="false">IF(F10=0," ",IF(F10/$X$7=1,"M",F10/$X$7&amp;"M"))</f>
        <v> </v>
      </c>
      <c r="G14" s="153" t="str">
        <f aca="false">IF(G10=0," ",IF(G10/$X$7=1,"M",G10/$X$7&amp;"M"))</f>
        <v> </v>
      </c>
      <c r="H14" s="153" t="str">
        <f aca="false">IF(H10=0," ",IF(H10/$X$7=1,"M",H10/$X$7&amp;"M"))</f>
        <v> </v>
      </c>
      <c r="I14" s="153" t="str">
        <f aca="false">IF(I10=0," ",IF(I10/$X$7=1,"M",I10/$X$7&amp;"M"))</f>
        <v> </v>
      </c>
      <c r="J14" s="153" t="str">
        <f aca="false">IF(J10=0," ",IF(J10/$X$7=1,"M",J10/$X$7&amp;"M"))</f>
        <v> </v>
      </c>
      <c r="K14" s="153" t="str">
        <f aca="false">IF(K10=0," ",IF(K10/$X$7=1,"M",K10/$X$7&amp;"M"))</f>
        <v> </v>
      </c>
      <c r="L14" s="153" t="str">
        <f aca="false">IF(L10=0," ",IF(L10/$X$7=1,"M",L10/$X$7&amp;"M"))</f>
        <v> </v>
      </c>
      <c r="M14" s="153" t="str">
        <f aca="false">IF(M10=0," ",IF(M10/$X$7=1,"M",M10/$X$7&amp;"M"))</f>
        <v> </v>
      </c>
      <c r="N14" s="153" t="str">
        <f aca="false">IF(N10=0," ",IF(N10/$X$7=1,"M",N10/$X$7&amp;"M"))</f>
        <v> </v>
      </c>
      <c r="O14" s="153" t="str">
        <f aca="false">IF(O10=0," ",IF(O10/$X$7=1,"M",O10/$X$7&amp;"M"))</f>
        <v> </v>
      </c>
      <c r="P14" s="153" t="str">
        <f aca="false">IF(P10=0," ",IF(P10/$X$7=1,"M",P10/$X$7&amp;"M"))</f>
        <v> </v>
      </c>
      <c r="Q14" s="153" t="str">
        <f aca="false">IF(Q10=0," ",IF(Q10/$X$7=1,"M",Q10/$X$7&amp;"M"))</f>
        <v> </v>
      </c>
      <c r="R14" s="153" t="str">
        <f aca="false">IF(R10=0," ",IF(R10/$X$7=1,"M",R10/$X$7&amp;"M"))</f>
        <v> </v>
      </c>
      <c r="S14" s="153" t="str">
        <f aca="false">IF(S10=0," ",IF(S10/$X$7=1,"M",S10/$X$7&amp;"M"))</f>
        <v> </v>
      </c>
      <c r="T14" s="153" t="str">
        <f aca="false">IF(T10=0," ",IF(T10/$X$7=1,"M",T10/$X$7&amp;"M"))</f>
        <v> </v>
      </c>
      <c r="U14" s="153" t="str">
        <f aca="false">IF(U10=0," ",IF(U10/$X$7=1,"M",U10/$X$7&amp;"M"))</f>
        <v> </v>
      </c>
      <c r="V14" s="153" t="str">
        <f aca="false">IF(V10=0," ",IF(V10/$X$7=1,"M",V10/$X$7&amp;"M"))</f>
        <v> </v>
      </c>
      <c r="W14" s="108" t="s">
        <v>1007</v>
      </c>
    </row>
    <row r="15" customFormat="false" ht="36.75" hidden="false" customHeight="true" outlineLevel="0" collapsed="false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795"/>
      <c r="W15" s="796" t="s">
        <v>1389</v>
      </c>
      <c r="X15" s="797" t="s">
        <v>1390</v>
      </c>
      <c r="Y15" s="797" t="s">
        <v>1391</v>
      </c>
      <c r="Z15" s="797" t="s">
        <v>1392</v>
      </c>
      <c r="AA15" s="798" t="s">
        <v>1393</v>
      </c>
      <c r="AB15" s="797" t="s">
        <v>1394</v>
      </c>
    </row>
    <row r="16" customFormat="false" ht="12.75" hidden="true" customHeight="false" outlineLevel="0" collapsed="false">
      <c r="A16" s="153" t="s">
        <v>1395</v>
      </c>
      <c r="B16" s="511"/>
      <c r="C16" s="153" t="n">
        <f aca="false">INT((INT(C$6/$X17)*$X$7+$X$7+$Z17-1)/($X$7+$Z17)/$Y17)</f>
        <v>0</v>
      </c>
      <c r="D16" s="153" t="n">
        <f aca="false">INT((INT(D$6/$X17)*$X$7+$X$7+$Z17-1)/($X$7+$Z17)/$Y17)</f>
        <v>0</v>
      </c>
      <c r="E16" s="153" t="n">
        <f aca="false">INT((INT(E$6/$X17)*$X$7+$X$7+$Z17-1)/($X$7+$Z17)/$Y17)</f>
        <v>0</v>
      </c>
      <c r="F16" s="153" t="n">
        <f aca="false">INT((INT(F$6/$X17)*$X$7+$X$7+$Z17-1)/($X$7+$Z17)/$Y17)</f>
        <v>0</v>
      </c>
      <c r="G16" s="153" t="n">
        <f aca="false">INT((INT(G$6/$X17)*$X$7+$X$7+$Z17-1)/($X$7+$Z17)/$Y17)</f>
        <v>0</v>
      </c>
      <c r="H16" s="153" t="n">
        <f aca="false">INT((INT(H$6/$X17)*$X$7+$X$7+$Z17-1)/($X$7+$Z17)/$Y17)</f>
        <v>0</v>
      </c>
      <c r="I16" s="153" t="n">
        <f aca="false">INT((INT(I$6/$X17)*$X$7+$X$7+$Z17-1)/($X$7+$Z17)/$Y17)</f>
        <v>0</v>
      </c>
      <c r="J16" s="153" t="n">
        <f aca="false">INT((INT(J$6/$X17)*$X$7+$X$7+$Z17-1)/($X$7+$Z17)/$Y17)</f>
        <v>0</v>
      </c>
      <c r="K16" s="153" t="n">
        <f aca="false">INT((INT(K$6/$X17)*$X$7+$X$7+$Z17-1)/($X$7+$Z17)/$Y17)</f>
        <v>0</v>
      </c>
      <c r="L16" s="153" t="n">
        <f aca="false">INT((INT(L$6/$X17)*$X$7+$X$7+$Z17-1)/($X$7+$Z17)/$Y17)</f>
        <v>0</v>
      </c>
      <c r="M16" s="153" t="n">
        <f aca="false">INT((INT(M$6/$X17)*$X$7+$X$7+$Z17-1)/($X$7+$Z17)/$Y17)</f>
        <v>0</v>
      </c>
      <c r="N16" s="153" t="n">
        <f aca="false">INT((INT(N$6/$X17)*$X$7+$X$7+$Z17-1)/($X$7+$Z17)/$Y17)</f>
        <v>0</v>
      </c>
      <c r="O16" s="153" t="n">
        <f aca="false">INT((INT(O$6/$X17)*$X$7+$X$7+$Z17-1)/($X$7+$Z17)/$Y17)</f>
        <v>0</v>
      </c>
      <c r="P16" s="153" t="n">
        <f aca="false">INT((INT(P$6/$X17)*$X$7+$X$7+$Z17-1)/($X$7+$Z17)/$Y17)</f>
        <v>0</v>
      </c>
      <c r="Q16" s="153" t="n">
        <f aca="false">INT((INT(Q$6/$X17)*$X$7+$X$7+$Z17-1)/($X$7+$Z17)/$Y17)</f>
        <v>0</v>
      </c>
      <c r="R16" s="153" t="n">
        <f aca="false">INT((INT(R$6/$X17)*$X$7+$X$7+$Z17-1)/($X$7+$Z17)/$Y17)</f>
        <v>0</v>
      </c>
      <c r="S16" s="153" t="n">
        <f aca="false">INT((INT(S$6/$X17)*$X$7+$X$7+$Z17-1)/($X$7+$Z17)/$Y17)</f>
        <v>0</v>
      </c>
      <c r="T16" s="153" t="n">
        <f aca="false">INT((INT(T$6/$X17)*$X$7+$X$7+$Z17-1)/($X$7+$Z17)/$Y17)</f>
        <v>0</v>
      </c>
      <c r="U16" s="153" t="n">
        <f aca="false">INT((INT(U$6/$X17)*$X$7+$X$7+$Z17-1)/($X$7+$Z17)/$Y17)</f>
        <v>0</v>
      </c>
      <c r="V16" s="153" t="n">
        <f aca="false">INT((INT(V$6/$X17)*$X$7+$X$7+$Z17-1)/($X$7+$Z17)/$Y17)</f>
        <v>0</v>
      </c>
      <c r="AB16" s="153"/>
    </row>
    <row r="17" customFormat="false" ht="12.75" hidden="false" customHeight="false" outlineLevel="0" collapsed="false">
      <c r="A17" s="153" t="s">
        <v>1396</v>
      </c>
      <c r="B17" s="511" t="s">
        <v>1007</v>
      </c>
      <c r="C17" s="511" t="n">
        <f aca="false">IF($Y17=1,0,$X$7*(INT(C$6/$X17)-INT(B$6/$X17))-IF(SUM($B17:B17)&gt;0,C18,0))</f>
        <v>0</v>
      </c>
      <c r="D17" s="511" t="n">
        <f aca="false">IF($Y17=1,0,$X$7*(INT(D$6/$X17)-INT(C$6/$X17))-IF(SUM($B17:C17)&gt;0,D18,0))</f>
        <v>0</v>
      </c>
      <c r="E17" s="511" t="n">
        <f aca="false">IF($Y17=1,0,$X$7*(INT(E$6/$X17)-INT(D$6/$X17))-IF(SUM($B17:D17)&gt;0,E18,0))</f>
        <v>0</v>
      </c>
      <c r="F17" s="511" t="n">
        <f aca="false">IF($Y17=1,0,$X$7*(INT(F$6/$X17)-INT(E$6/$X17))-IF(SUM($B17:E17)&gt;0,F18,0))</f>
        <v>0</v>
      </c>
      <c r="G17" s="511" t="n">
        <f aca="false">IF($Y17=1,0,$X$7*(INT(G$6/$X17)-INT(F$6/$X17))-IF(SUM($B17:F17)&gt;0,G18,0))</f>
        <v>0</v>
      </c>
      <c r="H17" s="511" t="n">
        <f aca="false">IF($Y17=1,0,$X$7*(INT(H$6/$X17)-INT(G$6/$X17))-IF(SUM($B17:G17)&gt;0,H18,0))</f>
        <v>0</v>
      </c>
      <c r="I17" s="511" t="n">
        <f aca="false">IF($Y17=1,0,$X$7*(INT(I$6/$X17)-INT(H$6/$X17))-IF(SUM($B17:H17)&gt;0,I18,0))</f>
        <v>0</v>
      </c>
      <c r="J17" s="511" t="n">
        <f aca="false">IF($Y17=1,0,$X$7*(INT(J$6/$X17)-INT(I$6/$X17))-IF(SUM($B17:I17)&gt;0,J18,0))</f>
        <v>0</v>
      </c>
      <c r="K17" s="511" t="n">
        <f aca="false">IF($Y17=1,0,$X$7*(INT(K$6/$X17)-INT(J$6/$X17))-IF(SUM($B17:J17)&gt;0,K18,0))</f>
        <v>0</v>
      </c>
      <c r="L17" s="511" t="n">
        <f aca="false">IF($Y17=1,0,$X$7*(INT(L$6/$X17)-INT(K$6/$X17))-IF(SUM($B17:K17)&gt;0,L18,0))</f>
        <v>0</v>
      </c>
      <c r="M17" s="511" t="n">
        <f aca="false">IF($Y17=1,0,$X$7*(INT(M$6/$X17)-INT(L$6/$X17))-IF(SUM($B17:L17)&gt;0,M18,0))</f>
        <v>0</v>
      </c>
      <c r="N17" s="511" t="n">
        <f aca="false">IF($Y17=1,0,$X$7*(INT(N$6/$X17)-INT(M$6/$X17))-IF(SUM($B17:M17)&gt;0,N18,0))</f>
        <v>0</v>
      </c>
      <c r="O17" s="511" t="n">
        <f aca="false">IF($Y17=1,0,$X$7*(INT(O$6/$X17)-INT(N$6/$X17))-IF(SUM($B17:N17)&gt;0,O18,0))</f>
        <v>0</v>
      </c>
      <c r="P17" s="511" t="n">
        <f aca="false">IF($Y17=1,0,$X$7*(INT(P$6/$X17)-INT(O$6/$X17))-IF(SUM($B17:O17)&gt;0,P18,0))</f>
        <v>0</v>
      </c>
      <c r="Q17" s="511" t="n">
        <f aca="false">IF($Y17=1,0,$X$7*(INT(Q$6/$X17)-INT(P$6/$X17))-IF(SUM($B17:P17)&gt;0,Q18,0))</f>
        <v>0</v>
      </c>
      <c r="R17" s="511" t="n">
        <f aca="false">IF($Y17=1,0,$X$7*(INT(R$6/$X17)-INT(Q$6/$X17))-IF(SUM($B17:Q17)&gt;0,R18,0))</f>
        <v>0</v>
      </c>
      <c r="S17" s="511" t="n">
        <f aca="false">IF($Y17=1,0,$X$7*(INT(S$6/$X17)-INT(R$6/$X17))-IF(SUM($B17:R17)&gt;0,S18,0))</f>
        <v>0</v>
      </c>
      <c r="T17" s="511" t="n">
        <f aca="false">IF($Y17=1,0,$X$7*(INT(T$6/$X17)-INT(S$6/$X17))-IF(SUM($B17:S17)&gt;0,T18,0))</f>
        <v>0</v>
      </c>
      <c r="U17" s="511" t="n">
        <f aca="false">IF($Y17=1,0,$X$7*(INT(U$6/$X17)-INT(T$6/$X17))-IF(SUM($B17:T17)&gt;0,U18,0))</f>
        <v>0</v>
      </c>
      <c r="V17" s="511" t="n">
        <f aca="false">IF($Y17=1,0,$X$7*(INT(V$6/$X17)-INT(U$6/$X17))-IF(SUM($B17:U17)&gt;0,V18,0))</f>
        <v>0</v>
      </c>
      <c r="W17" s="799" t="str">
        <f aca="false">'GT schd cost(W501D5)'!A14</f>
        <v>Baskets</v>
      </c>
      <c r="X17" s="800" t="n">
        <f aca="false">IF($AD$6=1,'GTDB(W501D5)'!B17,'GTDB(W501D5)'!G17)</f>
        <v>8000</v>
      </c>
      <c r="Y17" s="800" t="n">
        <f aca="false">IF($AD$6=1,'GTDB(W501D5)'!C17,'GTDB(W501D5)'!H17)</f>
        <v>6</v>
      </c>
      <c r="Z17" s="801" t="n">
        <v>2</v>
      </c>
      <c r="AA17" s="802" t="n">
        <f aca="false">'Initial_Spares(W501D5)'!$E$11</f>
        <v>0</v>
      </c>
      <c r="AB17" s="764" t="n">
        <f aca="false">'GT schd cost(W501D5)'!X14+'GT schd cost(W501D5)'!X40</f>
        <v>0</v>
      </c>
    </row>
    <row r="18" customFormat="false" ht="12.75" hidden="false" customHeight="false" outlineLevel="0" collapsed="false">
      <c r="A18" s="153" t="s">
        <v>1397</v>
      </c>
      <c r="B18" s="511" t="s">
        <v>1007</v>
      </c>
      <c r="C18" s="511" t="n">
        <f aca="false">IF(INT(C$6/$X17)*$X$7&gt;C16*($X$7+$Z17)*$Y17,C16*($X$7+$Z17)-SUM($B18:B18),INT(C$6/$X17)*$X$7-C16*($X$7+$Z17)*($Y17-1)-SUM($B18:B18))+IF($Y17&gt;1,IF(INT(C$6/$X17)&gt;0,$Z17-$AA17,0),-$AA17)</f>
        <v>0</v>
      </c>
      <c r="D18" s="511" t="n">
        <f aca="false">IF(INT(D$6/$X17)*$X$7&gt;D16*($X$7+$Z17)*$Y17,D16*($X$7+$Z17)-SUM($B18:C18),INT(D$6/$X17)*$X$7-D16*($X$7+$Z17)*($Y17-1)-SUM($B18:C18))+IF($Y17&gt;1,IF(INT(D$6/$X17)&gt;0,$Z17-$AA17,0),-$AA17)</f>
        <v>0</v>
      </c>
      <c r="E18" s="511" t="n">
        <f aca="false">IF(INT(E$6/$X17)*$X$7&gt;E16*($X$7+$Z17)*$Y17,E16*($X$7+$Z17)-SUM($B18:D18),INT(E$6/$X17)*$X$7-E16*($X$7+$Z17)*($Y17-1)-SUM($B18:D18))+IF($Y17&gt;1,IF(INT(E$6/$X17)&gt;0,$Z17-$AA17,0),-$AA17)</f>
        <v>0</v>
      </c>
      <c r="F18" s="511" t="n">
        <f aca="false">IF(INT(F$6/$X17)*$X$7&gt;F16*($X$7+$Z17)*$Y17,F16*($X$7+$Z17)-SUM($B18:E18),INT(F$6/$X17)*$X$7-F16*($X$7+$Z17)*($Y17-1)-SUM($B18:E18))+IF($Y17&gt;1,IF(INT(F$6/$X17)&gt;0,$Z17-$AA17,0),-$AA17)</f>
        <v>0</v>
      </c>
      <c r="G18" s="511" t="n">
        <f aca="false">IF(INT(G$6/$X17)*$X$7&gt;G16*($X$7+$Z17)*$Y17,G16*($X$7+$Z17)-SUM($B18:F18),INT(G$6/$X17)*$X$7-G16*($X$7+$Z17)*($Y17-1)-SUM($B18:F18))+IF($Y17&gt;1,IF(INT(G$6/$X17)&gt;0,$Z17-$AA17,0),-$AA17)</f>
        <v>0</v>
      </c>
      <c r="H18" s="511" t="n">
        <f aca="false">IF(INT(H$6/$X17)*$X$7&gt;H16*($X$7+$Z17)*$Y17,H16*($X$7+$Z17)-SUM($B18:G18),INT(H$6/$X17)*$X$7-H16*($X$7+$Z17)*($Y17-1)-SUM($B18:G18))+IF($Y17&gt;1,IF(INT(H$6/$X17)&gt;0,$Z17-$AA17,0),-$AA17)</f>
        <v>0</v>
      </c>
      <c r="I18" s="511" t="n">
        <f aca="false">IF(INT(I$6/$X17)*$X$7&gt;I16*($X$7+$Z17)*$Y17,I16*($X$7+$Z17)-SUM($B18:H18),INT(I$6/$X17)*$X$7-I16*($X$7+$Z17)*($Y17-1)-SUM($B18:H18))+IF($Y17&gt;1,IF(INT(I$6/$X17)&gt;0,$Z17-$AA17,0),-$AA17)</f>
        <v>0</v>
      </c>
      <c r="J18" s="511" t="n">
        <f aca="false">IF(INT(J$6/$X17)*$X$7&gt;J16*($X$7+$Z17)*$Y17,J16*($X$7+$Z17)-SUM($B18:I18),INT(J$6/$X17)*$X$7-J16*($X$7+$Z17)*($Y17-1)-SUM($B18:I18))+IF($Y17&gt;1,IF(INT(J$6/$X17)&gt;0,$Z17-$AA17,0),-$AA17)</f>
        <v>0</v>
      </c>
      <c r="K18" s="511" t="n">
        <f aca="false">IF(INT(K$6/$X17)*$X$7&gt;K16*($X$7+$Z17)*$Y17,K16*($X$7+$Z17)-SUM($B18:J18),INT(K$6/$X17)*$X$7-K16*($X$7+$Z17)*($Y17-1)-SUM($B18:J18))+IF($Y17&gt;1,IF(INT(K$6/$X17)&gt;0,$Z17-$AA17,0),-$AA17)</f>
        <v>0</v>
      </c>
      <c r="L18" s="511" t="n">
        <f aca="false">IF(INT(L$6/$X17)*$X$7&gt;L16*($X$7+$Z17)*$Y17,L16*($X$7+$Z17)-SUM($B18:K18),INT(L$6/$X17)*$X$7-L16*($X$7+$Z17)*($Y17-1)-SUM($B18:K18))+IF($Y17&gt;1,IF(INT(L$6/$X17)&gt;0,$Z17-$AA17,0),-$AA17)</f>
        <v>0</v>
      </c>
      <c r="M18" s="511" t="n">
        <f aca="false">IF(INT(M$6/$X17)*$X$7&gt;M16*($X$7+$Z17)*$Y17,M16*($X$7+$Z17)-SUM($B18:L18),INT(M$6/$X17)*$X$7-M16*($X$7+$Z17)*($Y17-1)-SUM($B18:L18))+IF($Y17&gt;1,IF(INT(M$6/$X17)&gt;0,$Z17-$AA17,0),-$AA17)</f>
        <v>0</v>
      </c>
      <c r="N18" s="511" t="n">
        <f aca="false">IF(INT(N$6/$X17)*$X$7&gt;N16*($X$7+$Z17)*$Y17,N16*($X$7+$Z17)-SUM($B18:M18),INT(N$6/$X17)*$X$7-N16*($X$7+$Z17)*($Y17-1)-SUM($B18:M18))+IF($Y17&gt;1,IF(INT(N$6/$X17)&gt;0,$Z17-$AA17,0),-$AA17)</f>
        <v>0</v>
      </c>
      <c r="O18" s="511" t="n">
        <f aca="false">IF(INT(O$6/$X17)*$X$7&gt;O16*($X$7+$Z17)*$Y17,O16*($X$7+$Z17)-SUM($B18:N18),INT(O$6/$X17)*$X$7-O16*($X$7+$Z17)*($Y17-1)-SUM($B18:N18))+IF($Y17&gt;1,IF(INT(O$6/$X17)&gt;0,$Z17-$AA17,0),-$AA17)</f>
        <v>0</v>
      </c>
      <c r="P18" s="511" t="n">
        <f aca="false">IF(INT(P$6/$X17)*$X$7&gt;P16*($X$7+$Z17)*$Y17,P16*($X$7+$Z17)-SUM($B18:O18),INT(P$6/$X17)*$X$7-P16*($X$7+$Z17)*($Y17-1)-SUM($B18:O18))+IF($Y17&gt;1,IF(INT(P$6/$X17)&gt;0,$Z17-$AA17,0),-$AA17)</f>
        <v>0</v>
      </c>
      <c r="Q18" s="511" t="n">
        <f aca="false">IF(INT(Q$6/$X17)*$X$7&gt;Q16*($X$7+$Z17)*$Y17,Q16*($X$7+$Z17)-SUM($B18:P18),INT(Q$6/$X17)*$X$7-Q16*($X$7+$Z17)*($Y17-1)-SUM($B18:P18))+IF($Y17&gt;1,IF(INT(Q$6/$X17)&gt;0,$Z17-$AA17,0),-$AA17)</f>
        <v>0</v>
      </c>
      <c r="R18" s="511" t="n">
        <f aca="false">IF(INT(R$6/$X17)*$X$7&gt;R16*($X$7+$Z17)*$Y17,R16*($X$7+$Z17)-SUM($B18:Q18),INT(R$6/$X17)*$X$7-R16*($X$7+$Z17)*($Y17-1)-SUM($B18:Q18))+IF($Y17&gt;1,IF(INT(R$6/$X17)&gt;0,$Z17-$AA17,0),-$AA17)</f>
        <v>0</v>
      </c>
      <c r="S18" s="511" t="n">
        <f aca="false">IF(INT(S$6/$X17)*$X$7&gt;S16*($X$7+$Z17)*$Y17,S16*($X$7+$Z17)-SUM($B18:R18),INT(S$6/$X17)*$X$7-S16*($X$7+$Z17)*($Y17-1)-SUM($B18:R18))+IF($Y17&gt;1,IF(INT(S$6/$X17)&gt;0,$Z17-$AA17,0),-$AA17)</f>
        <v>0</v>
      </c>
      <c r="T18" s="511" t="n">
        <f aca="false">IF(INT(T$6/$X17)*$X$7&gt;T16*($X$7+$Z17)*$Y17,T16*($X$7+$Z17)-SUM($B18:S18),INT(T$6/$X17)*$X$7-T16*($X$7+$Z17)*($Y17-1)-SUM($B18:S18))+IF($Y17&gt;1,IF(INT(T$6/$X17)&gt;0,$Z17-$AA17,0),-$AA17)</f>
        <v>0</v>
      </c>
      <c r="U18" s="511" t="n">
        <f aca="false">IF(INT(U$6/$X17)*$X$7&gt;U16*($X$7+$Z17)*$Y17,U16*($X$7+$Z17)-SUM($B18:T18),INT(U$6/$X17)*$X$7-U16*($X$7+$Z17)*($Y17-1)-SUM($B18:T18))+IF($Y17&gt;1,IF(INT(U$6/$X17)&gt;0,$Z17-$AA17,0),-$AA17)</f>
        <v>0</v>
      </c>
      <c r="V18" s="511" t="n">
        <f aca="false">IF(INT(V$6/$X17)*$X$7&gt;V16*($X$7+$Z17)*$Y17,V16*($X$7+$Z17)-SUM($B18:U18),INT(V$6/$X17)*$X$7-V16*($X$7+$Z17)*($Y17-1)-SUM($B18:U18))+IF($Y17&gt;1,IF(INT(V$6/$X17)&gt;0,$Z17-$AA17,0),-$AA17)</f>
        <v>0</v>
      </c>
      <c r="W18" s="803"/>
    </row>
    <row r="19" customFormat="false" ht="12.75" hidden="false" customHeight="false" outlineLevel="0" collapsed="false"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803" t="s">
        <v>1007</v>
      </c>
      <c r="X19" s="0" t="s">
        <v>1007</v>
      </c>
    </row>
    <row r="20" customFormat="false" ht="12.75" hidden="true" customHeight="false" outlineLevel="0" collapsed="false">
      <c r="A20" s="153" t="s">
        <v>1395</v>
      </c>
      <c r="B20" s="511"/>
      <c r="C20" s="153" t="n">
        <f aca="false">INT((INT(C$6/$X21)*$X$7+$X$7+$Z21-1)/($X$7+$Z21)/$Y21)</f>
        <v>0</v>
      </c>
      <c r="D20" s="153" t="n">
        <f aca="false">INT((INT(D$6/$X21)*$X$7+$X$7+$Z21-1)/($X$7+$Z21)/$Y21)</f>
        <v>0</v>
      </c>
      <c r="E20" s="153" t="n">
        <f aca="false">INT((INT(E$6/$X21)*$X$7+$X$7+$Z21-1)/($X$7+$Z21)/$Y21)</f>
        <v>0</v>
      </c>
      <c r="F20" s="153" t="n">
        <f aca="false">INT((INT(F$6/$X21)*$X$7+$X$7+$Z21-1)/($X$7+$Z21)/$Y21)</f>
        <v>0</v>
      </c>
      <c r="G20" s="153" t="n">
        <f aca="false">INT((INT(G$6/$X21)*$X$7+$X$7+$Z21-1)/($X$7+$Z21)/$Y21)</f>
        <v>0</v>
      </c>
      <c r="H20" s="153" t="n">
        <f aca="false">INT((INT(H$6/$X21)*$X$7+$X$7+$Z21-1)/($X$7+$Z21)/$Y21)</f>
        <v>0</v>
      </c>
      <c r="I20" s="153" t="n">
        <f aca="false">INT((INT(I$6/$X21)*$X$7+$X$7+$Z21-1)/($X$7+$Z21)/$Y21)</f>
        <v>0</v>
      </c>
      <c r="J20" s="153" t="n">
        <f aca="false">INT((INT(J$6/$X21)*$X$7+$X$7+$Z21-1)/($X$7+$Z21)/$Y21)</f>
        <v>0</v>
      </c>
      <c r="K20" s="153" t="n">
        <f aca="false">INT((INT(K$6/$X21)*$X$7+$X$7+$Z21-1)/($X$7+$Z21)/$Y21)</f>
        <v>0</v>
      </c>
      <c r="L20" s="153" t="n">
        <f aca="false">INT((INT(L$6/$X21)*$X$7+$X$7+$Z21-1)/($X$7+$Z21)/$Y21)</f>
        <v>0</v>
      </c>
      <c r="M20" s="153" t="n">
        <f aca="false">INT((INT(M$6/$X21)*$X$7+$X$7+$Z21-1)/($X$7+$Z21)/$Y21)</f>
        <v>0</v>
      </c>
      <c r="N20" s="153" t="n">
        <f aca="false">INT((INT(N$6/$X21)*$X$7+$X$7+$Z21-1)/($X$7+$Z21)/$Y21)</f>
        <v>0</v>
      </c>
      <c r="O20" s="153" t="n">
        <f aca="false">INT((INT(O$6/$X21)*$X$7+$X$7+$Z21-1)/($X$7+$Z21)/$Y21)</f>
        <v>0</v>
      </c>
      <c r="P20" s="153" t="n">
        <f aca="false">INT((INT(P$6/$X21)*$X$7+$X$7+$Z21-1)/($X$7+$Z21)/$Y21)</f>
        <v>0</v>
      </c>
      <c r="Q20" s="153" t="n">
        <f aca="false">INT((INT(Q$6/$X21)*$X$7+$X$7+$Z21-1)/($X$7+$Z21)/$Y21)</f>
        <v>0</v>
      </c>
      <c r="R20" s="153" t="n">
        <f aca="false">INT((INT(R$6/$X21)*$X$7+$X$7+$Z21-1)/($X$7+$Z21)/$Y21)</f>
        <v>0</v>
      </c>
      <c r="S20" s="153" t="n">
        <f aca="false">INT((INT(S$6/$X21)*$X$7+$X$7+$Z21-1)/($X$7+$Z21)/$Y21)</f>
        <v>0</v>
      </c>
      <c r="T20" s="153" t="n">
        <f aca="false">INT((INT(T$6/$X21)*$X$7+$X$7+$Z21-1)/($X$7+$Z21)/$Y21)</f>
        <v>0</v>
      </c>
      <c r="U20" s="153" t="n">
        <f aca="false">INT((INT(U$6/$X21)*$X$7+$X$7+$Z21-1)/($X$7+$Z21)/$Y21)</f>
        <v>0</v>
      </c>
      <c r="V20" s="153" t="n">
        <f aca="false">INT((INT(V$6/$X21)*$X$7+$X$7+$Z21-1)/($X$7+$Z21)/$Y21)</f>
        <v>0</v>
      </c>
    </row>
    <row r="21" customFormat="false" ht="12.75" hidden="false" customHeight="false" outlineLevel="0" collapsed="false">
      <c r="A21" s="153" t="s">
        <v>1396</v>
      </c>
      <c r="B21" s="511" t="s">
        <v>1007</v>
      </c>
      <c r="C21" s="511" t="n">
        <f aca="false">IF($Y21=1,0,$X$7*(INT(C$6/$X21)-INT(B$6/$X21))-IF(SUM($B21:B21)&gt;0,C22,0))</f>
        <v>0</v>
      </c>
      <c r="D21" s="511" t="n">
        <f aca="false">IF($Y21=1,0,$X$7*(INT(D$6/$X21)-INT(C$6/$X21))-IF(SUM($B21:C21)&gt;0,D22,0))</f>
        <v>0</v>
      </c>
      <c r="E21" s="511" t="n">
        <f aca="false">IF($Y21=1,0,$X$7*(INT(E$6/$X21)-INT(D$6/$X21))-IF(SUM($B21:D21)&gt;0,E22,0))</f>
        <v>0</v>
      </c>
      <c r="F21" s="511" t="n">
        <f aca="false">IF($Y21=1,0,$X$7*(INT(F$6/$X21)-INT(E$6/$X21))-IF(SUM($B21:E21)&gt;0,F22,0))</f>
        <v>0</v>
      </c>
      <c r="G21" s="511" t="n">
        <f aca="false">IF($Y21=1,0,$X$7*(INT(G$6/$X21)-INT(F$6/$X21))-IF(SUM($B21:F21)&gt;0,G22,0))</f>
        <v>0</v>
      </c>
      <c r="H21" s="511" t="n">
        <f aca="false">IF($Y21=1,0,$X$7*(INT(H$6/$X21)-INT(G$6/$X21))-IF(SUM($B21:G21)&gt;0,H22,0))</f>
        <v>0</v>
      </c>
      <c r="I21" s="511" t="n">
        <f aca="false">IF($Y21=1,0,$X$7*(INT(I$6/$X21)-INT(H$6/$X21))-IF(SUM($B21:H21)&gt;0,I22,0))</f>
        <v>0</v>
      </c>
      <c r="J21" s="511" t="n">
        <f aca="false">IF($Y21=1,0,$X$7*(INT(J$6/$X21)-INT(I$6/$X21))-IF(SUM($B21:I21)&gt;0,J22,0))</f>
        <v>0</v>
      </c>
      <c r="K21" s="511" t="n">
        <f aca="false">IF($Y21=1,0,$X$7*(INT(K$6/$X21)-INT(J$6/$X21))-IF(SUM($B21:J21)&gt;0,K22,0))</f>
        <v>0</v>
      </c>
      <c r="L21" s="511" t="n">
        <f aca="false">IF($Y21=1,0,$X$7*(INT(L$6/$X21)-INT(K$6/$X21))-IF(SUM($B21:K21)&gt;0,L22,0))</f>
        <v>0</v>
      </c>
      <c r="M21" s="511" t="n">
        <f aca="false">IF($Y21=1,0,$X$7*(INT(M$6/$X21)-INT(L$6/$X21))-IF(SUM($B21:L21)&gt;0,M22,0))</f>
        <v>0</v>
      </c>
      <c r="N21" s="511" t="n">
        <f aca="false">IF($Y21=1,0,$X$7*(INT(N$6/$X21)-INT(M$6/$X21))-IF(SUM($B21:M21)&gt;0,N22,0))</f>
        <v>0</v>
      </c>
      <c r="O21" s="511" t="n">
        <f aca="false">IF($Y21=1,0,$X$7*(INT(O$6/$X21)-INT(N$6/$X21))-IF(SUM($B21:N21)&gt;0,O22,0))</f>
        <v>0</v>
      </c>
      <c r="P21" s="511" t="n">
        <f aca="false">IF($Y21=1,0,$X$7*(INT(P$6/$X21)-INT(O$6/$X21))-IF(SUM($B21:O21)&gt;0,P22,0))</f>
        <v>0</v>
      </c>
      <c r="Q21" s="511" t="n">
        <f aca="false">IF($Y21=1,0,$X$7*(INT(Q$6/$X21)-INT(P$6/$X21))-IF(SUM($B21:P21)&gt;0,Q22,0))</f>
        <v>0</v>
      </c>
      <c r="R21" s="511" t="n">
        <f aca="false">IF($Y21=1,0,$X$7*(INT(R$6/$X21)-INT(Q$6/$X21))-IF(SUM($B21:Q21)&gt;0,R22,0))</f>
        <v>0</v>
      </c>
      <c r="S21" s="511" t="n">
        <f aca="false">IF($Y21=1,0,$X$7*(INT(S$6/$X21)-INT(R$6/$X21))-IF(SUM($B21:R21)&gt;0,S22,0))</f>
        <v>0</v>
      </c>
      <c r="T21" s="511" t="n">
        <f aca="false">IF($Y21=1,0,$X$7*(INT(T$6/$X21)-INT(S$6/$X21))-IF(SUM($B21:S21)&gt;0,T22,0))</f>
        <v>0</v>
      </c>
      <c r="U21" s="511" t="n">
        <f aca="false">IF($Y21=1,0,$X$7*(INT(U$6/$X21)-INT(T$6/$X21))-IF(SUM($B21:T21)&gt;0,U22,0))</f>
        <v>0</v>
      </c>
      <c r="V21" s="511" t="n">
        <f aca="false">IF($Y21=1,0,$X$7*(INT(V$6/$X21)-INT(U$6/$X21))-IF(SUM($B21:U21)&gt;0,V22,0))</f>
        <v>0</v>
      </c>
      <c r="W21" s="800" t="str">
        <f aca="false">'GT schd cost(W501D5)'!A15</f>
        <v>Transition Pieces</v>
      </c>
      <c r="X21" s="800" t="n">
        <f aca="false">IF($AD$6=1,'GTDB(W501D5)'!B18,'GTDB(W501D5)'!G18)</f>
        <v>8000</v>
      </c>
      <c r="Y21" s="800" t="n">
        <f aca="false">IF($AD$6=1,'GTDB(W501D5)'!C18,'GTDB(W501D5)'!H18)</f>
        <v>6</v>
      </c>
      <c r="Z21" s="801" t="n">
        <v>2</v>
      </c>
      <c r="AA21" s="804" t="n">
        <f aca="false">'Initial_Spares(W501D5)'!$E$12</f>
        <v>0</v>
      </c>
      <c r="AB21" s="764" t="n">
        <f aca="false">'GT schd cost(W501D5)'!X15+'GT schd cost(W501D5)'!X41</f>
        <v>0</v>
      </c>
    </row>
    <row r="22" customFormat="false" ht="12.75" hidden="false" customHeight="false" outlineLevel="0" collapsed="false">
      <c r="A22" s="153" t="s">
        <v>1397</v>
      </c>
      <c r="B22" s="511" t="s">
        <v>1007</v>
      </c>
      <c r="C22" s="511" t="n">
        <f aca="false">IF(INT(C$6/$X21)*$X$7&gt;C20*($X$7+$Z21)*$Y21,C20*($X$7+$Z21)-SUM($B22:B22),INT(C$6/$X21)*$X$7-C20*($X$7+$Z21)*($Y21-1)-SUM($B22:B22))+IF($Y21&gt;1,IF(INT(C$6/$X21)&gt;0,$Z21-$AA21,0),-$AA21)</f>
        <v>0</v>
      </c>
      <c r="D22" s="511" t="n">
        <f aca="false">IF(INT(D$6/$X21)*$X$7&gt;D20*($X$7+$Z21)*$Y21,D20*($X$7+$Z21)-SUM($B22:C22),INT(D$6/$X21)*$X$7-D20*($X$7+$Z21)*($Y21-1)-SUM($B22:C22))+IF($Y21&gt;1,IF(INT(D$6/$X21)&gt;0,$Z21-$AA21,0),-$AA21)</f>
        <v>0</v>
      </c>
      <c r="E22" s="511" t="n">
        <f aca="false">IF(INT(E$6/$X21)*$X$7&gt;E20*($X$7+$Z21)*$Y21,E20*($X$7+$Z21)-SUM($B22:D22),INT(E$6/$X21)*$X$7-E20*($X$7+$Z21)*($Y21-1)-SUM($B22:D22))+IF($Y21&gt;1,IF(INT(E$6/$X21)&gt;0,$Z21-$AA21,0),-$AA21)</f>
        <v>0</v>
      </c>
      <c r="F22" s="511" t="n">
        <f aca="false">IF(INT(F$6/$X21)*$X$7&gt;F20*($X$7+$Z21)*$Y21,F20*($X$7+$Z21)-SUM($B22:E22),INT(F$6/$X21)*$X$7-F20*($X$7+$Z21)*($Y21-1)-SUM($B22:E22))+IF($Y21&gt;1,IF(INT(F$6/$X21)&gt;0,$Z21-$AA21,0),-$AA21)</f>
        <v>0</v>
      </c>
      <c r="G22" s="511" t="n">
        <f aca="false">IF(INT(G$6/$X21)*$X$7&gt;G20*($X$7+$Z21)*$Y21,G20*($X$7+$Z21)-SUM($B22:F22),INT(G$6/$X21)*$X$7-G20*($X$7+$Z21)*($Y21-1)-SUM($B22:F22))+IF($Y21&gt;1,IF(INT(G$6/$X21)&gt;0,$Z21-$AA21,0),-$AA21)</f>
        <v>0</v>
      </c>
      <c r="H22" s="511" t="n">
        <f aca="false">IF(INT(H$6/$X21)*$X$7&gt;H20*($X$7+$Z21)*$Y21,H20*($X$7+$Z21)-SUM($B22:G22),INT(H$6/$X21)*$X$7-H20*($X$7+$Z21)*($Y21-1)-SUM($B22:G22))+IF($Y21&gt;1,IF(INT(H$6/$X21)&gt;0,$Z21-$AA21,0),-$AA21)</f>
        <v>0</v>
      </c>
      <c r="I22" s="511" t="n">
        <f aca="false">IF(INT(I$6/$X21)*$X$7&gt;I20*($X$7+$Z21)*$Y21,I20*($X$7+$Z21)-SUM($B22:H22),INT(I$6/$X21)*$X$7-I20*($X$7+$Z21)*($Y21-1)-SUM($B22:H22))+IF($Y21&gt;1,IF(INT(I$6/$X21)&gt;0,$Z21-$AA21,0),-$AA21)</f>
        <v>0</v>
      </c>
      <c r="J22" s="511" t="n">
        <f aca="false">IF(INT(J$6/$X21)*$X$7&gt;J20*($X$7+$Z21)*$Y21,J20*($X$7+$Z21)-SUM($B22:I22),INT(J$6/$X21)*$X$7-J20*($X$7+$Z21)*($Y21-1)-SUM($B22:I22))+IF($Y21&gt;1,IF(INT(J$6/$X21)&gt;0,$Z21-$AA21,0),-$AA21)</f>
        <v>0</v>
      </c>
      <c r="K22" s="511" t="n">
        <f aca="false">IF(INT(K$6/$X21)*$X$7&gt;K20*($X$7+$Z21)*$Y21,K20*($X$7+$Z21)-SUM($B22:J22),INT(K$6/$X21)*$X$7-K20*($X$7+$Z21)*($Y21-1)-SUM($B22:J22))+IF($Y21&gt;1,IF(INT(K$6/$X21)&gt;0,$Z21-$AA21,0),-$AA21)</f>
        <v>0</v>
      </c>
      <c r="L22" s="511" t="n">
        <f aca="false">IF(INT(L$6/$X21)*$X$7&gt;L20*($X$7+$Z21)*$Y21,L20*($X$7+$Z21)-SUM($B22:K22),INT(L$6/$X21)*$X$7-L20*($X$7+$Z21)*($Y21-1)-SUM($B22:K22))+IF($Y21&gt;1,IF(INT(L$6/$X21)&gt;0,$Z21-$AA21,0),-$AA21)</f>
        <v>0</v>
      </c>
      <c r="M22" s="511" t="n">
        <f aca="false">IF(INT(M$6/$X21)*$X$7&gt;M20*($X$7+$Z21)*$Y21,M20*($X$7+$Z21)-SUM($B22:L22),INT(M$6/$X21)*$X$7-M20*($X$7+$Z21)*($Y21-1)-SUM($B22:L22))+IF($Y21&gt;1,IF(INT(M$6/$X21)&gt;0,$Z21-$AA21,0),-$AA21)</f>
        <v>0</v>
      </c>
      <c r="N22" s="511" t="n">
        <f aca="false">IF(INT(N$6/$X21)*$X$7&gt;N20*($X$7+$Z21)*$Y21,N20*($X$7+$Z21)-SUM($B22:M22),INT(N$6/$X21)*$X$7-N20*($X$7+$Z21)*($Y21-1)-SUM($B22:M22))+IF($Y21&gt;1,IF(INT(N$6/$X21)&gt;0,$Z21-$AA21,0),-$AA21)</f>
        <v>0</v>
      </c>
      <c r="O22" s="511" t="n">
        <f aca="false">IF(INT(O$6/$X21)*$X$7&gt;O20*($X$7+$Z21)*$Y21,O20*($X$7+$Z21)-SUM($B22:N22),INT(O$6/$X21)*$X$7-O20*($X$7+$Z21)*($Y21-1)-SUM($B22:N22))+IF($Y21&gt;1,IF(INT(O$6/$X21)&gt;0,$Z21-$AA21,0),-$AA21)</f>
        <v>0</v>
      </c>
      <c r="P22" s="511" t="n">
        <f aca="false">IF(INT(P$6/$X21)*$X$7&gt;P20*($X$7+$Z21)*$Y21,P20*($X$7+$Z21)-SUM($B22:O22),INT(P$6/$X21)*$X$7-P20*($X$7+$Z21)*($Y21-1)-SUM($B22:O22))+IF($Y21&gt;1,IF(INT(P$6/$X21)&gt;0,$Z21-$AA21,0),-$AA21)</f>
        <v>0</v>
      </c>
      <c r="Q22" s="511" t="n">
        <f aca="false">IF(INT(Q$6/$X21)*$X$7&gt;Q20*($X$7+$Z21)*$Y21,Q20*($X$7+$Z21)-SUM($B22:P22),INT(Q$6/$X21)*$X$7-Q20*($X$7+$Z21)*($Y21-1)-SUM($B22:P22))+IF($Y21&gt;1,IF(INT(Q$6/$X21)&gt;0,$Z21-$AA21,0),-$AA21)</f>
        <v>0</v>
      </c>
      <c r="R22" s="511" t="n">
        <f aca="false">IF(INT(R$6/$X21)*$X$7&gt;R20*($X$7+$Z21)*$Y21,R20*($X$7+$Z21)-SUM($B22:Q22),INT(R$6/$X21)*$X$7-R20*($X$7+$Z21)*($Y21-1)-SUM($B22:Q22))+IF($Y21&gt;1,IF(INT(R$6/$X21)&gt;0,$Z21-$AA21,0),-$AA21)</f>
        <v>0</v>
      </c>
      <c r="S22" s="511" t="n">
        <f aca="false">IF(INT(S$6/$X21)*$X$7&gt;S20*($X$7+$Z21)*$Y21,S20*($X$7+$Z21)-SUM($B22:R22),INT(S$6/$X21)*$X$7-S20*($X$7+$Z21)*($Y21-1)-SUM($B22:R22))+IF($Y21&gt;1,IF(INT(S$6/$X21)&gt;0,$Z21-$AA21,0),-$AA21)</f>
        <v>0</v>
      </c>
      <c r="T22" s="511" t="n">
        <f aca="false">IF(INT(T$6/$X21)*$X$7&gt;T20*($X$7+$Z21)*$Y21,T20*($X$7+$Z21)-SUM($B22:S22),INT(T$6/$X21)*$X$7-T20*($X$7+$Z21)*($Y21-1)-SUM($B22:S22))+IF($Y21&gt;1,IF(INT(T$6/$X21)&gt;0,$Z21-$AA21,0),-$AA21)</f>
        <v>0</v>
      </c>
      <c r="U22" s="511" t="n">
        <f aca="false">IF(INT(U$6/$X21)*$X$7&gt;U20*($X$7+$Z21)*$Y21,U20*($X$7+$Z21)-SUM($B22:T22),INT(U$6/$X21)*$X$7-U20*($X$7+$Z21)*($Y21-1)-SUM($B22:T22))+IF($Y21&gt;1,IF(INT(U$6/$X21)&gt;0,$Z21-$AA21,0),-$AA21)</f>
        <v>0</v>
      </c>
      <c r="V22" s="511" t="n">
        <f aca="false">IF(INT(V$6/$X21)*$X$7&gt;V20*($X$7+$Z21)*$Y21,V20*($X$7+$Z21)-SUM($B22:U22),INT(V$6/$X21)*$X$7-V20*($X$7+$Z21)*($Y21-1)-SUM($B22:U22))+IF($Y21&gt;1,IF(INT(V$6/$X21)&gt;0,$Z21-$AA21,0),-$AA21)</f>
        <v>0</v>
      </c>
      <c r="W22" s="803"/>
    </row>
    <row r="23" customFormat="false" ht="12.75" hidden="false" customHeight="false" outlineLevel="0" collapsed="false">
      <c r="W23" s="803"/>
    </row>
    <row r="24" customFormat="false" ht="12.75" hidden="true" customHeight="false" outlineLevel="0" collapsed="false">
      <c r="A24" s="153" t="s">
        <v>1395</v>
      </c>
      <c r="B24" s="511"/>
      <c r="C24" s="153" t="n">
        <f aca="false">INT((INT(C$6/$X25)*$X$7+$X$7+$Z25-1)/($X$7+$Z25)/$Y25)</f>
        <v>0</v>
      </c>
      <c r="D24" s="153" t="n">
        <f aca="false">INT((INT(D$6/$X25)*$X$7+$X$7+$Z25-1)/($X$7+$Z25)/$Y25)</f>
        <v>0</v>
      </c>
      <c r="E24" s="153" t="n">
        <f aca="false">INT((INT(E$6/$X25)*$X$7+$X$7+$Z25-1)/($X$7+$Z25)/$Y25)</f>
        <v>0</v>
      </c>
      <c r="F24" s="153" t="n">
        <f aca="false">INT((INT(F$6/$X25)*$X$7+$X$7+$Z25-1)/($X$7+$Z25)/$Y25)</f>
        <v>0</v>
      </c>
      <c r="G24" s="153" t="n">
        <f aca="false">INT((INT(G$6/$X25)*$X$7+$X$7+$Z25-1)/($X$7+$Z25)/$Y25)</f>
        <v>0</v>
      </c>
      <c r="H24" s="153" t="n">
        <f aca="false">INT((INT(H$6/$X25)*$X$7+$X$7+$Z25-1)/($X$7+$Z25)/$Y25)</f>
        <v>0</v>
      </c>
      <c r="I24" s="153" t="n">
        <f aca="false">INT((INT(I$6/$X25)*$X$7+$X$7+$Z25-1)/($X$7+$Z25)/$Y25)</f>
        <v>0</v>
      </c>
      <c r="J24" s="153" t="n">
        <f aca="false">INT((INT(J$6/$X25)*$X$7+$X$7+$Z25-1)/($X$7+$Z25)/$Y25)</f>
        <v>0</v>
      </c>
      <c r="K24" s="153" t="n">
        <f aca="false">INT((INT(K$6/$X25)*$X$7+$X$7+$Z25-1)/($X$7+$Z25)/$Y25)</f>
        <v>0</v>
      </c>
      <c r="L24" s="153" t="n">
        <f aca="false">INT((INT(L$6/$X25)*$X$7+$X$7+$Z25-1)/($X$7+$Z25)/$Y25)</f>
        <v>0</v>
      </c>
      <c r="M24" s="153" t="n">
        <f aca="false">INT((INT(M$6/$X25)*$X$7+$X$7+$Z25-1)/($X$7+$Z25)/$Y25)</f>
        <v>0</v>
      </c>
      <c r="N24" s="153" t="n">
        <f aca="false">INT((INT(N$6/$X25)*$X$7+$X$7+$Z25-1)/($X$7+$Z25)/$Y25)</f>
        <v>0</v>
      </c>
      <c r="O24" s="153" t="n">
        <f aca="false">INT((INT(O$6/$X25)*$X$7+$X$7+$Z25-1)/($X$7+$Z25)/$Y25)</f>
        <v>0</v>
      </c>
      <c r="P24" s="153" t="n">
        <f aca="false">INT((INT(P$6/$X25)*$X$7+$X$7+$Z25-1)/($X$7+$Z25)/$Y25)</f>
        <v>0</v>
      </c>
      <c r="Q24" s="153" t="n">
        <f aca="false">INT((INT(Q$6/$X25)*$X$7+$X$7+$Z25-1)/($X$7+$Z25)/$Y25)</f>
        <v>0</v>
      </c>
      <c r="R24" s="153" t="n">
        <f aca="false">INT((INT(R$6/$X25)*$X$7+$X$7+$Z25-1)/($X$7+$Z25)/$Y25)</f>
        <v>0</v>
      </c>
      <c r="S24" s="153" t="n">
        <f aca="false">INT((INT(S$6/$X25)*$X$7+$X$7+$Z25-1)/($X$7+$Z25)/$Y25)</f>
        <v>0</v>
      </c>
      <c r="T24" s="153" t="n">
        <f aca="false">INT((INT(T$6/$X25)*$X$7+$X$7+$Z25-1)/($X$7+$Z25)/$Y25)</f>
        <v>0</v>
      </c>
      <c r="U24" s="153" t="n">
        <f aca="false">INT((INT(U$6/$X25)*$X$7+$X$7+$Z25-1)/($X$7+$Z25)/$Y25)</f>
        <v>0</v>
      </c>
      <c r="V24" s="153" t="n">
        <f aca="false">INT((INT(V$6/$X25)*$X$7+$X$7+$Z25-1)/($X$7+$Z25)/$Y25)</f>
        <v>0</v>
      </c>
    </row>
    <row r="25" customFormat="false" ht="12.75" hidden="false" customHeight="false" outlineLevel="0" collapsed="false">
      <c r="A25" s="153" t="s">
        <v>1396</v>
      </c>
      <c r="B25" s="511" t="s">
        <v>1007</v>
      </c>
      <c r="C25" s="511" t="n">
        <f aca="false">IF($Y25=1,0,$X$7*(INT(C$6/$X25)-INT(B$6/$X25))-IF(SUM($B25:B25)&gt;0,C26,0))</f>
        <v>0</v>
      </c>
      <c r="D25" s="511" t="n">
        <f aca="false">IF($Y25=1,0,$X$7*(INT(D$6/$X25)-INT(C$6/$X25))-IF(SUM($B25:C25)&gt;0,D26,0))</f>
        <v>0</v>
      </c>
      <c r="E25" s="511" t="n">
        <f aca="false">IF($Y25=1,0,$X$7*(INT(E$6/$X25)-INT(D$6/$X25))-IF(SUM($B25:D25)&gt;0,E26,0))</f>
        <v>0</v>
      </c>
      <c r="F25" s="511" t="n">
        <f aca="false">IF($Y25=1,0,$X$7*(INT(F$6/$X25)-INT(E$6/$X25))-IF(SUM($B25:E25)&gt;0,F26,0))</f>
        <v>0</v>
      </c>
      <c r="G25" s="511" t="n">
        <f aca="false">IF($Y25=1,0,$X$7*(INT(G$6/$X25)-INT(F$6/$X25))-IF(SUM($B25:F25)&gt;0,G26,0))</f>
        <v>0</v>
      </c>
      <c r="H25" s="511" t="n">
        <f aca="false">IF($Y25=1,0,$X$7*(INT(H$6/$X25)-INT(G$6/$X25))-IF(SUM($B25:G25)&gt;0,H26,0))</f>
        <v>0</v>
      </c>
      <c r="I25" s="511" t="n">
        <f aca="false">IF($Y25=1,0,$X$7*(INT(I$6/$X25)-INT(H$6/$X25))-IF(SUM($B25:H25)&gt;0,I26,0))</f>
        <v>0</v>
      </c>
      <c r="J25" s="511" t="n">
        <f aca="false">IF($Y25=1,0,$X$7*(INT(J$6/$X25)-INT(I$6/$X25))-IF(SUM($B25:I25)&gt;0,J26,0))</f>
        <v>0</v>
      </c>
      <c r="K25" s="511" t="n">
        <f aca="false">IF($Y25=1,0,$X$7*(INT(K$6/$X25)-INT(J$6/$X25))-IF(SUM($B25:J25)&gt;0,K26,0))</f>
        <v>0</v>
      </c>
      <c r="L25" s="511" t="n">
        <f aca="false">IF($Y25=1,0,$X$7*(INT(L$6/$X25)-INT(K$6/$X25))-IF(SUM($B25:K25)&gt;0,L26,0))</f>
        <v>0</v>
      </c>
      <c r="M25" s="511" t="n">
        <f aca="false">IF($Y25=1,0,$X$7*(INT(M$6/$X25)-INT(L$6/$X25))-IF(SUM($B25:L25)&gt;0,M26,0))</f>
        <v>0</v>
      </c>
      <c r="N25" s="511" t="n">
        <f aca="false">IF($Y25=1,0,$X$7*(INT(N$6/$X25)-INT(M$6/$X25))-IF(SUM($B25:M25)&gt;0,N26,0))</f>
        <v>0</v>
      </c>
      <c r="O25" s="511" t="n">
        <f aca="false">IF($Y25=1,0,$X$7*(INT(O$6/$X25)-INT(N$6/$X25))-IF(SUM($B25:N25)&gt;0,O26,0))</f>
        <v>0</v>
      </c>
      <c r="P25" s="511" t="n">
        <f aca="false">IF($Y25=1,0,$X$7*(INT(P$6/$X25)-INT(O$6/$X25))-IF(SUM($B25:O25)&gt;0,P26,0))</f>
        <v>0</v>
      </c>
      <c r="Q25" s="511" t="n">
        <f aca="false">IF($Y25=1,0,$X$7*(INT(Q$6/$X25)-INT(P$6/$X25))-IF(SUM($B25:P25)&gt;0,Q26,0))</f>
        <v>0</v>
      </c>
      <c r="R25" s="511" t="n">
        <f aca="false">IF($Y25=1,0,$X$7*(INT(R$6/$X25)-INT(Q$6/$X25))-IF(SUM($B25:Q25)&gt;0,R26,0))</f>
        <v>0</v>
      </c>
      <c r="S25" s="511" t="n">
        <f aca="false">IF($Y25=1,0,$X$7*(INT(S$6/$X25)-INT(R$6/$X25))-IF(SUM($B25:R25)&gt;0,S26,0))</f>
        <v>0</v>
      </c>
      <c r="T25" s="511" t="n">
        <f aca="false">IF($Y25=1,0,$X$7*(INT(T$6/$X25)-INT(S$6/$X25))-IF(SUM($B25:S25)&gt;0,T26,0))</f>
        <v>0</v>
      </c>
      <c r="U25" s="511" t="n">
        <f aca="false">IF($Y25=1,0,$X$7*(INT(U$6/$X25)-INT(T$6/$X25))-IF(SUM($B25:T25)&gt;0,U26,0))</f>
        <v>0</v>
      </c>
      <c r="V25" s="511" t="n">
        <f aca="false">IF($Y25=1,0,$X$7*(INT(V$6/$X25)-INT(U$6/$X25))-IF(SUM($B25:U25)&gt;0,V26,0))</f>
        <v>0</v>
      </c>
      <c r="W25" s="800" t="str">
        <f aca="false">'GT schd cost(W501D5)'!A16</f>
        <v>Transition Seals</v>
      </c>
      <c r="X25" s="800" t="n">
        <f aca="false">IF($AD$6=1,'GTDB(W501D5)'!B19,'GTDB(W501D5)'!G19)</f>
        <v>8000</v>
      </c>
      <c r="Y25" s="800" t="n">
        <f aca="false">IF($AD$6=1,'GTDB(W501D5)'!C19,'GTDB(W501D5)'!H19)</f>
        <v>3</v>
      </c>
      <c r="Z25" s="801" t="n">
        <v>2</v>
      </c>
      <c r="AA25" s="805" t="n">
        <f aca="false">'Initial_Spares(W501D5)'!$E$13</f>
        <v>0</v>
      </c>
      <c r="AB25" s="764" t="n">
        <f aca="false">'GT schd cost(W501D5)'!X16+'GT schd cost(W501D5)'!X42</f>
        <v>0</v>
      </c>
    </row>
    <row r="26" customFormat="false" ht="12.75" hidden="false" customHeight="false" outlineLevel="0" collapsed="false">
      <c r="A26" s="153" t="s">
        <v>1397</v>
      </c>
      <c r="B26" s="511" t="s">
        <v>1007</v>
      </c>
      <c r="C26" s="511" t="n">
        <f aca="false">IF(INT(C$6/$X25)*$X$7&gt;C24*($X$7+$Z25)*$Y25,C24*($X$7+$Z25)-SUM($B26:B26),INT(C$6/$X25)*$X$7-C24*($X$7+$Z25)*($Y25-1)-SUM($B26:B26))+IF($Y25&gt;1,IF(INT(C$6/$X25)&gt;0,$Z25-$AA25,0),-$AA25)</f>
        <v>0</v>
      </c>
      <c r="D26" s="511" t="n">
        <f aca="false">IF(INT(D$6/$X25)*$X$7&gt;D24*($X$7+$Z25)*$Y25,D24*($X$7+$Z25)-SUM($B26:C26),INT(D$6/$X25)*$X$7-D24*($X$7+$Z25)*($Y25-1)-SUM($B26:C26))+IF($Y25&gt;1,IF(INT(D$6/$X25)&gt;0,$Z25-$AA25,0),-$AA25)</f>
        <v>0</v>
      </c>
      <c r="E26" s="511" t="n">
        <f aca="false">IF(INT(E$6/$X25)*$X$7&gt;E24*($X$7+$Z25)*$Y25,E24*($X$7+$Z25)-SUM($B26:D26),INT(E$6/$X25)*$X$7-E24*($X$7+$Z25)*($Y25-1)-SUM($B26:D26))+IF($Y25&gt;1,IF(INT(E$6/$X25)&gt;0,$Z25-$AA25,0),-$AA25)</f>
        <v>0</v>
      </c>
      <c r="F26" s="511" t="n">
        <f aca="false">IF(INT(F$6/$X25)*$X$7&gt;F24*($X$7+$Z25)*$Y25,F24*($X$7+$Z25)-SUM($B26:E26),INT(F$6/$X25)*$X$7-F24*($X$7+$Z25)*($Y25-1)-SUM($B26:E26))+IF($Y25&gt;1,IF(INT(F$6/$X25)&gt;0,$Z25-$AA25,0),-$AA25)</f>
        <v>0</v>
      </c>
      <c r="G26" s="511" t="n">
        <f aca="false">IF(INT(G$6/$X25)*$X$7&gt;G24*($X$7+$Z25)*$Y25,G24*($X$7+$Z25)-SUM($B26:F26),INT(G$6/$X25)*$X$7-G24*($X$7+$Z25)*($Y25-1)-SUM($B26:F26))+IF($Y25&gt;1,IF(INT(G$6/$X25)&gt;0,$Z25-$AA25,0),-$AA25)</f>
        <v>0</v>
      </c>
      <c r="H26" s="511" t="n">
        <f aca="false">IF(INT(H$6/$X25)*$X$7&gt;H24*($X$7+$Z25)*$Y25,H24*($X$7+$Z25)-SUM($B26:G26),INT(H$6/$X25)*$X$7-H24*($X$7+$Z25)*($Y25-1)-SUM($B26:G26))+IF($Y25&gt;1,IF(INT(H$6/$X25)&gt;0,$Z25-$AA25,0),-$AA25)</f>
        <v>0</v>
      </c>
      <c r="I26" s="511" t="n">
        <f aca="false">IF(INT(I$6/$X25)*$X$7&gt;I24*($X$7+$Z25)*$Y25,I24*($X$7+$Z25)-SUM($B26:H26),INT(I$6/$X25)*$X$7-I24*($X$7+$Z25)*($Y25-1)-SUM($B26:H26))+IF($Y25&gt;1,IF(INT(I$6/$X25)&gt;0,$Z25-$AA25,0),-$AA25)</f>
        <v>0</v>
      </c>
      <c r="J26" s="511" t="n">
        <f aca="false">IF(INT(J$6/$X25)*$X$7&gt;J24*($X$7+$Z25)*$Y25,J24*($X$7+$Z25)-SUM($B26:I26),INT(J$6/$X25)*$X$7-J24*($X$7+$Z25)*($Y25-1)-SUM($B26:I26))+IF($Y25&gt;1,IF(INT(J$6/$X25)&gt;0,$Z25-$AA25,0),-$AA25)</f>
        <v>0</v>
      </c>
      <c r="K26" s="511" t="n">
        <f aca="false">IF(INT(K$6/$X25)*$X$7&gt;K24*($X$7+$Z25)*$Y25,K24*($X$7+$Z25)-SUM($B26:J26),INT(K$6/$X25)*$X$7-K24*($X$7+$Z25)*($Y25-1)-SUM($B26:J26))+IF($Y25&gt;1,IF(INT(K$6/$X25)&gt;0,$Z25-$AA25,0),-$AA25)</f>
        <v>0</v>
      </c>
      <c r="L26" s="511" t="n">
        <f aca="false">IF(INT(L$6/$X25)*$X$7&gt;L24*($X$7+$Z25)*$Y25,L24*($X$7+$Z25)-SUM($B26:K26),INT(L$6/$X25)*$X$7-L24*($X$7+$Z25)*($Y25-1)-SUM($B26:K26))+IF($Y25&gt;1,IF(INT(L$6/$X25)&gt;0,$Z25-$AA25,0),-$AA25)</f>
        <v>0</v>
      </c>
      <c r="M26" s="511" t="n">
        <f aca="false">IF(INT(M$6/$X25)*$X$7&gt;M24*($X$7+$Z25)*$Y25,M24*($X$7+$Z25)-SUM($B26:L26),INT(M$6/$X25)*$X$7-M24*($X$7+$Z25)*($Y25-1)-SUM($B26:L26))+IF($Y25&gt;1,IF(INT(M$6/$X25)&gt;0,$Z25-$AA25,0),-$AA25)</f>
        <v>0</v>
      </c>
      <c r="N26" s="511" t="n">
        <f aca="false">IF(INT(N$6/$X25)*$X$7&gt;N24*($X$7+$Z25)*$Y25,N24*($X$7+$Z25)-SUM($B26:M26),INT(N$6/$X25)*$X$7-N24*($X$7+$Z25)*($Y25-1)-SUM($B26:M26))+IF($Y25&gt;1,IF(INT(N$6/$X25)&gt;0,$Z25-$AA25,0),-$AA25)</f>
        <v>0</v>
      </c>
      <c r="O26" s="511" t="n">
        <f aca="false">IF(INT(O$6/$X25)*$X$7&gt;O24*($X$7+$Z25)*$Y25,O24*($X$7+$Z25)-SUM($B26:N26),INT(O$6/$X25)*$X$7-O24*($X$7+$Z25)*($Y25-1)-SUM($B26:N26))+IF($Y25&gt;1,IF(INT(O$6/$X25)&gt;0,$Z25-$AA25,0),-$AA25)</f>
        <v>0</v>
      </c>
      <c r="P26" s="511" t="n">
        <f aca="false">IF(INT(P$6/$X25)*$X$7&gt;P24*($X$7+$Z25)*$Y25,P24*($X$7+$Z25)-SUM($B26:O26),INT(P$6/$X25)*$X$7-P24*($X$7+$Z25)*($Y25-1)-SUM($B26:O26))+IF($Y25&gt;1,IF(INT(P$6/$X25)&gt;0,$Z25-$AA25,0),-$AA25)</f>
        <v>0</v>
      </c>
      <c r="Q26" s="511" t="n">
        <f aca="false">IF(INT(Q$6/$X25)*$X$7&gt;Q24*($X$7+$Z25)*$Y25,Q24*($X$7+$Z25)-SUM($B26:P26),INT(Q$6/$X25)*$X$7-Q24*($X$7+$Z25)*($Y25-1)-SUM($B26:P26))+IF($Y25&gt;1,IF(INT(Q$6/$X25)&gt;0,$Z25-$AA25,0),-$AA25)</f>
        <v>0</v>
      </c>
      <c r="R26" s="511" t="n">
        <f aca="false">IF(INT(R$6/$X25)*$X$7&gt;R24*($X$7+$Z25)*$Y25,R24*($X$7+$Z25)-SUM($B26:Q26),INT(R$6/$X25)*$X$7-R24*($X$7+$Z25)*($Y25-1)-SUM($B26:Q26))+IF($Y25&gt;1,IF(INT(R$6/$X25)&gt;0,$Z25-$AA25,0),-$AA25)</f>
        <v>0</v>
      </c>
      <c r="S26" s="511" t="n">
        <f aca="false">IF(INT(S$6/$X25)*$X$7&gt;S24*($X$7+$Z25)*$Y25,S24*($X$7+$Z25)-SUM($B26:R26),INT(S$6/$X25)*$X$7-S24*($X$7+$Z25)*($Y25-1)-SUM($B26:R26))+IF($Y25&gt;1,IF(INT(S$6/$X25)&gt;0,$Z25-$AA25,0),-$AA25)</f>
        <v>0</v>
      </c>
      <c r="T26" s="511" t="n">
        <f aca="false">IF(INT(T$6/$X25)*$X$7&gt;T24*($X$7+$Z25)*$Y25,T24*($X$7+$Z25)-SUM($B26:S26),INT(T$6/$X25)*$X$7-T24*($X$7+$Z25)*($Y25-1)-SUM($B26:S26))+IF($Y25&gt;1,IF(INT(T$6/$X25)&gt;0,$Z25-$AA25,0),-$AA25)</f>
        <v>0</v>
      </c>
      <c r="U26" s="511" t="n">
        <f aca="false">IF(INT(U$6/$X25)*$X$7&gt;U24*($X$7+$Z25)*$Y25,U24*($X$7+$Z25)-SUM($B26:T26),INT(U$6/$X25)*$X$7-U24*($X$7+$Z25)*($Y25-1)-SUM($B26:T26))+IF($Y25&gt;1,IF(INT(U$6/$X25)&gt;0,$Z25-$AA25,0),-$AA25)</f>
        <v>0</v>
      </c>
      <c r="V26" s="511" t="n">
        <f aca="false">IF(INT(V$6/$X25)*$X$7&gt;V24*($X$7+$Z25)*$Y25,V24*($X$7+$Z25)-SUM($B26:U26),INT(V$6/$X25)*$X$7-V24*($X$7+$Z25)*($Y25-1)-SUM($B26:U26))+IF($Y25&gt;1,IF(INT(V$6/$X25)&gt;0,$Z25-$AA25,0),-$AA25)</f>
        <v>0</v>
      </c>
      <c r="W26" s="803"/>
    </row>
    <row r="27" customFormat="false" ht="12.75" hidden="false" customHeight="false" outlineLevel="0" collapsed="false">
      <c r="W27" s="803"/>
    </row>
    <row r="28" customFormat="false" ht="12.75" hidden="true" customHeight="false" outlineLevel="0" collapsed="false">
      <c r="A28" s="153" t="s">
        <v>1395</v>
      </c>
      <c r="B28" s="511"/>
      <c r="C28" s="153" t="n">
        <f aca="false">INT((INT(C$6/$X29)*$X$7+$X$7+$Z29-1)/($X$7+$Z29)/$Y29)</f>
        <v>0</v>
      </c>
      <c r="D28" s="153" t="n">
        <f aca="false">INT((INT(D$6/$X29)*$X$7+$X$7+$Z29-1)/($X$7+$Z29)/$Y29)</f>
        <v>0</v>
      </c>
      <c r="E28" s="153" t="n">
        <f aca="false">INT((INT(E$6/$X29)*$X$7+$X$7+$Z29-1)/($X$7+$Z29)/$Y29)</f>
        <v>0</v>
      </c>
      <c r="F28" s="153" t="n">
        <f aca="false">INT((INT(F$6/$X29)*$X$7+$X$7+$Z29-1)/($X$7+$Z29)/$Y29)</f>
        <v>0</v>
      </c>
      <c r="G28" s="153" t="n">
        <f aca="false">INT((INT(G$6/$X29)*$X$7+$X$7+$Z29-1)/($X$7+$Z29)/$Y29)</f>
        <v>0</v>
      </c>
      <c r="H28" s="153" t="n">
        <f aca="false">INT((INT(H$6/$X29)*$X$7+$X$7+$Z29-1)/($X$7+$Z29)/$Y29)</f>
        <v>0</v>
      </c>
      <c r="I28" s="153" t="n">
        <f aca="false">INT((INT(I$6/$X29)*$X$7+$X$7+$Z29-1)/($X$7+$Z29)/$Y29)</f>
        <v>0</v>
      </c>
      <c r="J28" s="153" t="n">
        <f aca="false">INT((INT(J$6/$X29)*$X$7+$X$7+$Z29-1)/($X$7+$Z29)/$Y29)</f>
        <v>0</v>
      </c>
      <c r="K28" s="153" t="n">
        <f aca="false">INT((INT(K$6/$X29)*$X$7+$X$7+$Z29-1)/($X$7+$Z29)/$Y29)</f>
        <v>0</v>
      </c>
      <c r="L28" s="153" t="n">
        <f aca="false">INT((INT(L$6/$X29)*$X$7+$X$7+$Z29-1)/($X$7+$Z29)/$Y29)</f>
        <v>0</v>
      </c>
      <c r="M28" s="153" t="n">
        <f aca="false">INT((INT(M$6/$X29)*$X$7+$X$7+$Z29-1)/($X$7+$Z29)/$Y29)</f>
        <v>0</v>
      </c>
      <c r="N28" s="153" t="n">
        <f aca="false">INT((INT(N$6/$X29)*$X$7+$X$7+$Z29-1)/($X$7+$Z29)/$Y29)</f>
        <v>0</v>
      </c>
      <c r="O28" s="153" t="n">
        <f aca="false">INT((INT(O$6/$X29)*$X$7+$X$7+$Z29-1)/($X$7+$Z29)/$Y29)</f>
        <v>0</v>
      </c>
      <c r="P28" s="153" t="n">
        <f aca="false">INT((INT(P$6/$X29)*$X$7+$X$7+$Z29-1)/($X$7+$Z29)/$Y29)</f>
        <v>0</v>
      </c>
      <c r="Q28" s="153" t="n">
        <f aca="false">INT((INT(Q$6/$X29)*$X$7+$X$7+$Z29-1)/($X$7+$Z29)/$Y29)</f>
        <v>0</v>
      </c>
      <c r="R28" s="153" t="n">
        <f aca="false">INT((INT(R$6/$X29)*$X$7+$X$7+$Z29-1)/($X$7+$Z29)/$Y29)</f>
        <v>0</v>
      </c>
      <c r="S28" s="153" t="n">
        <f aca="false">INT((INT(S$6/$X29)*$X$7+$X$7+$Z29-1)/($X$7+$Z29)/$Y29)</f>
        <v>0</v>
      </c>
      <c r="T28" s="153" t="n">
        <f aca="false">INT((INT(T$6/$X29)*$X$7+$X$7+$Z29-1)/($X$7+$Z29)/$Y29)</f>
        <v>0</v>
      </c>
      <c r="U28" s="153" t="n">
        <f aca="false">INT((INT(U$6/$X29)*$X$7+$X$7+$Z29-1)/($X$7+$Z29)/$Y29)</f>
        <v>0</v>
      </c>
      <c r="V28" s="153" t="n">
        <f aca="false">INT((INT(V$6/$X29)*$X$7+$X$7+$Z29-1)/($X$7+$Z29)/$Y29)</f>
        <v>0</v>
      </c>
    </row>
    <row r="29" customFormat="false" ht="12.75" hidden="false" customHeight="false" outlineLevel="0" collapsed="false">
      <c r="A29" s="153" t="s">
        <v>1396</v>
      </c>
      <c r="B29" s="511" t="s">
        <v>1007</v>
      </c>
      <c r="C29" s="511" t="n">
        <f aca="false">IF($Y29=1,0,$X$7*(INT(C$6/$X29)-INT(B$6/$X29))-IF(SUM($B29:B29)&gt;0,C30,0))</f>
        <v>0</v>
      </c>
      <c r="D29" s="511" t="n">
        <f aca="false">IF($Y29=1,0,$X$7*(INT(D$6/$X29)-INT(C$6/$X29))-IF(SUM($B29:C29)&gt;0,D30,0))</f>
        <v>0</v>
      </c>
      <c r="E29" s="511" t="n">
        <f aca="false">IF($Y29=1,0,$X$7*(INT(E$6/$X29)-INT(D$6/$X29))-IF(SUM($B29:D29)&gt;0,E30,0))</f>
        <v>0</v>
      </c>
      <c r="F29" s="511" t="n">
        <f aca="false">IF($Y29=1,0,$X$7*(INT(F$6/$X29)-INT(E$6/$X29))-IF(SUM($B29:E29)&gt;0,F30,0))</f>
        <v>0</v>
      </c>
      <c r="G29" s="511" t="n">
        <f aca="false">IF($Y29=1,0,$X$7*(INT(G$6/$X29)-INT(F$6/$X29))-IF(SUM($B29:F29)&gt;0,G30,0))</f>
        <v>0</v>
      </c>
      <c r="H29" s="511" t="n">
        <f aca="false">IF($Y29=1,0,$X$7*(INT(H$6/$X29)-INT(G$6/$X29))-IF(SUM($B29:G29)&gt;0,H30,0))</f>
        <v>0</v>
      </c>
      <c r="I29" s="511" t="n">
        <f aca="false">IF($Y29=1,0,$X$7*(INT(I$6/$X29)-INT(H$6/$X29))-IF(SUM($B29:H29)&gt;0,I30,0))</f>
        <v>0</v>
      </c>
      <c r="J29" s="511" t="n">
        <f aca="false">IF($Y29=1,0,$X$7*(INT(J$6/$X29)-INT(I$6/$X29))-IF(SUM($B29:I29)&gt;0,J30,0))</f>
        <v>0</v>
      </c>
      <c r="K29" s="511" t="n">
        <f aca="false">IF($Y29=1,0,$X$7*(INT(K$6/$X29)-INT(J$6/$X29))-IF(SUM($B29:J29)&gt;0,K30,0))</f>
        <v>0</v>
      </c>
      <c r="L29" s="511" t="n">
        <f aca="false">IF($Y29=1,0,$X$7*(INT(L$6/$X29)-INT(K$6/$X29))-IF(SUM($B29:K29)&gt;0,L30,0))</f>
        <v>0</v>
      </c>
      <c r="M29" s="511" t="n">
        <f aca="false">IF($Y29=1,0,$X$7*(INT(M$6/$X29)-INT(L$6/$X29))-IF(SUM($B29:L29)&gt;0,M30,0))</f>
        <v>0</v>
      </c>
      <c r="N29" s="511" t="n">
        <f aca="false">IF($Y29=1,0,$X$7*(INT(N$6/$X29)-INT(M$6/$X29))-IF(SUM($B29:M29)&gt;0,N30,0))</f>
        <v>0</v>
      </c>
      <c r="O29" s="511" t="n">
        <f aca="false">IF($Y29=1,0,$X$7*(INT(O$6/$X29)-INT(N$6/$X29))-IF(SUM($B29:N29)&gt;0,O30,0))</f>
        <v>0</v>
      </c>
      <c r="P29" s="511" t="n">
        <f aca="false">IF($Y29=1,0,$X$7*(INT(P$6/$X29)-INT(O$6/$X29))-IF(SUM($B29:O29)&gt;0,P30,0))</f>
        <v>0</v>
      </c>
      <c r="Q29" s="511" t="n">
        <f aca="false">IF($Y29=1,0,$X$7*(INT(Q$6/$X29)-INT(P$6/$X29))-IF(SUM($B29:P29)&gt;0,Q30,0))</f>
        <v>0</v>
      </c>
      <c r="R29" s="511" t="n">
        <f aca="false">IF($Y29=1,0,$X$7*(INT(R$6/$X29)-INT(Q$6/$X29))-IF(SUM($B29:Q29)&gt;0,R30,0))</f>
        <v>0</v>
      </c>
      <c r="S29" s="511" t="n">
        <f aca="false">IF($Y29=1,0,$X$7*(INT(S$6/$X29)-INT(R$6/$X29))-IF(SUM($B29:R29)&gt;0,S30,0))</f>
        <v>0</v>
      </c>
      <c r="T29" s="511" t="n">
        <f aca="false">IF($Y29=1,0,$X$7*(INT(T$6/$X29)-INT(S$6/$X29))-IF(SUM($B29:S29)&gt;0,T30,0))</f>
        <v>0</v>
      </c>
      <c r="U29" s="511" t="n">
        <f aca="false">IF($Y29=1,0,$X$7*(INT(U$6/$X29)-INT(T$6/$X29))-IF(SUM($B29:T29)&gt;0,U30,0))</f>
        <v>0</v>
      </c>
      <c r="V29" s="511" t="n">
        <f aca="false">IF($Y29=1,0,$X$7*(INT(V$6/$X29)-INT(U$6/$X29))-IF(SUM($B29:U29)&gt;0,V30,0))</f>
        <v>0</v>
      </c>
      <c r="W29" s="800" t="str">
        <f aca="false">'GT schd cost(W501D5)'!A17</f>
        <v>Fuel Nozzles</v>
      </c>
      <c r="X29" s="800" t="n">
        <f aca="false">IF($AD$6=1,'GTDB(W501D5)'!B20,'GTDB(W501D5)'!G20)</f>
        <v>8000</v>
      </c>
      <c r="Y29" s="800" t="n">
        <f aca="false">IF($AD$6=1,'GTDB(W501D5)'!C20,'GTDB(W501D5)'!H20)</f>
        <v>12</v>
      </c>
      <c r="Z29" s="801" t="n">
        <v>1</v>
      </c>
      <c r="AA29" s="805" t="n">
        <f aca="false">'Initial_Spares(W501D5)'!$E$14</f>
        <v>0</v>
      </c>
      <c r="AB29" s="764" t="n">
        <f aca="false">'GT schd cost(W501D5)'!X17+'GT schd cost(W501D5)'!X43</f>
        <v>0</v>
      </c>
    </row>
    <row r="30" customFormat="false" ht="12.75" hidden="false" customHeight="false" outlineLevel="0" collapsed="false">
      <c r="A30" s="153" t="s">
        <v>1397</v>
      </c>
      <c r="B30" s="511" t="s">
        <v>1007</v>
      </c>
      <c r="C30" s="511" t="n">
        <f aca="false">IF(INT(C$6/$X29)*$X$7&gt;C28*($X$7+$Z29)*$Y29,C28*($X$7+$Z29)-SUM($B30:B30),INT(C$6/$X29)*$X$7-C28*($X$7+$Z29)*($Y29-1)-SUM($B30:B30))+IF($Y29&gt;1,IF(INT(C$6/$X29)&gt;0,$Z29-$AA29,0),-$AA29)</f>
        <v>0</v>
      </c>
      <c r="D30" s="511" t="n">
        <f aca="false">IF(INT(D$6/$X29)*$X$7&gt;D28*($X$7+$Z29)*$Y29,D28*($X$7+$Z29)-SUM($B30:C30),INT(D$6/$X29)*$X$7-D28*($X$7+$Z29)*($Y29-1)-SUM($B30:C30))+IF($Y29&gt;1,IF(INT(D$6/$X29)&gt;0,$Z29-$AA29,0),-$AA29)</f>
        <v>0</v>
      </c>
      <c r="E30" s="511" t="n">
        <f aca="false">IF(INT(E$6/$X29)*$X$7&gt;E28*($X$7+$Z29)*$Y29,E28*($X$7+$Z29)-SUM($B30:D30),INT(E$6/$X29)*$X$7-E28*($X$7+$Z29)*($Y29-1)-SUM($B30:D30))+IF($Y29&gt;1,IF(INT(E$6/$X29)&gt;0,$Z29-$AA29,0),-$AA29)</f>
        <v>0</v>
      </c>
      <c r="F30" s="511" t="n">
        <f aca="false">IF(INT(F$6/$X29)*$X$7&gt;F28*($X$7+$Z29)*$Y29,F28*($X$7+$Z29)-SUM($B30:E30),INT(F$6/$X29)*$X$7-F28*($X$7+$Z29)*($Y29-1)-SUM($B30:E30))+IF($Y29&gt;1,IF(INT(F$6/$X29)&gt;0,$Z29-$AA29,0),-$AA29)</f>
        <v>0</v>
      </c>
      <c r="G30" s="511" t="n">
        <f aca="false">IF(INT(G$6/$X29)*$X$7&gt;G28*($X$7+$Z29)*$Y29,G28*($X$7+$Z29)-SUM($B30:F30),INT(G$6/$X29)*$X$7-G28*($X$7+$Z29)*($Y29-1)-SUM($B30:F30))+IF($Y29&gt;1,IF(INT(G$6/$X29)&gt;0,$Z29-$AA29,0),-$AA29)</f>
        <v>0</v>
      </c>
      <c r="H30" s="511" t="n">
        <f aca="false">IF(INT(H$6/$X29)*$X$7&gt;H28*($X$7+$Z29)*$Y29,H28*($X$7+$Z29)-SUM($B30:G30),INT(H$6/$X29)*$X$7-H28*($X$7+$Z29)*($Y29-1)-SUM($B30:G30))+IF($Y29&gt;1,IF(INT(H$6/$X29)&gt;0,$Z29-$AA29,0),-$AA29)</f>
        <v>0</v>
      </c>
      <c r="I30" s="511" t="n">
        <f aca="false">IF(INT(I$6/$X29)*$X$7&gt;I28*($X$7+$Z29)*$Y29,I28*($X$7+$Z29)-SUM($B30:H30),INT(I$6/$X29)*$X$7-I28*($X$7+$Z29)*($Y29-1)-SUM($B30:H30))+IF($Y29&gt;1,IF(INT(I$6/$X29)&gt;0,$Z29-$AA29,0),-$AA29)</f>
        <v>0</v>
      </c>
      <c r="J30" s="511" t="n">
        <f aca="false">IF(INT(J$6/$X29)*$X$7&gt;J28*($X$7+$Z29)*$Y29,J28*($X$7+$Z29)-SUM($B30:I30),INT(J$6/$X29)*$X$7-J28*($X$7+$Z29)*($Y29-1)-SUM($B30:I30))+IF($Y29&gt;1,IF(INT(J$6/$X29)&gt;0,$Z29-$AA29,0),-$AA29)</f>
        <v>0</v>
      </c>
      <c r="K30" s="511" t="n">
        <f aca="false">IF(INT(K$6/$X29)*$X$7&gt;K28*($X$7+$Z29)*$Y29,K28*($X$7+$Z29)-SUM($B30:J30),INT(K$6/$X29)*$X$7-K28*($X$7+$Z29)*($Y29-1)-SUM($B30:J30))+IF($Y29&gt;1,IF(INT(K$6/$X29)&gt;0,$Z29-$AA29,0),-$AA29)</f>
        <v>0</v>
      </c>
      <c r="L30" s="511" t="n">
        <f aca="false">IF(INT(L$6/$X29)*$X$7&gt;L28*($X$7+$Z29)*$Y29,L28*($X$7+$Z29)-SUM($B30:K30),INT(L$6/$X29)*$X$7-L28*($X$7+$Z29)*($Y29-1)-SUM($B30:K30))+IF($Y29&gt;1,IF(INT(L$6/$X29)&gt;0,$Z29-$AA29,0),-$AA29)</f>
        <v>0</v>
      </c>
      <c r="M30" s="511" t="n">
        <f aca="false">IF(INT(M$6/$X29)*$X$7&gt;M28*($X$7+$Z29)*$Y29,M28*($X$7+$Z29)-SUM($B30:L30),INT(M$6/$X29)*$X$7-M28*($X$7+$Z29)*($Y29-1)-SUM($B30:L30))+IF($Y29&gt;1,IF(INT(M$6/$X29)&gt;0,$Z29-$AA29,0),-$AA29)</f>
        <v>0</v>
      </c>
      <c r="N30" s="511" t="n">
        <f aca="false">IF(INT(N$6/$X29)*$X$7&gt;N28*($X$7+$Z29)*$Y29,N28*($X$7+$Z29)-SUM($B30:M30),INT(N$6/$X29)*$X$7-N28*($X$7+$Z29)*($Y29-1)-SUM($B30:M30))+IF($Y29&gt;1,IF(INT(N$6/$X29)&gt;0,$Z29-$AA29,0),-$AA29)</f>
        <v>0</v>
      </c>
      <c r="O30" s="511" t="n">
        <f aca="false">IF(INT(O$6/$X29)*$X$7&gt;O28*($X$7+$Z29)*$Y29,O28*($X$7+$Z29)-SUM($B30:N30),INT(O$6/$X29)*$X$7-O28*($X$7+$Z29)*($Y29-1)-SUM($B30:N30))+IF($Y29&gt;1,IF(INT(O$6/$X29)&gt;0,$Z29-$AA29,0),-$AA29)</f>
        <v>0</v>
      </c>
      <c r="P30" s="511" t="n">
        <f aca="false">IF(INT(P$6/$X29)*$X$7&gt;P28*($X$7+$Z29)*$Y29,P28*($X$7+$Z29)-SUM($B30:O30),INT(P$6/$X29)*$X$7-P28*($X$7+$Z29)*($Y29-1)-SUM($B30:O30))+IF($Y29&gt;1,IF(INT(P$6/$X29)&gt;0,$Z29-$AA29,0),-$AA29)</f>
        <v>0</v>
      </c>
      <c r="Q30" s="511" t="n">
        <f aca="false">IF(INT(Q$6/$X29)*$X$7&gt;Q28*($X$7+$Z29)*$Y29,Q28*($X$7+$Z29)-SUM($B30:P30),INT(Q$6/$X29)*$X$7-Q28*($X$7+$Z29)*($Y29-1)-SUM($B30:P30))+IF($Y29&gt;1,IF(INT(Q$6/$X29)&gt;0,$Z29-$AA29,0),-$AA29)</f>
        <v>0</v>
      </c>
      <c r="R30" s="511" t="n">
        <f aca="false">IF(INT(R$6/$X29)*$X$7&gt;R28*($X$7+$Z29)*$Y29,R28*($X$7+$Z29)-SUM($B30:Q30),INT(R$6/$X29)*$X$7-R28*($X$7+$Z29)*($Y29-1)-SUM($B30:Q30))+IF($Y29&gt;1,IF(INT(R$6/$X29)&gt;0,$Z29-$AA29,0),-$AA29)</f>
        <v>0</v>
      </c>
      <c r="S30" s="511" t="n">
        <f aca="false">IF(INT(S$6/$X29)*$X$7&gt;S28*($X$7+$Z29)*$Y29,S28*($X$7+$Z29)-SUM($B30:R30),INT(S$6/$X29)*$X$7-S28*($X$7+$Z29)*($Y29-1)-SUM($B30:R30))+IF($Y29&gt;1,IF(INT(S$6/$X29)&gt;0,$Z29-$AA29,0),-$AA29)</f>
        <v>0</v>
      </c>
      <c r="T30" s="511" t="n">
        <f aca="false">IF(INT(T$6/$X29)*$X$7&gt;T28*($X$7+$Z29)*$Y29,T28*($X$7+$Z29)-SUM($B30:S30),INT(T$6/$X29)*$X$7-T28*($X$7+$Z29)*($Y29-1)-SUM($B30:S30))+IF($Y29&gt;1,IF(INT(T$6/$X29)&gt;0,$Z29-$AA29,0),-$AA29)</f>
        <v>0</v>
      </c>
      <c r="U30" s="511" t="n">
        <f aca="false">IF(INT(U$6/$X29)*$X$7&gt;U28*($X$7+$Z29)*$Y29,U28*($X$7+$Z29)-SUM($B30:T30),INT(U$6/$X29)*$X$7-U28*($X$7+$Z29)*($Y29-1)-SUM($B30:T30))+IF($Y29&gt;1,IF(INT(U$6/$X29)&gt;0,$Z29-$AA29,0),-$AA29)</f>
        <v>0</v>
      </c>
      <c r="V30" s="511" t="n">
        <f aca="false">IF(INT(V$6/$X29)*$X$7&gt;V28*($X$7+$Z29)*$Y29,V28*($X$7+$Z29)-SUM($B30:U30),INT(V$6/$X29)*$X$7-V28*($X$7+$Z29)*($Y29-1)-SUM($B30:U30))+IF($Y29&gt;1,IF(INT(V$6/$X29)&gt;0,$Z29-$AA29,0),-$AA29)</f>
        <v>0</v>
      </c>
      <c r="W30" s="803"/>
    </row>
    <row r="31" customFormat="false" ht="12.75" hidden="false" customHeight="false" outlineLevel="0" collapsed="false">
      <c r="W31" s="792"/>
    </row>
    <row r="32" customFormat="false" ht="12.75" hidden="true" customHeight="true" outlineLevel="0" collapsed="false">
      <c r="A32" s="153" t="s">
        <v>1395</v>
      </c>
      <c r="B32" s="511"/>
      <c r="C32" s="153" t="n">
        <f aca="false">INT((INT(C$6/$X33)*$X$7+$X$7+$Z33-1)/($X$7+$Z33)/$Y33)</f>
        <v>0</v>
      </c>
      <c r="D32" s="153" t="n">
        <f aca="false">INT((INT(D$6/$X33)*$X$7+$X$7+$Z33-1)/($X$7+$Z33)/$Y33)</f>
        <v>0</v>
      </c>
      <c r="E32" s="153" t="n">
        <f aca="false">INT((INT(E$6/$X33)*$X$7+$X$7+$Z33-1)/($X$7+$Z33)/$Y33)</f>
        <v>0</v>
      </c>
      <c r="F32" s="153" t="n">
        <f aca="false">INT((INT(F$6/$X33)*$X$7+$X$7+$Z33-1)/($X$7+$Z33)/$Y33)</f>
        <v>0</v>
      </c>
      <c r="G32" s="153" t="n">
        <f aca="false">INT((INT(G$6/$X33)*$X$7+$X$7+$Z33-1)/($X$7+$Z33)/$Y33)</f>
        <v>0</v>
      </c>
      <c r="H32" s="153" t="n">
        <f aca="false">INT((INT(H$6/$X33)*$X$7+$X$7+$Z33-1)/($X$7+$Z33)/$Y33)</f>
        <v>0</v>
      </c>
      <c r="I32" s="153" t="n">
        <f aca="false">INT((INT(I$6/$X33)*$X$7+$X$7+$Z33-1)/($X$7+$Z33)/$Y33)</f>
        <v>0</v>
      </c>
      <c r="J32" s="153" t="n">
        <f aca="false">INT((INT(J$6/$X33)*$X$7+$X$7+$Z33-1)/($X$7+$Z33)/$Y33)</f>
        <v>0</v>
      </c>
      <c r="K32" s="153" t="n">
        <f aca="false">INT((INT(K$6/$X33)*$X$7+$X$7+$Z33-1)/($X$7+$Z33)/$Y33)</f>
        <v>0</v>
      </c>
      <c r="L32" s="153" t="n">
        <f aca="false">INT((INT(L$6/$X33)*$X$7+$X$7+$Z33-1)/($X$7+$Z33)/$Y33)</f>
        <v>0</v>
      </c>
      <c r="M32" s="153" t="n">
        <f aca="false">INT((INT(M$6/$X33)*$X$7+$X$7+$Z33-1)/($X$7+$Z33)/$Y33)</f>
        <v>0</v>
      </c>
      <c r="N32" s="153" t="n">
        <f aca="false">INT((INT(N$6/$X33)*$X$7+$X$7+$Z33-1)/($X$7+$Z33)/$Y33)</f>
        <v>0</v>
      </c>
      <c r="O32" s="153" t="n">
        <f aca="false">INT((INT(O$6/$X33)*$X$7+$X$7+$Z33-1)/($X$7+$Z33)/$Y33)</f>
        <v>0</v>
      </c>
      <c r="P32" s="153" t="n">
        <f aca="false">INT((INT(P$6/$X33)*$X$7+$X$7+$Z33-1)/($X$7+$Z33)/$Y33)</f>
        <v>0</v>
      </c>
      <c r="Q32" s="153" t="n">
        <f aca="false">INT((INT(Q$6/$X33)*$X$7+$X$7+$Z33-1)/($X$7+$Z33)/$Y33)</f>
        <v>0</v>
      </c>
      <c r="R32" s="153" t="n">
        <f aca="false">INT((INT(R$6/$X33)*$X$7+$X$7+$Z33-1)/($X$7+$Z33)/$Y33)</f>
        <v>0</v>
      </c>
      <c r="S32" s="153" t="n">
        <f aca="false">INT((INT(S$6/$X33)*$X$7+$X$7+$Z33-1)/($X$7+$Z33)/$Y33)</f>
        <v>0</v>
      </c>
      <c r="T32" s="153" t="n">
        <f aca="false">INT((INT(T$6/$X33)*$X$7+$X$7+$Z33-1)/($X$7+$Z33)/$Y33)</f>
        <v>0</v>
      </c>
      <c r="U32" s="153" t="n">
        <f aca="false">INT((INT(U$6/$X33)*$X$7+$X$7+$Z33-1)/($X$7+$Z33)/$Y33)</f>
        <v>0</v>
      </c>
      <c r="V32" s="153" t="n">
        <f aca="false">INT((INT(V$6/$X33)*$X$7+$X$7+$Z33-1)/($X$7+$Z33)/$Y33)</f>
        <v>0</v>
      </c>
    </row>
    <row r="33" customFormat="false" ht="13.5" hidden="false" customHeight="true" outlineLevel="0" collapsed="false">
      <c r="A33" s="153" t="s">
        <v>1396</v>
      </c>
      <c r="B33" s="511" t="s">
        <v>1007</v>
      </c>
      <c r="C33" s="511" t="n">
        <f aca="false">IF($Y33=1,0,$X$7*(INT(C$6/$X33)-INT(B$6/$X33))-IF(SUM($B33:B33)&gt;0,C34,0))</f>
        <v>0</v>
      </c>
      <c r="D33" s="511" t="n">
        <f aca="false">IF($Y33=1,0,$X$7*(INT(D$6/$X33)-INT(C$6/$X33))-IF(SUM($B33:C33)&gt;0,D34,0))</f>
        <v>0</v>
      </c>
      <c r="E33" s="511" t="n">
        <f aca="false">IF($Y33=1,0,$X$7*(INT(E$6/$X33)-INT(D$6/$X33))-IF(SUM($B33:D33)&gt;0,E34,0))</f>
        <v>0</v>
      </c>
      <c r="F33" s="511" t="n">
        <f aca="false">IF($Y33=1,0,$X$7*(INT(F$6/$X33)-INT(E$6/$X33))-IF(SUM($B33:E33)&gt;0,F34,0))</f>
        <v>0</v>
      </c>
      <c r="G33" s="511" t="n">
        <f aca="false">IF($Y33=1,0,$X$7*(INT(G$6/$X33)-INT(F$6/$X33))-IF(SUM($B33:F33)&gt;0,G34,0))</f>
        <v>0</v>
      </c>
      <c r="H33" s="511" t="n">
        <f aca="false">IF($Y33=1,0,$X$7*(INT(H$6/$X33)-INT(G$6/$X33))-IF(SUM($B33:G33)&gt;0,H34,0))</f>
        <v>0</v>
      </c>
      <c r="I33" s="511" t="n">
        <f aca="false">IF($Y33=1,0,$X$7*(INT(I$6/$X33)-INT(H$6/$X33))-IF(SUM($B33:H33)&gt;0,I34,0))</f>
        <v>0</v>
      </c>
      <c r="J33" s="511" t="n">
        <f aca="false">IF($Y33=1,0,$X$7*(INT(J$6/$X33)-INT(I$6/$X33))-IF(SUM($B33:I33)&gt;0,J34,0))</f>
        <v>0</v>
      </c>
      <c r="K33" s="511" t="n">
        <f aca="false">IF($Y33=1,0,$X$7*(INT(K$6/$X33)-INT(J$6/$X33))-IF(SUM($B33:J33)&gt;0,K34,0))</f>
        <v>0</v>
      </c>
      <c r="L33" s="511" t="n">
        <f aca="false">IF($Y33=1,0,$X$7*(INT(L$6/$X33)-INT(K$6/$X33))-IF(SUM($B33:K33)&gt;0,L34,0))</f>
        <v>0</v>
      </c>
      <c r="M33" s="511" t="n">
        <f aca="false">IF($Y33=1,0,$X$7*(INT(M$6/$X33)-INT(L$6/$X33))-IF(SUM($B33:L33)&gt;0,M34,0))</f>
        <v>0</v>
      </c>
      <c r="N33" s="511" t="n">
        <f aca="false">IF($Y33=1,0,$X$7*(INT(N$6/$X33)-INT(M$6/$X33))-IF(SUM($B33:M33)&gt;0,N34,0))</f>
        <v>0</v>
      </c>
      <c r="O33" s="511" t="n">
        <f aca="false">IF($Y33=1,0,$X$7*(INT(O$6/$X33)-INT(N$6/$X33))-IF(SUM($B33:N33)&gt;0,O34,0))</f>
        <v>0</v>
      </c>
      <c r="P33" s="511" t="n">
        <f aca="false">IF($Y33=1,0,$X$7*(INT(P$6/$X33)-INT(O$6/$X33))-IF(SUM($B33:O33)&gt;0,P34,0))</f>
        <v>0</v>
      </c>
      <c r="Q33" s="511" t="n">
        <f aca="false">IF($Y33=1,0,$X$7*(INT(Q$6/$X33)-INT(P$6/$X33))-IF(SUM($B33:P33)&gt;0,Q34,0))</f>
        <v>0</v>
      </c>
      <c r="R33" s="511" t="n">
        <f aca="false">IF($Y33=1,0,$X$7*(INT(R$6/$X33)-INT(Q$6/$X33))-IF(SUM($B33:Q33)&gt;0,R34,0))</f>
        <v>0</v>
      </c>
      <c r="S33" s="511" t="n">
        <f aca="false">IF($Y33=1,0,$X$7*(INT(S$6/$X33)-INT(R$6/$X33))-IF(SUM($B33:R33)&gt;0,S34,0))</f>
        <v>0</v>
      </c>
      <c r="T33" s="511" t="n">
        <f aca="false">IF($Y33=1,0,$X$7*(INT(T$6/$X33)-INT(S$6/$X33))-IF(SUM($B33:S33)&gt;0,T34,0))</f>
        <v>0</v>
      </c>
      <c r="U33" s="511" t="n">
        <f aca="false">IF($Y33=1,0,$X$7*(INT(U$6/$X33)-INT(T$6/$X33))-IF(SUM($B33:T33)&gt;0,U34,0))</f>
        <v>0</v>
      </c>
      <c r="V33" s="511" t="n">
        <f aca="false">IF($Y33=1,0,$X$7*(INT(V$6/$X33)-INT(U$6/$X33))-IF(SUM($B33:U33)&gt;0,V34,0))</f>
        <v>0</v>
      </c>
      <c r="W33" s="800" t="str">
        <f aca="false">'GT schd cost(W501D5)'!A18</f>
        <v>Clamshells</v>
      </c>
      <c r="X33" s="800" t="n">
        <f aca="false">IF($AD$6=1,'GTDB(W501D5)'!B21,'GTDB(W501D5)'!G21)</f>
        <v>8000</v>
      </c>
      <c r="Y33" s="800" t="n">
        <f aca="false">IF($AD$6=1,'GTDB(W501D5)'!C21,'GTDB(W501D5)'!H21)</f>
        <v>8</v>
      </c>
      <c r="Z33" s="801" t="n">
        <v>1</v>
      </c>
      <c r="AA33" s="805" t="n">
        <f aca="false">'Initial_Spares(W501D5)'!$E$15</f>
        <v>0</v>
      </c>
      <c r="AB33" s="764" t="n">
        <f aca="false">'GT schd cost(W501D5)'!X18+'GT schd cost(W501D5)'!X44</f>
        <v>0</v>
      </c>
    </row>
    <row r="34" customFormat="false" ht="12.75" hidden="false" customHeight="false" outlineLevel="0" collapsed="false">
      <c r="A34" s="153" t="s">
        <v>1397</v>
      </c>
      <c r="B34" s="511" t="s">
        <v>1007</v>
      </c>
      <c r="C34" s="511" t="n">
        <f aca="false">IF(INT(C$6/$X33)*$X$7&gt;C32*($X$7+$Z33)*$Y33,C32*($X$7+$Z33)-SUM($B34:B34),INT(C$6/$X33)*$X$7-C32*($X$7+$Z33)*($Y33-1)-SUM($B34:B34))+IF($Y33&gt;1,IF(INT(C$6/$X33)&gt;0,$Z33-$AA33,0),-$AA33)</f>
        <v>0</v>
      </c>
      <c r="D34" s="511" t="n">
        <f aca="false">IF(INT(D$6/$X33)*$X$7&gt;D32*($X$7+$Z33)*$Y33,D32*($X$7+$Z33)-SUM($B34:C34),INT(D$6/$X33)*$X$7-D32*($X$7+$Z33)*($Y33-1)-SUM($B34:C34))+IF($Y33&gt;1,IF(INT(D$6/$X33)&gt;0,$Z33-$AA33,0),-$AA33)</f>
        <v>0</v>
      </c>
      <c r="E34" s="511" t="n">
        <f aca="false">IF(INT(E$6/$X33)*$X$7&gt;E32*($X$7+$Z33)*$Y33,E32*($X$7+$Z33)-SUM($B34:D34),INT(E$6/$X33)*$X$7-E32*($X$7+$Z33)*($Y33-1)-SUM($B34:D34))+IF($Y33&gt;1,IF(INT(E$6/$X33)&gt;0,$Z33-$AA33,0),-$AA33)</f>
        <v>0</v>
      </c>
      <c r="F34" s="511" t="n">
        <f aca="false">IF(INT(F$6/$X33)*$X$7&gt;F32*($X$7+$Z33)*$Y33,F32*($X$7+$Z33)-SUM($B34:E34),INT(F$6/$X33)*$X$7-F32*($X$7+$Z33)*($Y33-1)-SUM($B34:E34))+IF($Y33&gt;1,IF(INT(F$6/$X33)&gt;0,$Z33-$AA33,0),-$AA33)</f>
        <v>0</v>
      </c>
      <c r="G34" s="511" t="n">
        <f aca="false">IF(INT(G$6/$X33)*$X$7&gt;G32*($X$7+$Z33)*$Y33,G32*($X$7+$Z33)-SUM($B34:F34),INT(G$6/$X33)*$X$7-G32*($X$7+$Z33)*($Y33-1)-SUM($B34:F34))+IF($Y33&gt;1,IF(INT(G$6/$X33)&gt;0,$Z33-$AA33,0),-$AA33)</f>
        <v>0</v>
      </c>
      <c r="H34" s="511" t="n">
        <f aca="false">IF(INT(H$6/$X33)*$X$7&gt;H32*($X$7+$Z33)*$Y33,H32*($X$7+$Z33)-SUM($B34:G34),INT(H$6/$X33)*$X$7-H32*($X$7+$Z33)*($Y33-1)-SUM($B34:G34))+IF($Y33&gt;1,IF(INT(H$6/$X33)&gt;0,$Z33-$AA33,0),-$AA33)</f>
        <v>0</v>
      </c>
      <c r="I34" s="511" t="n">
        <f aca="false">IF(INT(I$6/$X33)*$X$7&gt;I32*($X$7+$Z33)*$Y33,I32*($X$7+$Z33)-SUM($B34:H34),INT(I$6/$X33)*$X$7-I32*($X$7+$Z33)*($Y33-1)-SUM($B34:H34))+IF($Y33&gt;1,IF(INT(I$6/$X33)&gt;0,$Z33-$AA33,0),-$AA33)</f>
        <v>0</v>
      </c>
      <c r="J34" s="511" t="n">
        <f aca="false">IF(INT(J$6/$X33)*$X$7&gt;J32*($X$7+$Z33)*$Y33,J32*($X$7+$Z33)-SUM($B34:I34),INT(J$6/$X33)*$X$7-J32*($X$7+$Z33)*($Y33-1)-SUM($B34:I34))+IF($Y33&gt;1,IF(INT(J$6/$X33)&gt;0,$Z33-$AA33,0),-$AA33)</f>
        <v>0</v>
      </c>
      <c r="K34" s="511" t="n">
        <f aca="false">IF(INT(K$6/$X33)*$X$7&gt;K32*($X$7+$Z33)*$Y33,K32*($X$7+$Z33)-SUM($B34:J34),INT(K$6/$X33)*$X$7-K32*($X$7+$Z33)*($Y33-1)-SUM($B34:J34))+IF($Y33&gt;1,IF(INT(K$6/$X33)&gt;0,$Z33-$AA33,0),-$AA33)</f>
        <v>0</v>
      </c>
      <c r="L34" s="511" t="n">
        <f aca="false">IF(INT(L$6/$X33)*$X$7&gt;L32*($X$7+$Z33)*$Y33,L32*($X$7+$Z33)-SUM($B34:K34),INT(L$6/$X33)*$X$7-L32*($X$7+$Z33)*($Y33-1)-SUM($B34:K34))+IF($Y33&gt;1,IF(INT(L$6/$X33)&gt;0,$Z33-$AA33,0),-$AA33)</f>
        <v>0</v>
      </c>
      <c r="M34" s="511" t="n">
        <f aca="false">IF(INT(M$6/$X33)*$X$7&gt;M32*($X$7+$Z33)*$Y33,M32*($X$7+$Z33)-SUM($B34:L34),INT(M$6/$X33)*$X$7-M32*($X$7+$Z33)*($Y33-1)-SUM($B34:L34))+IF($Y33&gt;1,IF(INT(M$6/$X33)&gt;0,$Z33-$AA33,0),-$AA33)</f>
        <v>0</v>
      </c>
      <c r="N34" s="511" t="n">
        <f aca="false">IF(INT(N$6/$X33)*$X$7&gt;N32*($X$7+$Z33)*$Y33,N32*($X$7+$Z33)-SUM($B34:M34),INT(N$6/$X33)*$X$7-N32*($X$7+$Z33)*($Y33-1)-SUM($B34:M34))+IF($Y33&gt;1,IF(INT(N$6/$X33)&gt;0,$Z33-$AA33,0),-$AA33)</f>
        <v>0</v>
      </c>
      <c r="O34" s="511" t="n">
        <f aca="false">IF(INT(O$6/$X33)*$X$7&gt;O32*($X$7+$Z33)*$Y33,O32*($X$7+$Z33)-SUM($B34:N34),INT(O$6/$X33)*$X$7-O32*($X$7+$Z33)*($Y33-1)-SUM($B34:N34))+IF($Y33&gt;1,IF(INT(O$6/$X33)&gt;0,$Z33-$AA33,0),-$AA33)</f>
        <v>0</v>
      </c>
      <c r="P34" s="511" t="n">
        <f aca="false">IF(INT(P$6/$X33)*$X$7&gt;P32*($X$7+$Z33)*$Y33,P32*($X$7+$Z33)-SUM($B34:O34),INT(P$6/$X33)*$X$7-P32*($X$7+$Z33)*($Y33-1)-SUM($B34:O34))+IF($Y33&gt;1,IF(INT(P$6/$X33)&gt;0,$Z33-$AA33,0),-$AA33)</f>
        <v>0</v>
      </c>
      <c r="Q34" s="511" t="n">
        <f aca="false">IF(INT(Q$6/$X33)*$X$7&gt;Q32*($X$7+$Z33)*$Y33,Q32*($X$7+$Z33)-SUM($B34:P34),INT(Q$6/$X33)*$X$7-Q32*($X$7+$Z33)*($Y33-1)-SUM($B34:P34))+IF($Y33&gt;1,IF(INT(Q$6/$X33)&gt;0,$Z33-$AA33,0),-$AA33)</f>
        <v>0</v>
      </c>
      <c r="R34" s="511" t="n">
        <f aca="false">IF(INT(R$6/$X33)*$X$7&gt;R32*($X$7+$Z33)*$Y33,R32*($X$7+$Z33)-SUM($B34:Q34),INT(R$6/$X33)*$X$7-R32*($X$7+$Z33)*($Y33-1)-SUM($B34:Q34))+IF($Y33&gt;1,IF(INT(R$6/$X33)&gt;0,$Z33-$AA33,0),-$AA33)</f>
        <v>0</v>
      </c>
      <c r="S34" s="511" t="n">
        <f aca="false">IF(INT(S$6/$X33)*$X$7&gt;S32*($X$7+$Z33)*$Y33,S32*($X$7+$Z33)-SUM($B34:R34),INT(S$6/$X33)*$X$7-S32*($X$7+$Z33)*($Y33-1)-SUM($B34:R34))+IF($Y33&gt;1,IF(INT(S$6/$X33)&gt;0,$Z33-$AA33,0),-$AA33)</f>
        <v>0</v>
      </c>
      <c r="T34" s="511" t="n">
        <f aca="false">IF(INT(T$6/$X33)*$X$7&gt;T32*($X$7+$Z33)*$Y33,T32*($X$7+$Z33)-SUM($B34:S34),INT(T$6/$X33)*$X$7-T32*($X$7+$Z33)*($Y33-1)-SUM($B34:S34))+IF($Y33&gt;1,IF(INT(T$6/$X33)&gt;0,$Z33-$AA33,0),-$AA33)</f>
        <v>0</v>
      </c>
      <c r="U34" s="511" t="n">
        <f aca="false">IF(INT(U$6/$X33)*$X$7&gt;U32*($X$7+$Z33)*$Y33,U32*($X$7+$Z33)-SUM($B34:T34),INT(U$6/$X33)*$X$7-U32*($X$7+$Z33)*($Y33-1)-SUM($B34:T34))+IF($Y33&gt;1,IF(INT(U$6/$X33)&gt;0,$Z33-$AA33,0),-$AA33)</f>
        <v>0</v>
      </c>
      <c r="V34" s="511" t="n">
        <f aca="false">IF(INT(V$6/$X33)*$X$7&gt;V32*($X$7+$Z33)*$Y33,V32*($X$7+$Z33)-SUM($B34:U34),INT(V$6/$X33)*$X$7-V32*($X$7+$Z33)*($Y33-1)-SUM($B34:U34))+IF($Y33&gt;1,IF(INT(V$6/$X33)&gt;0,$Z33-$AA33,0),-$AA33)</f>
        <v>0</v>
      </c>
      <c r="W34" s="803"/>
      <c r="AA34" s="157"/>
      <c r="AB34" s="157"/>
    </row>
    <row r="35" customFormat="false" ht="12.75" hidden="false" customHeight="false" outlineLevel="0" collapsed="false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785"/>
      <c r="X35" s="157"/>
      <c r="Y35" s="157"/>
      <c r="Z35" s="157"/>
      <c r="AA35" s="157"/>
      <c r="AB35" s="157"/>
    </row>
    <row r="36" customFormat="false" ht="12.75" hidden="true" customHeight="false" outlineLevel="0" collapsed="false">
      <c r="A36" s="153" t="s">
        <v>1395</v>
      </c>
      <c r="B36" s="511"/>
      <c r="C36" s="153" t="n">
        <f aca="false">INT((INT(C$6/$X37)*$X$7+$X$7+$Z37-1)/($X$7+$Z37)/$Y37)</f>
        <v>0</v>
      </c>
      <c r="D36" s="153" t="n">
        <f aca="false">INT((INT(D$6/$X37)*$X$7+$X$7+$Z37-1)/($X$7+$Z37)/$Y37)</f>
        <v>0</v>
      </c>
      <c r="E36" s="153" t="n">
        <f aca="false">INT((INT(E$6/$X37)*$X$7+$X$7+$Z37-1)/($X$7+$Z37)/$Y37)</f>
        <v>0</v>
      </c>
      <c r="F36" s="153" t="n">
        <f aca="false">INT((INT(F$6/$X37)*$X$7+$X$7+$Z37-1)/($X$7+$Z37)/$Y37)</f>
        <v>0</v>
      </c>
      <c r="G36" s="153" t="n">
        <f aca="false">INT((INT(G$6/$X37)*$X$7+$X$7+$Z37-1)/($X$7+$Z37)/$Y37)</f>
        <v>0</v>
      </c>
      <c r="H36" s="153" t="n">
        <f aca="false">INT((INT(H$6/$X37)*$X$7+$X$7+$Z37-1)/($X$7+$Z37)/$Y37)</f>
        <v>0</v>
      </c>
      <c r="I36" s="153" t="n">
        <f aca="false">INT((INT(I$6/$X37)*$X$7+$X$7+$Z37-1)/($X$7+$Z37)/$Y37)</f>
        <v>0</v>
      </c>
      <c r="J36" s="153" t="n">
        <f aca="false">INT((INT(J$6/$X37)*$X$7+$X$7+$Z37-1)/($X$7+$Z37)/$Y37)</f>
        <v>0</v>
      </c>
      <c r="K36" s="153" t="n">
        <f aca="false">INT((INT(K$6/$X37)*$X$7+$X$7+$Z37-1)/($X$7+$Z37)/$Y37)</f>
        <v>0</v>
      </c>
      <c r="L36" s="153" t="n">
        <f aca="false">INT((INT(L$6/$X37)*$X$7+$X$7+$Z37-1)/($X$7+$Z37)/$Y37)</f>
        <v>0</v>
      </c>
      <c r="M36" s="153" t="n">
        <f aca="false">INT((INT(M$6/$X37)*$X$7+$X$7+$Z37-1)/($X$7+$Z37)/$Y37)</f>
        <v>0</v>
      </c>
      <c r="N36" s="153" t="n">
        <f aca="false">INT((INT(N$6/$X37)*$X$7+$X$7+$Z37-1)/($X$7+$Z37)/$Y37)</f>
        <v>0</v>
      </c>
      <c r="O36" s="153" t="n">
        <f aca="false">INT((INT(O$6/$X37)*$X$7+$X$7+$Z37-1)/($X$7+$Z37)/$Y37)</f>
        <v>0</v>
      </c>
      <c r="P36" s="153" t="n">
        <f aca="false">INT((INT(P$6/$X37)*$X$7+$X$7+$Z37-1)/($X$7+$Z37)/$Y37)</f>
        <v>0</v>
      </c>
      <c r="Q36" s="153" t="n">
        <f aca="false">INT((INT(Q$6/$X37)*$X$7+$X$7+$Z37-1)/($X$7+$Z37)/$Y37)</f>
        <v>0</v>
      </c>
      <c r="R36" s="153" t="n">
        <f aca="false">INT((INT(R$6/$X37)*$X$7+$X$7+$Z37-1)/($X$7+$Z37)/$Y37)</f>
        <v>0</v>
      </c>
      <c r="S36" s="153" t="n">
        <f aca="false">INT((INT(S$6/$X37)*$X$7+$X$7+$Z37-1)/($X$7+$Z37)/$Y37)</f>
        <v>0</v>
      </c>
      <c r="T36" s="153" t="n">
        <f aca="false">INT((INT(T$6/$X37)*$X$7+$X$7+$Z37-1)/($X$7+$Z37)/$Y37)</f>
        <v>0</v>
      </c>
      <c r="U36" s="153" t="n">
        <f aca="false">INT((INT(U$6/$X37)*$X$7+$X$7+$Z37-1)/($X$7+$Z37)/$Y37)</f>
        <v>0</v>
      </c>
      <c r="V36" s="153" t="n">
        <f aca="false">INT((INT(V$6/$X37)*$X$7+$X$7+$Z37-1)/($X$7+$Z37)/$Y37)</f>
        <v>0</v>
      </c>
      <c r="W36" s="157"/>
      <c r="X36" s="157"/>
      <c r="Y36" s="157"/>
      <c r="Z36" s="157"/>
      <c r="AA36" s="157"/>
      <c r="AB36" s="157"/>
    </row>
    <row r="37" customFormat="false" ht="12.75" hidden="false" customHeight="false" outlineLevel="0" collapsed="false">
      <c r="A37" s="153" t="s">
        <v>1396</v>
      </c>
      <c r="B37" s="511" t="s">
        <v>1007</v>
      </c>
      <c r="C37" s="511" t="n">
        <f aca="false">IF($Y37=1,0,$X$7*(INT(C$6/$X37)-INT(B$6/$X37))-IF(SUM($B37:B37)&gt;0,C38,0))</f>
        <v>0</v>
      </c>
      <c r="D37" s="511" t="n">
        <f aca="false">IF($Y37=1,0,$X$7*(INT(D$6/$X37)-INT(C$6/$X37))-IF(SUM($B37:C37)&gt;0,D38,0))</f>
        <v>0</v>
      </c>
      <c r="E37" s="511" t="n">
        <f aca="false">IF($Y37=1,0,$X$7*(INT(E$6/$X37)-INT(D$6/$X37))-IF(SUM($B37:D37)&gt;0,E38,0))</f>
        <v>0</v>
      </c>
      <c r="F37" s="511" t="n">
        <f aca="false">IF($Y37=1,0,$X$7*(INT(F$6/$X37)-INT(E$6/$X37))-IF(SUM($B37:E37)&gt;0,F38,0))</f>
        <v>0</v>
      </c>
      <c r="G37" s="511" t="n">
        <f aca="false">IF($Y37=1,0,$X$7*(INT(G$6/$X37)-INT(F$6/$X37))-IF(SUM($B37:F37)&gt;0,G38,0))</f>
        <v>0</v>
      </c>
      <c r="H37" s="511" t="n">
        <f aca="false">IF($Y37=1,0,$X$7*(INT(H$6/$X37)-INT(G$6/$X37))-IF(SUM($B37:G37)&gt;0,H38,0))</f>
        <v>0</v>
      </c>
      <c r="I37" s="511" t="n">
        <f aca="false">IF($Y37=1,0,$X$7*(INT(I$6/$X37)-INT(H$6/$X37))-IF(SUM($B37:H37)&gt;0,I38,0))</f>
        <v>0</v>
      </c>
      <c r="J37" s="511" t="n">
        <f aca="false">IF($Y37=1,0,$X$7*(INT(J$6/$X37)-INT(I$6/$X37))-IF(SUM($B37:I37)&gt;0,J38,0))</f>
        <v>0</v>
      </c>
      <c r="K37" s="511" t="n">
        <f aca="false">IF($Y37=1,0,$X$7*(INT(K$6/$X37)-INT(J$6/$X37))-IF(SUM($B37:J37)&gt;0,K38,0))</f>
        <v>0</v>
      </c>
      <c r="L37" s="511" t="n">
        <f aca="false">IF($Y37=1,0,$X$7*(INT(L$6/$X37)-INT(K$6/$X37))-IF(SUM($B37:K37)&gt;0,L38,0))</f>
        <v>0</v>
      </c>
      <c r="M37" s="511" t="n">
        <f aca="false">IF($Y37=1,0,$X$7*(INT(M$6/$X37)-INT(L$6/$X37))-IF(SUM($B37:L37)&gt;0,M38,0))</f>
        <v>0</v>
      </c>
      <c r="N37" s="511" t="n">
        <f aca="false">IF($Y37=1,0,$X$7*(INT(N$6/$X37)-INT(M$6/$X37))-IF(SUM($B37:M37)&gt;0,N38,0))</f>
        <v>0</v>
      </c>
      <c r="O37" s="511" t="n">
        <f aca="false">IF($Y37=1,0,$X$7*(INT(O$6/$X37)-INT(N$6/$X37))-IF(SUM($B37:N37)&gt;0,O38,0))</f>
        <v>0</v>
      </c>
      <c r="P37" s="511" t="n">
        <f aca="false">IF($Y37=1,0,$X$7*(INT(P$6/$X37)-INT(O$6/$X37))-IF(SUM($B37:O37)&gt;0,P38,0))</f>
        <v>0</v>
      </c>
      <c r="Q37" s="511" t="n">
        <f aca="false">IF($Y37=1,0,$X$7*(INT(Q$6/$X37)-INT(P$6/$X37))-IF(SUM($B37:P37)&gt;0,Q38,0))</f>
        <v>0</v>
      </c>
      <c r="R37" s="511" t="n">
        <f aca="false">IF($Y37=1,0,$X$7*(INT(R$6/$X37)-INT(Q$6/$X37))-IF(SUM($B37:Q37)&gt;0,R38,0))</f>
        <v>0</v>
      </c>
      <c r="S37" s="511" t="n">
        <f aca="false">IF($Y37=1,0,$X$7*(INT(S$6/$X37)-INT(R$6/$X37))-IF(SUM($B37:R37)&gt;0,S38,0))</f>
        <v>0</v>
      </c>
      <c r="T37" s="511" t="n">
        <f aca="false">IF($Y37=1,0,$X$7*(INT(T$6/$X37)-INT(S$6/$X37))-IF(SUM($B37:S37)&gt;0,T38,0))</f>
        <v>0</v>
      </c>
      <c r="U37" s="511" t="n">
        <f aca="false">IF($Y37=1,0,$X$7*(INT(U$6/$X37)-INT(T$6/$X37))-IF(SUM($B37:T37)&gt;0,U38,0))</f>
        <v>0</v>
      </c>
      <c r="V37" s="511" t="n">
        <f aca="false">IF($Y37=1,0,$X$7*(INT(V$6/$X37)-INT(U$6/$X37))-IF(SUM($B37:U37)&gt;0,V38,0))</f>
        <v>0</v>
      </c>
      <c r="W37" s="800" t="str">
        <f aca="false">'GT schd cost(W501D5)'!A19</f>
        <v>Row 1 Blades</v>
      </c>
      <c r="X37" s="800" t="n">
        <f aca="false">IF($AD$6=1,'GTDB(W501D5)'!B22,'GTDB(W501D5)'!G22)</f>
        <v>24000</v>
      </c>
      <c r="Y37" s="800" t="n">
        <f aca="false">IF($AD$6=1,'GTDB(W501D5)'!C22,'GTDB(W501D5)'!H22)</f>
        <v>2</v>
      </c>
      <c r="Z37" s="801" t="n">
        <v>1</v>
      </c>
      <c r="AA37" s="805" t="n">
        <f aca="false">'Initial_Spares(W501D5)'!$E$16</f>
        <v>0</v>
      </c>
      <c r="AB37" s="764" t="n">
        <f aca="false">'GT schd cost(W501D5)'!X19+'GT schd cost(W501D5)'!X45</f>
        <v>0</v>
      </c>
    </row>
    <row r="38" customFormat="false" ht="12.75" hidden="false" customHeight="false" outlineLevel="0" collapsed="false">
      <c r="A38" s="153" t="s">
        <v>1397</v>
      </c>
      <c r="B38" s="511" t="s">
        <v>1007</v>
      </c>
      <c r="C38" s="511" t="n">
        <f aca="false">IF(INT(C$6/$X37)*$X$7&gt;C36*($X$7+$Z37)*$Y37,C36*($X$7+$Z37)-SUM($B38:B38),INT(C$6/$X37)*$X$7-C36*($X$7+$Z37)*($Y37-1)-SUM($B38:B38))+IF($Y37&gt;1,IF(INT(C$6/$X37)&gt;0,$Z37-$AA37,0),-$AA37)</f>
        <v>0</v>
      </c>
      <c r="D38" s="511" t="n">
        <f aca="false">IF(INT(D$6/$X37)*$X$7&gt;D36*($X$7+$Z37)*$Y37,D36*($X$7+$Z37)-SUM($B38:C38),INT(D$6/$X37)*$X$7-D36*($X$7+$Z37)*($Y37-1)-SUM($B38:C38))+IF($Y37&gt;1,IF(INT(D$6/$X37)&gt;0,$Z37-$AA37,0),-$AA37)</f>
        <v>0</v>
      </c>
      <c r="E38" s="511" t="n">
        <f aca="false">IF(INT(E$6/$X37)*$X$7&gt;E36*($X$7+$Z37)*$Y37,E36*($X$7+$Z37)-SUM($B38:D38),INT(E$6/$X37)*$X$7-E36*($X$7+$Z37)*($Y37-1)-SUM($B38:D38))+IF($Y37&gt;1,IF(INT(E$6/$X37)&gt;0,$Z37-$AA37,0),-$AA37)</f>
        <v>0</v>
      </c>
      <c r="F38" s="511" t="n">
        <f aca="false">IF(INT(F$6/$X37)*$X$7&gt;F36*($X$7+$Z37)*$Y37,F36*($X$7+$Z37)-SUM($B38:E38),INT(F$6/$X37)*$X$7-F36*($X$7+$Z37)*($Y37-1)-SUM($B38:E38))+IF($Y37&gt;1,IF(INT(F$6/$X37)&gt;0,$Z37-$AA37,0),-$AA37)</f>
        <v>0</v>
      </c>
      <c r="G38" s="511" t="n">
        <f aca="false">IF(INT(G$6/$X37)*$X$7&gt;G36*($X$7+$Z37)*$Y37,G36*($X$7+$Z37)-SUM($B38:F38),INT(G$6/$X37)*$X$7-G36*($X$7+$Z37)*($Y37-1)-SUM($B38:F38))+IF($Y37&gt;1,IF(INT(G$6/$X37)&gt;0,$Z37-$AA37,0),-$AA37)</f>
        <v>0</v>
      </c>
      <c r="H38" s="511" t="n">
        <f aca="false">IF(INT(H$6/$X37)*$X$7&gt;H36*($X$7+$Z37)*$Y37,H36*($X$7+$Z37)-SUM($B38:G38),INT(H$6/$X37)*$X$7-H36*($X$7+$Z37)*($Y37-1)-SUM($B38:G38))+IF($Y37&gt;1,IF(INT(H$6/$X37)&gt;0,$Z37-$AA37,0),-$AA37)</f>
        <v>0</v>
      </c>
      <c r="I38" s="511" t="n">
        <f aca="false">IF(INT(I$6/$X37)*$X$7&gt;I36*($X$7+$Z37)*$Y37,I36*($X$7+$Z37)-SUM($B38:H38),INT(I$6/$X37)*$X$7-I36*($X$7+$Z37)*($Y37-1)-SUM($B38:H38))+IF($Y37&gt;1,IF(INT(I$6/$X37)&gt;0,$Z37-$AA37,0),-$AA37)</f>
        <v>0</v>
      </c>
      <c r="J38" s="511" t="n">
        <f aca="false">IF(INT(J$6/$X37)*$X$7&gt;J36*($X$7+$Z37)*$Y37,J36*($X$7+$Z37)-SUM($B38:I38),INT(J$6/$X37)*$X$7-J36*($X$7+$Z37)*($Y37-1)-SUM($B38:I38))+IF($Y37&gt;1,IF(INT(J$6/$X37)&gt;0,$Z37-$AA37,0),-$AA37)</f>
        <v>0</v>
      </c>
      <c r="K38" s="511" t="n">
        <f aca="false">IF(INT(K$6/$X37)*$X$7&gt;K36*($X$7+$Z37)*$Y37,K36*($X$7+$Z37)-SUM($B38:J38),INT(K$6/$X37)*$X$7-K36*($X$7+$Z37)*($Y37-1)-SUM($B38:J38))+IF($Y37&gt;1,IF(INT(K$6/$X37)&gt;0,$Z37-$AA37,0),-$AA37)</f>
        <v>0</v>
      </c>
      <c r="L38" s="511" t="n">
        <f aca="false">IF(INT(L$6/$X37)*$X$7&gt;L36*($X$7+$Z37)*$Y37,L36*($X$7+$Z37)-SUM($B38:K38),INT(L$6/$X37)*$X$7-L36*($X$7+$Z37)*($Y37-1)-SUM($B38:K38))+IF($Y37&gt;1,IF(INT(L$6/$X37)&gt;0,$Z37-$AA37,0),-$AA37)</f>
        <v>0</v>
      </c>
      <c r="M38" s="511" t="n">
        <f aca="false">IF(INT(M$6/$X37)*$X$7&gt;M36*($X$7+$Z37)*$Y37,M36*($X$7+$Z37)-SUM($B38:L38),INT(M$6/$X37)*$X$7-M36*($X$7+$Z37)*($Y37-1)-SUM($B38:L38))+IF($Y37&gt;1,IF(INT(M$6/$X37)&gt;0,$Z37-$AA37,0),-$AA37)</f>
        <v>0</v>
      </c>
      <c r="N38" s="511" t="n">
        <f aca="false">IF(INT(N$6/$X37)*$X$7&gt;N36*($X$7+$Z37)*$Y37,N36*($X$7+$Z37)-SUM($B38:M38),INT(N$6/$X37)*$X$7-N36*($X$7+$Z37)*($Y37-1)-SUM($B38:M38))+IF($Y37&gt;1,IF(INT(N$6/$X37)&gt;0,$Z37-$AA37,0),-$AA37)</f>
        <v>0</v>
      </c>
      <c r="O38" s="511" t="n">
        <f aca="false">IF(INT(O$6/$X37)*$X$7&gt;O36*($X$7+$Z37)*$Y37,O36*($X$7+$Z37)-SUM($B38:N38),INT(O$6/$X37)*$X$7-O36*($X$7+$Z37)*($Y37-1)-SUM($B38:N38))+IF($Y37&gt;1,IF(INT(O$6/$X37)&gt;0,$Z37-$AA37,0),-$AA37)</f>
        <v>0</v>
      </c>
      <c r="P38" s="511" t="n">
        <f aca="false">IF(INT(P$6/$X37)*$X$7&gt;P36*($X$7+$Z37)*$Y37,P36*($X$7+$Z37)-SUM($B38:O38),INT(P$6/$X37)*$X$7-P36*($X$7+$Z37)*($Y37-1)-SUM($B38:O38))+IF($Y37&gt;1,IF(INT(P$6/$X37)&gt;0,$Z37-$AA37,0),-$AA37)</f>
        <v>0</v>
      </c>
      <c r="Q38" s="511" t="n">
        <f aca="false">IF(INT(Q$6/$X37)*$X$7&gt;Q36*($X$7+$Z37)*$Y37,Q36*($X$7+$Z37)-SUM($B38:P38),INT(Q$6/$X37)*$X$7-Q36*($X$7+$Z37)*($Y37-1)-SUM($B38:P38))+IF($Y37&gt;1,IF(INT(Q$6/$X37)&gt;0,$Z37-$AA37,0),-$AA37)</f>
        <v>0</v>
      </c>
      <c r="R38" s="511" t="n">
        <f aca="false">IF(INT(R$6/$X37)*$X$7&gt;R36*($X$7+$Z37)*$Y37,R36*($X$7+$Z37)-SUM($B38:Q38),INT(R$6/$X37)*$X$7-R36*($X$7+$Z37)*($Y37-1)-SUM($B38:Q38))+IF($Y37&gt;1,IF(INT(R$6/$X37)&gt;0,$Z37-$AA37,0),-$AA37)</f>
        <v>0</v>
      </c>
      <c r="S38" s="511" t="n">
        <f aca="false">IF(INT(S$6/$X37)*$X$7&gt;S36*($X$7+$Z37)*$Y37,S36*($X$7+$Z37)-SUM($B38:R38),INT(S$6/$X37)*$X$7-S36*($X$7+$Z37)*($Y37-1)-SUM($B38:R38))+IF($Y37&gt;1,IF(INT(S$6/$X37)&gt;0,$Z37-$AA37,0),-$AA37)</f>
        <v>0</v>
      </c>
      <c r="T38" s="511" t="n">
        <f aca="false">IF(INT(T$6/$X37)*$X$7&gt;T36*($X$7+$Z37)*$Y37,T36*($X$7+$Z37)-SUM($B38:S38),INT(T$6/$X37)*$X$7-T36*($X$7+$Z37)*($Y37-1)-SUM($B38:S38))+IF($Y37&gt;1,IF(INT(T$6/$X37)&gt;0,$Z37-$AA37,0),-$AA37)</f>
        <v>0</v>
      </c>
      <c r="U38" s="511" t="n">
        <f aca="false">IF(INT(U$6/$X37)*$X$7&gt;U36*($X$7+$Z37)*$Y37,U36*($X$7+$Z37)-SUM($B38:T38),INT(U$6/$X37)*$X$7-U36*($X$7+$Z37)*($Y37-1)-SUM($B38:T38))+IF($Y37&gt;1,IF(INT(U$6/$X37)&gt;0,$Z37-$AA37,0),-$AA37)</f>
        <v>0</v>
      </c>
      <c r="V38" s="511" t="n">
        <f aca="false">IF(INT(V$6/$X37)*$X$7&gt;V36*($X$7+$Z37)*$Y37,V36*($X$7+$Z37)-SUM($B38:U38),INT(V$6/$X37)*$X$7-V36*($X$7+$Z37)*($Y37-1)-SUM($B38:U38))+IF($Y37&gt;1,IF(INT(V$6/$X37)&gt;0,$Z37-$AA37,0),-$AA37)</f>
        <v>0</v>
      </c>
      <c r="W38" s="803"/>
      <c r="AA38" s="157"/>
      <c r="AB38" s="157"/>
    </row>
    <row r="39" customFormat="false" ht="12.75" hidden="false" customHeight="false" outlineLevel="0" collapsed="false">
      <c r="A39" s="157"/>
      <c r="B39" s="518"/>
      <c r="C39" s="518"/>
      <c r="D39" s="518"/>
      <c r="E39" s="518"/>
      <c r="F39" s="518"/>
      <c r="G39" s="518"/>
      <c r="H39" s="518"/>
      <c r="I39" s="806"/>
      <c r="J39" s="518"/>
      <c r="K39" s="518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785"/>
      <c r="X39" s="157"/>
      <c r="Y39" s="157"/>
      <c r="Z39" s="157"/>
      <c r="AA39" s="157"/>
      <c r="AB39" s="157"/>
    </row>
    <row r="40" customFormat="false" ht="12.75" hidden="true" customHeight="false" outlineLevel="0" collapsed="false">
      <c r="A40" s="153" t="s">
        <v>1395</v>
      </c>
      <c r="B40" s="511"/>
      <c r="C40" s="153" t="n">
        <f aca="false">INT((INT(C$6/$X41)*$X$7+$X$7+$Z41-1)/($X$7+$Z41)/$Y41)</f>
        <v>0</v>
      </c>
      <c r="D40" s="153" t="n">
        <f aca="false">INT((INT(D$6/$X41)*$X$7+$X$7+$Z41-1)/($X$7+$Z41)/$Y41)</f>
        <v>0</v>
      </c>
      <c r="E40" s="153" t="n">
        <f aca="false">INT((INT(E$6/$X41)*$X$7+$X$7+$Z41-1)/($X$7+$Z41)/$Y41)</f>
        <v>0</v>
      </c>
      <c r="F40" s="153" t="n">
        <f aca="false">INT((INT(F$6/$X41)*$X$7+$X$7+$Z41-1)/($X$7+$Z41)/$Y41)</f>
        <v>0</v>
      </c>
      <c r="G40" s="153" t="n">
        <f aca="false">INT((INT(G$6/$X41)*$X$7+$X$7+$Z41-1)/($X$7+$Z41)/$Y41)</f>
        <v>0</v>
      </c>
      <c r="H40" s="153" t="n">
        <f aca="false">INT((INT(H$6/$X41)*$X$7+$X$7+$Z41-1)/($X$7+$Z41)/$Y41)</f>
        <v>0</v>
      </c>
      <c r="I40" s="153" t="n">
        <f aca="false">INT((INT(I$6/$X41)*$X$7+$X$7+$Z41-1)/($X$7+$Z41)/$Y41)</f>
        <v>0</v>
      </c>
      <c r="J40" s="153" t="n">
        <f aca="false">INT((INT(J$6/$X41)*$X$7+$X$7+$Z41-1)/($X$7+$Z41)/$Y41)</f>
        <v>0</v>
      </c>
      <c r="K40" s="153" t="n">
        <f aca="false">INT((INT(K$6/$X41)*$X$7+$X$7+$Z41-1)/($X$7+$Z41)/$Y41)</f>
        <v>0</v>
      </c>
      <c r="L40" s="153" t="n">
        <f aca="false">INT((INT(L$6/$X41)*$X$7+$X$7+$Z41-1)/($X$7+$Z41)/$Y41)</f>
        <v>0</v>
      </c>
      <c r="M40" s="153" t="n">
        <f aca="false">INT((INT(M$6/$X41)*$X$7+$X$7+$Z41-1)/($X$7+$Z41)/$Y41)</f>
        <v>0</v>
      </c>
      <c r="N40" s="153" t="n">
        <f aca="false">INT((INT(N$6/$X41)*$X$7+$X$7+$Z41-1)/($X$7+$Z41)/$Y41)</f>
        <v>0</v>
      </c>
      <c r="O40" s="153" t="n">
        <f aca="false">INT((INT(O$6/$X41)*$X$7+$X$7+$Z41-1)/($X$7+$Z41)/$Y41)</f>
        <v>0</v>
      </c>
      <c r="P40" s="153" t="n">
        <f aca="false">INT((INT(P$6/$X41)*$X$7+$X$7+$Z41-1)/($X$7+$Z41)/$Y41)</f>
        <v>0</v>
      </c>
      <c r="Q40" s="153" t="n">
        <f aca="false">INT((INT(Q$6/$X41)*$X$7+$X$7+$Z41-1)/($X$7+$Z41)/$Y41)</f>
        <v>0</v>
      </c>
      <c r="R40" s="153" t="n">
        <f aca="false">INT((INT(R$6/$X41)*$X$7+$X$7+$Z41-1)/($X$7+$Z41)/$Y41)</f>
        <v>0</v>
      </c>
      <c r="S40" s="153" t="n">
        <f aca="false">INT((INT(S$6/$X41)*$X$7+$X$7+$Z41-1)/($X$7+$Z41)/$Y41)</f>
        <v>0</v>
      </c>
      <c r="T40" s="153" t="n">
        <f aca="false">INT((INT(T$6/$X41)*$X$7+$X$7+$Z41-1)/($X$7+$Z41)/$Y41)</f>
        <v>0</v>
      </c>
      <c r="U40" s="153" t="n">
        <f aca="false">INT((INT(U$6/$X41)*$X$7+$X$7+$Z41-1)/($X$7+$Z41)/$Y41)</f>
        <v>0</v>
      </c>
      <c r="V40" s="153" t="n">
        <f aca="false">INT((INT(V$6/$X41)*$X$7+$X$7+$Z41-1)/($X$7+$Z41)/$Y41)</f>
        <v>0</v>
      </c>
      <c r="W40" s="157"/>
      <c r="X40" s="157"/>
      <c r="Y40" s="157"/>
      <c r="Z40" s="157"/>
      <c r="AA40" s="157"/>
      <c r="AB40" s="157"/>
    </row>
    <row r="41" customFormat="false" ht="12.75" hidden="false" customHeight="false" outlineLevel="0" collapsed="false">
      <c r="A41" s="153" t="s">
        <v>1396</v>
      </c>
      <c r="B41" s="511" t="s">
        <v>1007</v>
      </c>
      <c r="C41" s="511" t="n">
        <f aca="false">IF($Y41=1,0,$X$7*(INT(C$6/$X41)-INT(B$6/$X41))-IF(SUM($B41:B41)&gt;0,C42,0))</f>
        <v>0</v>
      </c>
      <c r="D41" s="511" t="n">
        <f aca="false">IF($Y41=1,0,$X$7*(INT(D$6/$X41)-INT(C$6/$X41))-IF(SUM($B41:C41)&gt;0,D42,0))</f>
        <v>0</v>
      </c>
      <c r="E41" s="511" t="n">
        <f aca="false">IF($Y41=1,0,$X$7*(INT(E$6/$X41)-INT(D$6/$X41))-IF(SUM($B41:D41)&gt;0,E42,0))</f>
        <v>0</v>
      </c>
      <c r="F41" s="511" t="n">
        <f aca="false">IF($Y41=1,0,$X$7*(INT(F$6/$X41)-INT(E$6/$X41))-IF(SUM($B41:E41)&gt;0,F42,0))</f>
        <v>0</v>
      </c>
      <c r="G41" s="511" t="n">
        <f aca="false">IF($Y41=1,0,$X$7*(INT(G$6/$X41)-INT(F$6/$X41))-IF(SUM($B41:F41)&gt;0,G42,0))</f>
        <v>0</v>
      </c>
      <c r="H41" s="511" t="n">
        <f aca="false">IF($Y41=1,0,$X$7*(INT(H$6/$X41)-INT(G$6/$X41))-IF(SUM($B41:G41)&gt;0,H42,0))</f>
        <v>0</v>
      </c>
      <c r="I41" s="511" t="n">
        <f aca="false">IF($Y41=1,0,$X$7*(INT(I$6/$X41)-INT(H$6/$X41))-IF(SUM($B41:H41)&gt;0,I42,0))</f>
        <v>0</v>
      </c>
      <c r="J41" s="511" t="n">
        <f aca="false">IF($Y41=1,0,$X$7*(INT(J$6/$X41)-INT(I$6/$X41))-IF(SUM($B41:I41)&gt;0,J42,0))</f>
        <v>0</v>
      </c>
      <c r="K41" s="511" t="n">
        <f aca="false">IF($Y41=1,0,$X$7*(INT(K$6/$X41)-INT(J$6/$X41))-IF(SUM($B41:J41)&gt;0,K42,0))</f>
        <v>0</v>
      </c>
      <c r="L41" s="511" t="n">
        <f aca="false">IF($Y41=1,0,$X$7*(INT(L$6/$X41)-INT(K$6/$X41))-IF(SUM($B41:K41)&gt;0,L42,0))</f>
        <v>0</v>
      </c>
      <c r="M41" s="511" t="n">
        <f aca="false">IF($Y41=1,0,$X$7*(INT(M$6/$X41)-INT(L$6/$X41))-IF(SUM($B41:L41)&gt;0,M42,0))</f>
        <v>0</v>
      </c>
      <c r="N41" s="511" t="n">
        <f aca="false">IF($Y41=1,0,$X$7*(INT(N$6/$X41)-INT(M$6/$X41))-IF(SUM($B41:M41)&gt;0,N42,0))</f>
        <v>0</v>
      </c>
      <c r="O41" s="511" t="n">
        <f aca="false">IF($Y41=1,0,$X$7*(INT(O$6/$X41)-INT(N$6/$X41))-IF(SUM($B41:N41)&gt;0,O42,0))</f>
        <v>0</v>
      </c>
      <c r="P41" s="511" t="n">
        <f aca="false">IF($Y41=1,0,$X$7*(INT(P$6/$X41)-INT(O$6/$X41))-IF(SUM($B41:O41)&gt;0,P42,0))</f>
        <v>0</v>
      </c>
      <c r="Q41" s="511" t="n">
        <f aca="false">IF($Y41=1,0,$X$7*(INT(Q$6/$X41)-INT(P$6/$X41))-IF(SUM($B41:P41)&gt;0,Q42,0))</f>
        <v>0</v>
      </c>
      <c r="R41" s="511" t="n">
        <f aca="false">IF($Y41=1,0,$X$7*(INT(R$6/$X41)-INT(Q$6/$X41))-IF(SUM($B41:Q41)&gt;0,R42,0))</f>
        <v>0</v>
      </c>
      <c r="S41" s="511" t="n">
        <f aca="false">IF($Y41=1,0,$X$7*(INT(S$6/$X41)-INT(R$6/$X41))-IF(SUM($B41:R41)&gt;0,S42,0))</f>
        <v>0</v>
      </c>
      <c r="T41" s="511" t="n">
        <f aca="false">IF($Y41=1,0,$X$7*(INT(T$6/$X41)-INT(S$6/$X41))-IF(SUM($B41:S41)&gt;0,T42,0))</f>
        <v>0</v>
      </c>
      <c r="U41" s="511" t="n">
        <f aca="false">IF($Y41=1,0,$X$7*(INT(U$6/$X41)-INT(T$6/$X41))-IF(SUM($B41:T41)&gt;0,U42,0))</f>
        <v>0</v>
      </c>
      <c r="V41" s="511" t="n">
        <f aca="false">IF($Y41=1,0,$X$7*(INT(V$6/$X41)-INT(U$6/$X41))-IF(SUM($B41:U41)&gt;0,V42,0))</f>
        <v>0</v>
      </c>
      <c r="W41" s="800" t="str">
        <f aca="false">'GT schd cost(W501D5)'!A20</f>
        <v>Row 2 Blades</v>
      </c>
      <c r="X41" s="800" t="n">
        <f aca="false">IF($AD$6=1,'GTDB(W501D5)'!B23,'GTDB(W501D5)'!G23)</f>
        <v>24000</v>
      </c>
      <c r="Y41" s="800" t="n">
        <f aca="false">IF($AD$6=1,'GTDB(W501D5)'!C23,'GTDB(W501D5)'!H23)</f>
        <v>3</v>
      </c>
      <c r="Z41" s="801" t="n">
        <v>1</v>
      </c>
      <c r="AA41" s="805" t="n">
        <f aca="false">'Initial_Spares(W501D5)'!$E$17</f>
        <v>0</v>
      </c>
      <c r="AB41" s="764" t="n">
        <f aca="false">'GT schd cost(W501D5)'!X20+'GT schd cost(W501D5)'!X46</f>
        <v>0</v>
      </c>
    </row>
    <row r="42" customFormat="false" ht="12.75" hidden="false" customHeight="false" outlineLevel="0" collapsed="false">
      <c r="A42" s="153" t="s">
        <v>1397</v>
      </c>
      <c r="B42" s="511" t="s">
        <v>1007</v>
      </c>
      <c r="C42" s="511" t="n">
        <f aca="false">IF(INT(C$6/$X41)*$X$7&gt;C40*($X$7+$Z41)*$Y41,C40*($X$7+$Z41)-SUM($B42:B42),INT(C$6/$X41)*$X$7-C40*($X$7+$Z41)*($Y41-1)-SUM($B42:B42))+IF($Y41&gt;1,IF(INT(C$6/$X41)&gt;0,$Z41-$AA41,0),-$AA41)</f>
        <v>0</v>
      </c>
      <c r="D42" s="511" t="n">
        <f aca="false">IF(INT(D$6/$X41)*$X$7&gt;D40*($X$7+$Z41)*$Y41,D40*($X$7+$Z41)-SUM($B42:C42),INT(D$6/$X41)*$X$7-D40*($X$7+$Z41)*($Y41-1)-SUM($B42:C42))+IF($Y41&gt;1,IF(INT(D$6/$X41)&gt;0,$Z41-$AA41,0),-$AA41)</f>
        <v>0</v>
      </c>
      <c r="E42" s="511" t="n">
        <f aca="false">IF(INT(E$6/$X41)*$X$7&gt;E40*($X$7+$Z41)*$Y41,E40*($X$7+$Z41)-SUM($B42:D42),INT(E$6/$X41)*$X$7-E40*($X$7+$Z41)*($Y41-1)-SUM($B42:D42))+IF($Y41&gt;1,IF(INT(E$6/$X41)&gt;0,$Z41-$AA41,0),-$AA41)</f>
        <v>0</v>
      </c>
      <c r="F42" s="511" t="n">
        <f aca="false">IF(INT(F$6/$X41)*$X$7&gt;F40*($X$7+$Z41)*$Y41,F40*($X$7+$Z41)-SUM($B42:E42),INT(F$6/$X41)*$X$7-F40*($X$7+$Z41)*($Y41-1)-SUM($B42:E42))+IF($Y41&gt;1,IF(INT(F$6/$X41)&gt;0,$Z41-$AA41,0),-$AA41)</f>
        <v>0</v>
      </c>
      <c r="G42" s="511" t="n">
        <f aca="false">IF(INT(G$6/$X41)*$X$7&gt;G40*($X$7+$Z41)*$Y41,G40*($X$7+$Z41)-SUM($B42:F42),INT(G$6/$X41)*$X$7-G40*($X$7+$Z41)*($Y41-1)-SUM($B42:F42))+IF($Y41&gt;1,IF(INT(G$6/$X41)&gt;0,$Z41-$AA41,0),-$AA41)</f>
        <v>0</v>
      </c>
      <c r="H42" s="511" t="n">
        <f aca="false">IF(INT(H$6/$X41)*$X$7&gt;H40*($X$7+$Z41)*$Y41,H40*($X$7+$Z41)-SUM($B42:G42),INT(H$6/$X41)*$X$7-H40*($X$7+$Z41)*($Y41-1)-SUM($B42:G42))+IF($Y41&gt;1,IF(INT(H$6/$X41)&gt;0,$Z41-$AA41,0),-$AA41)</f>
        <v>0</v>
      </c>
      <c r="I42" s="511" t="n">
        <f aca="false">IF(INT(I$6/$X41)*$X$7&gt;I40*($X$7+$Z41)*$Y41,I40*($X$7+$Z41)-SUM($B42:H42),INT(I$6/$X41)*$X$7-I40*($X$7+$Z41)*($Y41-1)-SUM($B42:H42))+IF($Y41&gt;1,IF(INT(I$6/$X41)&gt;0,$Z41-$AA41,0),-$AA41)</f>
        <v>0</v>
      </c>
      <c r="J42" s="511" t="n">
        <f aca="false">IF(INT(J$6/$X41)*$X$7&gt;J40*($X$7+$Z41)*$Y41,J40*($X$7+$Z41)-SUM($B42:I42),INT(J$6/$X41)*$X$7-J40*($X$7+$Z41)*($Y41-1)-SUM($B42:I42))+IF($Y41&gt;1,IF(INT(J$6/$X41)&gt;0,$Z41-$AA41,0),-$AA41)</f>
        <v>0</v>
      </c>
      <c r="K42" s="511" t="n">
        <f aca="false">IF(INT(K$6/$X41)*$X$7&gt;K40*($X$7+$Z41)*$Y41,K40*($X$7+$Z41)-SUM($B42:J42),INT(K$6/$X41)*$X$7-K40*($X$7+$Z41)*($Y41-1)-SUM($B42:J42))+IF($Y41&gt;1,IF(INT(K$6/$X41)&gt;0,$Z41-$AA41,0),-$AA41)</f>
        <v>0</v>
      </c>
      <c r="L42" s="511" t="n">
        <f aca="false">IF(INT(L$6/$X41)*$X$7&gt;L40*($X$7+$Z41)*$Y41,L40*($X$7+$Z41)-SUM($B42:K42),INT(L$6/$X41)*$X$7-L40*($X$7+$Z41)*($Y41-1)-SUM($B42:K42))+IF($Y41&gt;1,IF(INT(L$6/$X41)&gt;0,$Z41-$AA41,0),-$AA41)</f>
        <v>0</v>
      </c>
      <c r="M42" s="511" t="n">
        <f aca="false">IF(INT(M$6/$X41)*$X$7&gt;M40*($X$7+$Z41)*$Y41,M40*($X$7+$Z41)-SUM($B42:L42),INT(M$6/$X41)*$X$7-M40*($X$7+$Z41)*($Y41-1)-SUM($B42:L42))+IF($Y41&gt;1,IF(INT(M$6/$X41)&gt;0,$Z41-$AA41,0),-$AA41)</f>
        <v>0</v>
      </c>
      <c r="N42" s="511" t="n">
        <f aca="false">IF(INT(N$6/$X41)*$X$7&gt;N40*($X$7+$Z41)*$Y41,N40*($X$7+$Z41)-SUM($B42:M42),INT(N$6/$X41)*$X$7-N40*($X$7+$Z41)*($Y41-1)-SUM($B42:M42))+IF($Y41&gt;1,IF(INT(N$6/$X41)&gt;0,$Z41-$AA41,0),-$AA41)</f>
        <v>0</v>
      </c>
      <c r="O42" s="511" t="n">
        <f aca="false">IF(INT(O$6/$X41)*$X$7&gt;O40*($X$7+$Z41)*$Y41,O40*($X$7+$Z41)-SUM($B42:N42),INT(O$6/$X41)*$X$7-O40*($X$7+$Z41)*($Y41-1)-SUM($B42:N42))+IF($Y41&gt;1,IF(INT(O$6/$X41)&gt;0,$Z41-$AA41,0),-$AA41)</f>
        <v>0</v>
      </c>
      <c r="P42" s="511" t="n">
        <f aca="false">IF(INT(P$6/$X41)*$X$7&gt;P40*($X$7+$Z41)*$Y41,P40*($X$7+$Z41)-SUM($B42:O42),INT(P$6/$X41)*$X$7-P40*($X$7+$Z41)*($Y41-1)-SUM($B42:O42))+IF($Y41&gt;1,IF(INT(P$6/$X41)&gt;0,$Z41-$AA41,0),-$AA41)</f>
        <v>0</v>
      </c>
      <c r="Q42" s="511" t="n">
        <f aca="false">IF(INT(Q$6/$X41)*$X$7&gt;Q40*($X$7+$Z41)*$Y41,Q40*($X$7+$Z41)-SUM($B42:P42),INT(Q$6/$X41)*$X$7-Q40*($X$7+$Z41)*($Y41-1)-SUM($B42:P42))+IF($Y41&gt;1,IF(INT(Q$6/$X41)&gt;0,$Z41-$AA41,0),-$AA41)</f>
        <v>0</v>
      </c>
      <c r="R42" s="511" t="n">
        <f aca="false">IF(INT(R$6/$X41)*$X$7&gt;R40*($X$7+$Z41)*$Y41,R40*($X$7+$Z41)-SUM($B42:Q42),INT(R$6/$X41)*$X$7-R40*($X$7+$Z41)*($Y41-1)-SUM($B42:Q42))+IF($Y41&gt;1,IF(INT(R$6/$X41)&gt;0,$Z41-$AA41,0),-$AA41)</f>
        <v>0</v>
      </c>
      <c r="S42" s="511" t="n">
        <f aca="false">IF(INT(S$6/$X41)*$X$7&gt;S40*($X$7+$Z41)*$Y41,S40*($X$7+$Z41)-SUM($B42:R42),INT(S$6/$X41)*$X$7-S40*($X$7+$Z41)*($Y41-1)-SUM($B42:R42))+IF($Y41&gt;1,IF(INT(S$6/$X41)&gt;0,$Z41-$AA41,0),-$AA41)</f>
        <v>0</v>
      </c>
      <c r="T42" s="511" t="n">
        <f aca="false">IF(INT(T$6/$X41)*$X$7&gt;T40*($X$7+$Z41)*$Y41,T40*($X$7+$Z41)-SUM($B42:S42),INT(T$6/$X41)*$X$7-T40*($X$7+$Z41)*($Y41-1)-SUM($B42:S42))+IF($Y41&gt;1,IF(INT(T$6/$X41)&gt;0,$Z41-$AA41,0),-$AA41)</f>
        <v>0</v>
      </c>
      <c r="U42" s="511" t="n">
        <f aca="false">IF(INT(U$6/$X41)*$X$7&gt;U40*($X$7+$Z41)*$Y41,U40*($X$7+$Z41)-SUM($B42:T42),INT(U$6/$X41)*$X$7-U40*($X$7+$Z41)*($Y41-1)-SUM($B42:T42))+IF($Y41&gt;1,IF(INT(U$6/$X41)&gt;0,$Z41-$AA41,0),-$AA41)</f>
        <v>0</v>
      </c>
      <c r="V42" s="511" t="n">
        <f aca="false">IF(INT(V$6/$X41)*$X$7&gt;V40*($X$7+$Z41)*$Y41,V40*($X$7+$Z41)-SUM($B42:U42),INT(V$6/$X41)*$X$7-V40*($X$7+$Z41)*($Y41-1)-SUM($B42:U42))+IF($Y41&gt;1,IF(INT(V$6/$X41)&gt;0,$Z41-$AA41,0),-$AA41)</f>
        <v>0</v>
      </c>
      <c r="W42" s="803"/>
      <c r="AA42" s="157"/>
      <c r="AB42" s="157"/>
    </row>
    <row r="43" customFormat="false" ht="12.75" hidden="false" customHeight="false" outlineLevel="0" collapsed="false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785"/>
      <c r="X43" s="157"/>
      <c r="Y43" s="157"/>
      <c r="Z43" s="157"/>
      <c r="AA43" s="157"/>
      <c r="AB43" s="157"/>
    </row>
    <row r="44" customFormat="false" ht="12.75" hidden="true" customHeight="false" outlineLevel="0" collapsed="false">
      <c r="A44" s="153" t="s">
        <v>1395</v>
      </c>
      <c r="B44" s="511"/>
      <c r="C44" s="153" t="n">
        <f aca="false">INT((INT(C$6/$X45)*$X$7+$X$7+$Z45-1)/($X$7+$Z45)/$Y45)</f>
        <v>0</v>
      </c>
      <c r="D44" s="153" t="n">
        <f aca="false">INT((INT(D$6/$X45)*$X$7+$X$7+$Z45-1)/($X$7+$Z45)/$Y45)</f>
        <v>0</v>
      </c>
      <c r="E44" s="153" t="n">
        <f aca="false">INT((INT(E$6/$X45)*$X$7+$X$7+$Z45-1)/($X$7+$Z45)/$Y45)</f>
        <v>0</v>
      </c>
      <c r="F44" s="153" t="n">
        <f aca="false">INT((INT(F$6/$X45)*$X$7+$X$7+$Z45-1)/($X$7+$Z45)/$Y45)</f>
        <v>0</v>
      </c>
      <c r="G44" s="153" t="n">
        <f aca="false">INT((INT(G$6/$X45)*$X$7+$X$7+$Z45-1)/($X$7+$Z45)/$Y45)</f>
        <v>0</v>
      </c>
      <c r="H44" s="153" t="n">
        <f aca="false">INT((INT(H$6/$X45)*$X$7+$X$7+$Z45-1)/($X$7+$Z45)/$Y45)</f>
        <v>0</v>
      </c>
      <c r="I44" s="153" t="n">
        <f aca="false">INT((INT(I$6/$X45)*$X$7+$X$7+$Z45-1)/($X$7+$Z45)/$Y45)</f>
        <v>0</v>
      </c>
      <c r="J44" s="153" t="n">
        <f aca="false">INT((INT(J$6/$X45)*$X$7+$X$7+$Z45-1)/($X$7+$Z45)/$Y45)</f>
        <v>0</v>
      </c>
      <c r="K44" s="153" t="n">
        <f aca="false">INT((INT(K$6/$X45)*$X$7+$X$7+$Z45-1)/($X$7+$Z45)/$Y45)</f>
        <v>0</v>
      </c>
      <c r="L44" s="153" t="n">
        <f aca="false">INT((INT(L$6/$X45)*$X$7+$X$7+$Z45-1)/($X$7+$Z45)/$Y45)</f>
        <v>0</v>
      </c>
      <c r="M44" s="153" t="n">
        <f aca="false">INT((INT(M$6/$X45)*$X$7+$X$7+$Z45-1)/($X$7+$Z45)/$Y45)</f>
        <v>0</v>
      </c>
      <c r="N44" s="153" t="n">
        <f aca="false">INT((INT(N$6/$X45)*$X$7+$X$7+$Z45-1)/($X$7+$Z45)/$Y45)</f>
        <v>0</v>
      </c>
      <c r="O44" s="153" t="n">
        <f aca="false">INT((INT(O$6/$X45)*$X$7+$X$7+$Z45-1)/($X$7+$Z45)/$Y45)</f>
        <v>0</v>
      </c>
      <c r="P44" s="153" t="n">
        <f aca="false">INT((INT(P$6/$X45)*$X$7+$X$7+$Z45-1)/($X$7+$Z45)/$Y45)</f>
        <v>0</v>
      </c>
      <c r="Q44" s="153" t="n">
        <f aca="false">INT((INT(Q$6/$X45)*$X$7+$X$7+$Z45-1)/($X$7+$Z45)/$Y45)</f>
        <v>0</v>
      </c>
      <c r="R44" s="153" t="n">
        <f aca="false">INT((INT(R$6/$X45)*$X$7+$X$7+$Z45-1)/($X$7+$Z45)/$Y45)</f>
        <v>0</v>
      </c>
      <c r="S44" s="153" t="n">
        <f aca="false">INT((INT(S$6/$X45)*$X$7+$X$7+$Z45-1)/($X$7+$Z45)/$Y45)</f>
        <v>0</v>
      </c>
      <c r="T44" s="153" t="n">
        <f aca="false">INT((INT(T$6/$X45)*$X$7+$X$7+$Z45-1)/($X$7+$Z45)/$Y45)</f>
        <v>0</v>
      </c>
      <c r="U44" s="153" t="n">
        <f aca="false">INT((INT(U$6/$X45)*$X$7+$X$7+$Z45-1)/($X$7+$Z45)/$Y45)</f>
        <v>0</v>
      </c>
      <c r="V44" s="153" t="n">
        <f aca="false">INT((INT(V$6/$X45)*$X$7+$X$7+$Z45-1)/($X$7+$Z45)/$Y45)</f>
        <v>0</v>
      </c>
      <c r="W44" s="157"/>
      <c r="X44" s="157"/>
      <c r="Y44" s="157"/>
      <c r="Z44" s="157"/>
      <c r="AA44" s="157"/>
      <c r="AB44" s="157"/>
    </row>
    <row r="45" customFormat="false" ht="12.75" hidden="false" customHeight="false" outlineLevel="0" collapsed="false">
      <c r="A45" s="153" t="s">
        <v>1396</v>
      </c>
      <c r="B45" s="511" t="s">
        <v>1007</v>
      </c>
      <c r="C45" s="511" t="n">
        <f aca="false">IF($Y45=1,0,$X$7*(INT(C$6/$X45)-INT(B$6/$X45))-IF(SUM($B45:B45)&gt;0,C46,0))</f>
        <v>0</v>
      </c>
      <c r="D45" s="511" t="n">
        <f aca="false">IF($Y45=1,0,$X$7*(INT(D$6/$X45)-INT(C$6/$X45))-IF(SUM($B45:C45)&gt;0,D46,0))</f>
        <v>0</v>
      </c>
      <c r="E45" s="511" t="n">
        <f aca="false">IF($Y45=1,0,$X$7*(INT(E$6/$X45)-INT(D$6/$X45))-IF(SUM($B45:D45)&gt;0,E46,0))</f>
        <v>0</v>
      </c>
      <c r="F45" s="511" t="n">
        <f aca="false">IF($Y45=1,0,$X$7*(INT(F$6/$X45)-INT(E$6/$X45))-IF(SUM($B45:E45)&gt;0,F46,0))</f>
        <v>0</v>
      </c>
      <c r="G45" s="511" t="n">
        <f aca="false">IF($Y45=1,0,$X$7*(INT(G$6/$X45)-INT(F$6/$X45))-IF(SUM($B45:F45)&gt;0,G46,0))</f>
        <v>0</v>
      </c>
      <c r="H45" s="511" t="n">
        <f aca="false">IF($Y45=1,0,$X$7*(INT(H$6/$X45)-INT(G$6/$X45))-IF(SUM($B45:G45)&gt;0,H46,0))</f>
        <v>0</v>
      </c>
      <c r="I45" s="511" t="n">
        <f aca="false">IF($Y45=1,0,$X$7*(INT(I$6/$X45)-INT(H$6/$X45))-IF(SUM($B45:H45)&gt;0,I46,0))</f>
        <v>0</v>
      </c>
      <c r="J45" s="511" t="n">
        <f aca="false">IF($Y45=1,0,$X$7*(INT(J$6/$X45)-INT(I$6/$X45))-IF(SUM($B45:I45)&gt;0,J46,0))</f>
        <v>0</v>
      </c>
      <c r="K45" s="511" t="n">
        <f aca="false">IF($Y45=1,0,$X$7*(INT(K$6/$X45)-INT(J$6/$X45))-IF(SUM($B45:J45)&gt;0,K46,0))</f>
        <v>0</v>
      </c>
      <c r="L45" s="511" t="n">
        <f aca="false">IF($Y45=1,0,$X$7*(INT(L$6/$X45)-INT(K$6/$X45))-IF(SUM($B45:K45)&gt;0,L46,0))</f>
        <v>0</v>
      </c>
      <c r="M45" s="511" t="n">
        <f aca="false">IF($Y45=1,0,$X$7*(INT(M$6/$X45)-INT(L$6/$X45))-IF(SUM($B45:L45)&gt;0,M46,0))</f>
        <v>0</v>
      </c>
      <c r="N45" s="511" t="n">
        <f aca="false">IF($Y45=1,0,$X$7*(INT(N$6/$X45)-INT(M$6/$X45))-IF(SUM($B45:M45)&gt;0,N46,0))</f>
        <v>0</v>
      </c>
      <c r="O45" s="511" t="n">
        <f aca="false">IF($Y45=1,0,$X$7*(INT(O$6/$X45)-INT(N$6/$X45))-IF(SUM($B45:N45)&gt;0,O46,0))</f>
        <v>0</v>
      </c>
      <c r="P45" s="511" t="n">
        <f aca="false">IF($Y45=1,0,$X$7*(INT(P$6/$X45)-INT(O$6/$X45))-IF(SUM($B45:O45)&gt;0,P46,0))</f>
        <v>0</v>
      </c>
      <c r="Q45" s="511" t="n">
        <f aca="false">IF($Y45=1,0,$X$7*(INT(Q$6/$X45)-INT(P$6/$X45))-IF(SUM($B45:P45)&gt;0,Q46,0))</f>
        <v>0</v>
      </c>
      <c r="R45" s="511" t="n">
        <f aca="false">IF($Y45=1,0,$X$7*(INT(R$6/$X45)-INT(Q$6/$X45))-IF(SUM($B45:Q45)&gt;0,R46,0))</f>
        <v>0</v>
      </c>
      <c r="S45" s="511" t="n">
        <f aca="false">IF($Y45=1,0,$X$7*(INT(S$6/$X45)-INT(R$6/$X45))-IF(SUM($B45:R45)&gt;0,S46,0))</f>
        <v>0</v>
      </c>
      <c r="T45" s="511" t="n">
        <f aca="false">IF($Y45=1,0,$X$7*(INT(T$6/$X45)-INT(S$6/$X45))-IF(SUM($B45:S45)&gt;0,T46,0))</f>
        <v>0</v>
      </c>
      <c r="U45" s="511" t="n">
        <f aca="false">IF($Y45=1,0,$X$7*(INT(U$6/$X45)-INT(T$6/$X45))-IF(SUM($B45:T45)&gt;0,U46,0))</f>
        <v>0</v>
      </c>
      <c r="V45" s="511" t="n">
        <f aca="false">IF($Y45=1,0,$X$7*(INT(V$6/$X45)-INT(U$6/$X45))-IF(SUM($B45:U45)&gt;0,V46,0))</f>
        <v>0</v>
      </c>
      <c r="W45" s="800" t="str">
        <f aca="false">'GT schd cost(W501D5)'!A21</f>
        <v>Row 3 Blades</v>
      </c>
      <c r="X45" s="800" t="n">
        <f aca="false">IF($AD$6=1,'GTDB(W501D5)'!B24,'GTDB(W501D5)'!G24)</f>
        <v>48000</v>
      </c>
      <c r="Y45" s="800" t="n">
        <f aca="false">IF($AD$6=1,'GTDB(W501D5)'!C24,'GTDB(W501D5)'!H24)</f>
        <v>2</v>
      </c>
      <c r="Z45" s="801" t="n">
        <v>1</v>
      </c>
      <c r="AA45" s="805" t="n">
        <f aca="false">'Initial_Spares(W501D5)'!$E$18</f>
        <v>0</v>
      </c>
      <c r="AB45" s="764" t="n">
        <f aca="false">'GT schd cost(W501D5)'!X21+'GT schd cost(W501D5)'!X47</f>
        <v>0</v>
      </c>
    </row>
    <row r="46" customFormat="false" ht="12.75" hidden="false" customHeight="false" outlineLevel="0" collapsed="false">
      <c r="A46" s="153" t="s">
        <v>1397</v>
      </c>
      <c r="B46" s="511" t="s">
        <v>1007</v>
      </c>
      <c r="C46" s="511" t="n">
        <f aca="false">IF(INT(C$6/$X45)*$X$7&gt;C44*($X$7+$Z45)*$Y45,C44*($X$7+$Z45)-SUM($B46:B46),INT(C$6/$X45)*$X$7-C44*($X$7+$Z45)*($Y45-1)-SUM($B46:B46))+IF($Y45&gt;1,IF(INT(C$6/$X45)&gt;0,$Z45-$AA45,0),-$AA45)</f>
        <v>0</v>
      </c>
      <c r="D46" s="511" t="n">
        <f aca="false">IF(INT(D$6/$X45)*$X$7&gt;D44*($X$7+$Z45)*$Y45,D44*($X$7+$Z45)-SUM($B46:C46),INT(D$6/$X45)*$X$7-D44*($X$7+$Z45)*($Y45-1)-SUM($B46:C46))+IF($Y45&gt;1,IF(INT(D$6/$X45)&gt;0,$Z45-$AA45,0),-$AA45)</f>
        <v>0</v>
      </c>
      <c r="E46" s="511" t="n">
        <f aca="false">IF(INT(E$6/$X45)*$X$7&gt;E44*($X$7+$Z45)*$Y45,E44*($X$7+$Z45)-SUM($B46:D46),INT(E$6/$X45)*$X$7-E44*($X$7+$Z45)*($Y45-1)-SUM($B46:D46))+IF($Y45&gt;1,IF(INT(E$6/$X45)&gt;0,$Z45-$AA45,0),-$AA45)</f>
        <v>0</v>
      </c>
      <c r="F46" s="511" t="n">
        <f aca="false">IF(INT(F$6/$X45)*$X$7&gt;F44*($X$7+$Z45)*$Y45,F44*($X$7+$Z45)-SUM($B46:E46),INT(F$6/$X45)*$X$7-F44*($X$7+$Z45)*($Y45-1)-SUM($B46:E46))+IF($Y45&gt;1,IF(INT(F$6/$X45)&gt;0,$Z45-$AA45,0),-$AA45)</f>
        <v>0</v>
      </c>
      <c r="G46" s="511" t="n">
        <f aca="false">IF(INT(G$6/$X45)*$X$7&gt;G44*($X$7+$Z45)*$Y45,G44*($X$7+$Z45)-SUM($B46:F46),INT(G$6/$X45)*$X$7-G44*($X$7+$Z45)*($Y45-1)-SUM($B46:F46))+IF($Y45&gt;1,IF(INT(G$6/$X45)&gt;0,$Z45-$AA45,0),-$AA45)</f>
        <v>0</v>
      </c>
      <c r="H46" s="511" t="n">
        <f aca="false">IF(INT(H$6/$X45)*$X$7&gt;H44*($X$7+$Z45)*$Y45,H44*($X$7+$Z45)-SUM($B46:G46),INT(H$6/$X45)*$X$7-H44*($X$7+$Z45)*($Y45-1)-SUM($B46:G46))+IF($Y45&gt;1,IF(INT(H$6/$X45)&gt;0,$Z45-$AA45,0),-$AA45)</f>
        <v>0</v>
      </c>
      <c r="I46" s="511" t="n">
        <f aca="false">IF(INT(I$6/$X45)*$X$7&gt;I44*($X$7+$Z45)*$Y45,I44*($X$7+$Z45)-SUM($B46:H46),INT(I$6/$X45)*$X$7-I44*($X$7+$Z45)*($Y45-1)-SUM($B46:H46))+IF($Y45&gt;1,IF(INT(I$6/$X45)&gt;0,$Z45-$AA45,0),-$AA45)</f>
        <v>0</v>
      </c>
      <c r="J46" s="511" t="n">
        <f aca="false">IF(INT(J$6/$X45)*$X$7&gt;J44*($X$7+$Z45)*$Y45,J44*($X$7+$Z45)-SUM($B46:I46),INT(J$6/$X45)*$X$7-J44*($X$7+$Z45)*($Y45-1)-SUM($B46:I46))+IF($Y45&gt;1,IF(INT(J$6/$X45)&gt;0,$Z45-$AA45,0),-$AA45)</f>
        <v>0</v>
      </c>
      <c r="K46" s="511" t="n">
        <f aca="false">IF(INT(K$6/$X45)*$X$7&gt;K44*($X$7+$Z45)*$Y45,K44*($X$7+$Z45)-SUM($B46:J46),INT(K$6/$X45)*$X$7-K44*($X$7+$Z45)*($Y45-1)-SUM($B46:J46))+IF($Y45&gt;1,IF(INT(K$6/$X45)&gt;0,$Z45-$AA45,0),-$AA45)</f>
        <v>0</v>
      </c>
      <c r="L46" s="511" t="n">
        <f aca="false">IF(INT(L$6/$X45)*$X$7&gt;L44*($X$7+$Z45)*$Y45,L44*($X$7+$Z45)-SUM($B46:K46),INT(L$6/$X45)*$X$7-L44*($X$7+$Z45)*($Y45-1)-SUM($B46:K46))+IF($Y45&gt;1,IF(INT(L$6/$X45)&gt;0,$Z45-$AA45,0),-$AA45)</f>
        <v>0</v>
      </c>
      <c r="M46" s="511" t="n">
        <f aca="false">IF(INT(M$6/$X45)*$X$7&gt;M44*($X$7+$Z45)*$Y45,M44*($X$7+$Z45)-SUM($B46:L46),INT(M$6/$X45)*$X$7-M44*($X$7+$Z45)*($Y45-1)-SUM($B46:L46))+IF($Y45&gt;1,IF(INT(M$6/$X45)&gt;0,$Z45-$AA45,0),-$AA45)</f>
        <v>0</v>
      </c>
      <c r="N46" s="511" t="n">
        <f aca="false">IF(INT(N$6/$X45)*$X$7&gt;N44*($X$7+$Z45)*$Y45,N44*($X$7+$Z45)-SUM($B46:M46),INT(N$6/$X45)*$X$7-N44*($X$7+$Z45)*($Y45-1)-SUM($B46:M46))+IF($Y45&gt;1,IF(INT(N$6/$X45)&gt;0,$Z45-$AA45,0),-$AA45)</f>
        <v>0</v>
      </c>
      <c r="O46" s="511" t="n">
        <f aca="false">IF(INT(O$6/$X45)*$X$7&gt;O44*($X$7+$Z45)*$Y45,O44*($X$7+$Z45)-SUM($B46:N46),INT(O$6/$X45)*$X$7-O44*($X$7+$Z45)*($Y45-1)-SUM($B46:N46))+IF($Y45&gt;1,IF(INT(O$6/$X45)&gt;0,$Z45-$AA45,0),-$AA45)</f>
        <v>0</v>
      </c>
      <c r="P46" s="511" t="n">
        <f aca="false">IF(INT(P$6/$X45)*$X$7&gt;P44*($X$7+$Z45)*$Y45,P44*($X$7+$Z45)-SUM($B46:O46),INT(P$6/$X45)*$X$7-P44*($X$7+$Z45)*($Y45-1)-SUM($B46:O46))+IF($Y45&gt;1,IF(INT(P$6/$X45)&gt;0,$Z45-$AA45,0),-$AA45)</f>
        <v>0</v>
      </c>
      <c r="Q46" s="511" t="n">
        <f aca="false">IF(INT(Q$6/$X45)*$X$7&gt;Q44*($X$7+$Z45)*$Y45,Q44*($X$7+$Z45)-SUM($B46:P46),INT(Q$6/$X45)*$X$7-Q44*($X$7+$Z45)*($Y45-1)-SUM($B46:P46))+IF($Y45&gt;1,IF(INT(Q$6/$X45)&gt;0,$Z45-$AA45,0),-$AA45)</f>
        <v>0</v>
      </c>
      <c r="R46" s="511" t="n">
        <f aca="false">IF(INT(R$6/$X45)*$X$7&gt;R44*($X$7+$Z45)*$Y45,R44*($X$7+$Z45)-SUM($B46:Q46),INT(R$6/$X45)*$X$7-R44*($X$7+$Z45)*($Y45-1)-SUM($B46:Q46))+IF($Y45&gt;1,IF(INT(R$6/$X45)&gt;0,$Z45-$AA45,0),-$AA45)</f>
        <v>0</v>
      </c>
      <c r="S46" s="511" t="n">
        <f aca="false">IF(INT(S$6/$X45)*$X$7&gt;S44*($X$7+$Z45)*$Y45,S44*($X$7+$Z45)-SUM($B46:R46),INT(S$6/$X45)*$X$7-S44*($X$7+$Z45)*($Y45-1)-SUM($B46:R46))+IF($Y45&gt;1,IF(INT(S$6/$X45)&gt;0,$Z45-$AA45,0),-$AA45)</f>
        <v>0</v>
      </c>
      <c r="T46" s="511" t="n">
        <f aca="false">IF(INT(T$6/$X45)*$X$7&gt;T44*($X$7+$Z45)*$Y45,T44*($X$7+$Z45)-SUM($B46:S46),INT(T$6/$X45)*$X$7-T44*($X$7+$Z45)*($Y45-1)-SUM($B46:S46))+IF($Y45&gt;1,IF(INT(T$6/$X45)&gt;0,$Z45-$AA45,0),-$AA45)</f>
        <v>0</v>
      </c>
      <c r="U46" s="511" t="n">
        <f aca="false">IF(INT(U$6/$X45)*$X$7&gt;U44*($X$7+$Z45)*$Y45,U44*($X$7+$Z45)-SUM($B46:T46),INT(U$6/$X45)*$X$7-U44*($X$7+$Z45)*($Y45-1)-SUM($B46:T46))+IF($Y45&gt;1,IF(INT(U$6/$X45)&gt;0,$Z45-$AA45,0),-$AA45)</f>
        <v>0</v>
      </c>
      <c r="V46" s="511" t="n">
        <f aca="false">IF(INT(V$6/$X45)*$X$7&gt;V44*($X$7+$Z45)*$Y45,V44*($X$7+$Z45)-SUM($B46:U46),INT(V$6/$X45)*$X$7-V44*($X$7+$Z45)*($Y45-1)-SUM($B46:U46))+IF($Y45&gt;1,IF(INT(V$6/$X45)&gt;0,$Z45-$AA45,0),-$AA45)</f>
        <v>0</v>
      </c>
      <c r="W46" s="803"/>
      <c r="AA46" s="157"/>
      <c r="AB46" s="157"/>
    </row>
    <row r="47" customFormat="false" ht="12.75" hidden="false" customHeight="false" outlineLevel="0" collapsed="false">
      <c r="A47" s="157"/>
      <c r="B47" s="518"/>
      <c r="C47" s="518"/>
      <c r="D47" s="518"/>
      <c r="E47" s="518"/>
      <c r="F47" s="518"/>
      <c r="G47" s="518"/>
      <c r="H47" s="518"/>
      <c r="I47" s="518"/>
      <c r="J47" s="518"/>
      <c r="K47" s="518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785"/>
      <c r="X47" s="157"/>
      <c r="Y47" s="157"/>
      <c r="Z47" s="157"/>
      <c r="AA47" s="157"/>
      <c r="AB47" s="157"/>
    </row>
    <row r="48" customFormat="false" ht="12.75" hidden="true" customHeight="false" outlineLevel="0" collapsed="false">
      <c r="A48" s="153" t="s">
        <v>1395</v>
      </c>
      <c r="B48" s="511"/>
      <c r="C48" s="153" t="n">
        <f aca="false">INT((INT(C$6/$X49)*$X$7+$X$7+$Z49-1)/($X$7+$Z49)/$Y49)</f>
        <v>0</v>
      </c>
      <c r="D48" s="153" t="n">
        <f aca="false">INT((INT(D$6/$X49)*$X$7+$X$7+$Z49-1)/($X$7+$Z49)/$Y49)</f>
        <v>0</v>
      </c>
      <c r="E48" s="153" t="n">
        <f aca="false">INT((INT(E$6/$X49)*$X$7+$X$7+$Z49-1)/($X$7+$Z49)/$Y49)</f>
        <v>0</v>
      </c>
      <c r="F48" s="153" t="n">
        <f aca="false">INT((INT(F$6/$X49)*$X$7+$X$7+$Z49-1)/($X$7+$Z49)/$Y49)</f>
        <v>0</v>
      </c>
      <c r="G48" s="153" t="n">
        <f aca="false">INT((INT(G$6/$X49)*$X$7+$X$7+$Z49-1)/($X$7+$Z49)/$Y49)</f>
        <v>0</v>
      </c>
      <c r="H48" s="153" t="n">
        <f aca="false">INT((INT(H$6/$X49)*$X$7+$X$7+$Z49-1)/($X$7+$Z49)/$Y49)</f>
        <v>0</v>
      </c>
      <c r="I48" s="153" t="n">
        <f aca="false">INT((INT(I$6/$X49)*$X$7+$X$7+$Z49-1)/($X$7+$Z49)/$Y49)</f>
        <v>0</v>
      </c>
      <c r="J48" s="153" t="n">
        <f aca="false">INT((INT(J$6/$X49)*$X$7+$X$7+$Z49-1)/($X$7+$Z49)/$Y49)</f>
        <v>0</v>
      </c>
      <c r="K48" s="153" t="n">
        <f aca="false">INT((INT(K$6/$X49)*$X$7+$X$7+$Z49-1)/($X$7+$Z49)/$Y49)</f>
        <v>0</v>
      </c>
      <c r="L48" s="153" t="n">
        <f aca="false">INT((INT(L$6/$X49)*$X$7+$X$7+$Z49-1)/($X$7+$Z49)/$Y49)</f>
        <v>0</v>
      </c>
      <c r="M48" s="153" t="n">
        <f aca="false">INT((INT(M$6/$X49)*$X$7+$X$7+$Z49-1)/($X$7+$Z49)/$Y49)</f>
        <v>0</v>
      </c>
      <c r="N48" s="153" t="n">
        <f aca="false">INT((INT(N$6/$X49)*$X$7+$X$7+$Z49-1)/($X$7+$Z49)/$Y49)</f>
        <v>0</v>
      </c>
      <c r="O48" s="153" t="n">
        <f aca="false">INT((INT(O$6/$X49)*$X$7+$X$7+$Z49-1)/($X$7+$Z49)/$Y49)</f>
        <v>0</v>
      </c>
      <c r="P48" s="153" t="n">
        <f aca="false">INT((INT(P$6/$X49)*$X$7+$X$7+$Z49-1)/($X$7+$Z49)/$Y49)</f>
        <v>0</v>
      </c>
      <c r="Q48" s="153" t="n">
        <f aca="false">INT((INT(Q$6/$X49)*$X$7+$X$7+$Z49-1)/($X$7+$Z49)/$Y49)</f>
        <v>0</v>
      </c>
      <c r="R48" s="153" t="n">
        <f aca="false">INT((INT(R$6/$X49)*$X$7+$X$7+$Z49-1)/($X$7+$Z49)/$Y49)</f>
        <v>0</v>
      </c>
      <c r="S48" s="153" t="n">
        <f aca="false">INT((INT(S$6/$X49)*$X$7+$X$7+$Z49-1)/($X$7+$Z49)/$Y49)</f>
        <v>0</v>
      </c>
      <c r="T48" s="153" t="n">
        <f aca="false">INT((INT(T$6/$X49)*$X$7+$X$7+$Z49-1)/($X$7+$Z49)/$Y49)</f>
        <v>0</v>
      </c>
      <c r="U48" s="153" t="n">
        <f aca="false">INT((INT(U$6/$X49)*$X$7+$X$7+$Z49-1)/($X$7+$Z49)/$Y49)</f>
        <v>0</v>
      </c>
      <c r="V48" s="153" t="n">
        <f aca="false">INT((INT(V$6/$X49)*$X$7+$X$7+$Z49-1)/($X$7+$Z49)/$Y49)</f>
        <v>0</v>
      </c>
      <c r="W48" s="157"/>
      <c r="X48" s="157"/>
      <c r="Y48" s="157"/>
      <c r="Z48" s="157"/>
      <c r="AA48" s="157"/>
      <c r="AB48" s="157"/>
    </row>
    <row r="49" customFormat="false" ht="12.75" hidden="false" customHeight="false" outlineLevel="0" collapsed="false">
      <c r="A49" s="153" t="s">
        <v>1396</v>
      </c>
      <c r="B49" s="511" t="s">
        <v>1007</v>
      </c>
      <c r="C49" s="511" t="n">
        <f aca="false">IF($Y49=1,0,$X$7*(INT(C$6/$X49)-INT(B$6/$X49))-IF(SUM($B49:B49)&gt;0,C50,0))</f>
        <v>0</v>
      </c>
      <c r="D49" s="511" t="n">
        <f aca="false">IF($Y49=1,0,$X$7*(INT(D$6/$X49)-INT(C$6/$X49))-IF(SUM($B49:C49)&gt;0,D50,0))</f>
        <v>0</v>
      </c>
      <c r="E49" s="511" t="n">
        <f aca="false">IF($Y49=1,0,$X$7*(INT(E$6/$X49)-INT(D$6/$X49))-IF(SUM($B49:D49)&gt;0,E50,0))</f>
        <v>0</v>
      </c>
      <c r="F49" s="511" t="n">
        <f aca="false">IF($Y49=1,0,$X$7*(INT(F$6/$X49)-INT(E$6/$X49))-IF(SUM($B49:E49)&gt;0,F50,0))</f>
        <v>0</v>
      </c>
      <c r="G49" s="511" t="n">
        <f aca="false">IF($Y49=1,0,$X$7*(INT(G$6/$X49)-INT(F$6/$X49))-IF(SUM($B49:F49)&gt;0,G50,0))</f>
        <v>0</v>
      </c>
      <c r="H49" s="511" t="n">
        <f aca="false">IF($Y49=1,0,$X$7*(INT(H$6/$X49)-INT(G$6/$X49))-IF(SUM($B49:G49)&gt;0,H50,0))</f>
        <v>0</v>
      </c>
      <c r="I49" s="511" t="n">
        <f aca="false">IF($Y49=1,0,$X$7*(INT(I$6/$X49)-INT(H$6/$X49))-IF(SUM($B49:H49)&gt;0,I50,0))</f>
        <v>0</v>
      </c>
      <c r="J49" s="511" t="n">
        <f aca="false">IF($Y49=1,0,$X$7*(INT(J$6/$X49)-INT(I$6/$X49))-IF(SUM($B49:I49)&gt;0,J50,0))</f>
        <v>0</v>
      </c>
      <c r="K49" s="511" t="n">
        <f aca="false">IF($Y49=1,0,$X$7*(INT(K$6/$X49)-INT(J$6/$X49))-IF(SUM($B49:J49)&gt;0,K50,0))</f>
        <v>0</v>
      </c>
      <c r="L49" s="511" t="n">
        <f aca="false">IF($Y49=1,0,$X$7*(INT(L$6/$X49)-INT(K$6/$X49))-IF(SUM($B49:K49)&gt;0,L50,0))</f>
        <v>0</v>
      </c>
      <c r="M49" s="511" t="n">
        <f aca="false">IF($Y49=1,0,$X$7*(INT(M$6/$X49)-INT(L$6/$X49))-IF(SUM($B49:L49)&gt;0,M50,0))</f>
        <v>0</v>
      </c>
      <c r="N49" s="511" t="n">
        <f aca="false">IF($Y49=1,0,$X$7*(INT(N$6/$X49)-INT(M$6/$X49))-IF(SUM($B49:M49)&gt;0,N50,0))</f>
        <v>0</v>
      </c>
      <c r="O49" s="511" t="n">
        <f aca="false">IF($Y49=1,0,$X$7*(INT(O$6/$X49)-INT(N$6/$X49))-IF(SUM($B49:N49)&gt;0,O50,0))</f>
        <v>0</v>
      </c>
      <c r="P49" s="511" t="n">
        <f aca="false">IF($Y49=1,0,$X$7*(INT(P$6/$X49)-INT(O$6/$X49))-IF(SUM($B49:O49)&gt;0,P50,0))</f>
        <v>0</v>
      </c>
      <c r="Q49" s="511" t="n">
        <f aca="false">IF($Y49=1,0,$X$7*(INT(Q$6/$X49)-INT(P$6/$X49))-IF(SUM($B49:P49)&gt;0,Q50,0))</f>
        <v>0</v>
      </c>
      <c r="R49" s="511" t="n">
        <f aca="false">IF($Y49=1,0,$X$7*(INT(R$6/$X49)-INT(Q$6/$X49))-IF(SUM($B49:Q49)&gt;0,R50,0))</f>
        <v>0</v>
      </c>
      <c r="S49" s="511" t="n">
        <f aca="false">IF($Y49=1,0,$X$7*(INT(S$6/$X49)-INT(R$6/$X49))-IF(SUM($B49:R49)&gt;0,S50,0))</f>
        <v>0</v>
      </c>
      <c r="T49" s="511" t="n">
        <f aca="false">IF($Y49=1,0,$X$7*(INT(T$6/$X49)-INT(S$6/$X49))-IF(SUM($B49:S49)&gt;0,T50,0))</f>
        <v>0</v>
      </c>
      <c r="U49" s="511" t="n">
        <f aca="false">IF($Y49=1,0,$X$7*(INT(U$6/$X49)-INT(T$6/$X49))-IF(SUM($B49:T49)&gt;0,U50,0))</f>
        <v>0</v>
      </c>
      <c r="V49" s="511" t="n">
        <f aca="false">IF($Y49=1,0,$X$7*(INT(V$6/$X49)-INT(U$6/$X49))-IF(SUM($B49:U49)&gt;0,V50,0))</f>
        <v>0</v>
      </c>
      <c r="W49" s="800" t="str">
        <f aca="false">'GT schd cost(W501D5)'!A22</f>
        <v>Row 4 Blades</v>
      </c>
      <c r="X49" s="800" t="n">
        <f aca="false">IF($AD$6=1,'GTDB(W501D5)'!B25,'GTDB(W501D5)'!G25)</f>
        <v>48000</v>
      </c>
      <c r="Y49" s="800" t="n">
        <f aca="false">IF($AD$6=1,'GTDB(W501D5)'!C25,'GTDB(W501D5)'!H25)</f>
        <v>2</v>
      </c>
      <c r="Z49" s="801" t="n">
        <v>1</v>
      </c>
      <c r="AA49" s="805" t="n">
        <f aca="false">'Initial_Spares(W501D5)'!$E$19</f>
        <v>0</v>
      </c>
      <c r="AB49" s="764" t="n">
        <f aca="false">'GT schd cost(W501D5)'!X22+'GT schd cost(W501D5)'!X48</f>
        <v>0</v>
      </c>
    </row>
    <row r="50" customFormat="false" ht="12.75" hidden="false" customHeight="false" outlineLevel="0" collapsed="false">
      <c r="A50" s="153" t="s">
        <v>1397</v>
      </c>
      <c r="B50" s="511" t="s">
        <v>1007</v>
      </c>
      <c r="C50" s="511" t="n">
        <f aca="false">IF(INT(C$6/$X49)*$X$7&gt;C48*($X$7+$Z49)*$Y49,C48*($X$7+$Z49)-SUM($B50:B50),INT(C$6/$X49)*$X$7-C48*($X$7+$Z49)*($Y49-1)-SUM($B50:B50))+IF($Y49&gt;1,IF(INT(C$6/$X49)&gt;0,$Z49-$AA49,0),-$AA49)</f>
        <v>0</v>
      </c>
      <c r="D50" s="511" t="n">
        <f aca="false">IF(INT(D$6/$X49)*$X$7&gt;D48*($X$7+$Z49)*$Y49,D48*($X$7+$Z49)-SUM($B50:C50),INT(D$6/$X49)*$X$7-D48*($X$7+$Z49)*($Y49-1)-SUM($B50:C50))+IF($Y49&gt;1,IF(INT(D$6/$X49)&gt;0,$Z49-$AA49,0),-$AA49)</f>
        <v>0</v>
      </c>
      <c r="E50" s="511" t="n">
        <f aca="false">IF(INT(E$6/$X49)*$X$7&gt;E48*($X$7+$Z49)*$Y49,E48*($X$7+$Z49)-SUM($B50:D50),INT(E$6/$X49)*$X$7-E48*($X$7+$Z49)*($Y49-1)-SUM($B50:D50))+IF($Y49&gt;1,IF(INT(E$6/$X49)&gt;0,$Z49-$AA49,0),-$AA49)</f>
        <v>0</v>
      </c>
      <c r="F50" s="511" t="n">
        <f aca="false">IF(INT(F$6/$X49)*$X$7&gt;F48*($X$7+$Z49)*$Y49,F48*($X$7+$Z49)-SUM($B50:E50),INT(F$6/$X49)*$X$7-F48*($X$7+$Z49)*($Y49-1)-SUM($B50:E50))+IF($Y49&gt;1,IF(INT(F$6/$X49)&gt;0,$Z49-$AA49,0),-$AA49)</f>
        <v>0</v>
      </c>
      <c r="G50" s="511" t="n">
        <f aca="false">IF(INT(G$6/$X49)*$X$7&gt;G48*($X$7+$Z49)*$Y49,G48*($X$7+$Z49)-SUM($B50:F50),INT(G$6/$X49)*$X$7-G48*($X$7+$Z49)*($Y49-1)-SUM($B50:F50))+IF($Y49&gt;1,IF(INT(G$6/$X49)&gt;0,$Z49-$AA49,0),-$AA49)</f>
        <v>0</v>
      </c>
      <c r="H50" s="511" t="n">
        <f aca="false">IF(INT(H$6/$X49)*$X$7&gt;H48*($X$7+$Z49)*$Y49,H48*($X$7+$Z49)-SUM($B50:G50),INT(H$6/$X49)*$X$7-H48*($X$7+$Z49)*($Y49-1)-SUM($B50:G50))+IF($Y49&gt;1,IF(INT(H$6/$X49)&gt;0,$Z49-$AA49,0),-$AA49)</f>
        <v>0</v>
      </c>
      <c r="I50" s="511" t="n">
        <f aca="false">IF(INT(I$6/$X49)*$X$7&gt;I48*($X$7+$Z49)*$Y49,I48*($X$7+$Z49)-SUM($B50:H50),INT(I$6/$X49)*$X$7-I48*($X$7+$Z49)*($Y49-1)-SUM($B50:H50))+IF($Y49&gt;1,IF(INT(I$6/$X49)&gt;0,$Z49-$AA49,0),-$AA49)</f>
        <v>0</v>
      </c>
      <c r="J50" s="511" t="n">
        <f aca="false">IF(INT(J$6/$X49)*$X$7&gt;J48*($X$7+$Z49)*$Y49,J48*($X$7+$Z49)-SUM($B50:I50),INT(J$6/$X49)*$X$7-J48*($X$7+$Z49)*($Y49-1)-SUM($B50:I50))+IF($Y49&gt;1,IF(INT(J$6/$X49)&gt;0,$Z49-$AA49,0),-$AA49)</f>
        <v>0</v>
      </c>
      <c r="K50" s="511" t="n">
        <f aca="false">IF(INT(K$6/$X49)*$X$7&gt;K48*($X$7+$Z49)*$Y49,K48*($X$7+$Z49)-SUM($B50:J50),INT(K$6/$X49)*$X$7-K48*($X$7+$Z49)*($Y49-1)-SUM($B50:J50))+IF($Y49&gt;1,IF(INT(K$6/$X49)&gt;0,$Z49-$AA49,0),-$AA49)</f>
        <v>0</v>
      </c>
      <c r="L50" s="511" t="n">
        <f aca="false">IF(INT(L$6/$X49)*$X$7&gt;L48*($X$7+$Z49)*$Y49,L48*($X$7+$Z49)-SUM($B50:K50),INT(L$6/$X49)*$X$7-L48*($X$7+$Z49)*($Y49-1)-SUM($B50:K50))+IF($Y49&gt;1,IF(INT(L$6/$X49)&gt;0,$Z49-$AA49,0),-$AA49)</f>
        <v>0</v>
      </c>
      <c r="M50" s="511" t="n">
        <f aca="false">IF(INT(M$6/$X49)*$X$7&gt;M48*($X$7+$Z49)*$Y49,M48*($X$7+$Z49)-SUM($B50:L50),INT(M$6/$X49)*$X$7-M48*($X$7+$Z49)*($Y49-1)-SUM($B50:L50))+IF($Y49&gt;1,IF(INT(M$6/$X49)&gt;0,$Z49-$AA49,0),-$AA49)</f>
        <v>0</v>
      </c>
      <c r="N50" s="511" t="n">
        <f aca="false">IF(INT(N$6/$X49)*$X$7&gt;N48*($X$7+$Z49)*$Y49,N48*($X$7+$Z49)-SUM($B50:M50),INT(N$6/$X49)*$X$7-N48*($X$7+$Z49)*($Y49-1)-SUM($B50:M50))+IF($Y49&gt;1,IF(INT(N$6/$X49)&gt;0,$Z49-$AA49,0),-$AA49)</f>
        <v>0</v>
      </c>
      <c r="O50" s="511" t="n">
        <f aca="false">IF(INT(O$6/$X49)*$X$7&gt;O48*($X$7+$Z49)*$Y49,O48*($X$7+$Z49)-SUM($B50:N50),INT(O$6/$X49)*$X$7-O48*($X$7+$Z49)*($Y49-1)-SUM($B50:N50))+IF($Y49&gt;1,IF(INT(O$6/$X49)&gt;0,$Z49-$AA49,0),-$AA49)</f>
        <v>0</v>
      </c>
      <c r="P50" s="511" t="n">
        <f aca="false">IF(INT(P$6/$X49)*$X$7&gt;P48*($X$7+$Z49)*$Y49,P48*($X$7+$Z49)-SUM($B50:O50),INT(P$6/$X49)*$X$7-P48*($X$7+$Z49)*($Y49-1)-SUM($B50:O50))+IF($Y49&gt;1,IF(INT(P$6/$X49)&gt;0,$Z49-$AA49,0),-$AA49)</f>
        <v>0</v>
      </c>
      <c r="Q50" s="511" t="n">
        <f aca="false">IF(INT(Q$6/$X49)*$X$7&gt;Q48*($X$7+$Z49)*$Y49,Q48*($X$7+$Z49)-SUM($B50:P50),INT(Q$6/$X49)*$X$7-Q48*($X$7+$Z49)*($Y49-1)-SUM($B50:P50))+IF($Y49&gt;1,IF(INT(Q$6/$X49)&gt;0,$Z49-$AA49,0),-$AA49)</f>
        <v>0</v>
      </c>
      <c r="R50" s="511" t="n">
        <f aca="false">IF(INT(R$6/$X49)*$X$7&gt;R48*($X$7+$Z49)*$Y49,R48*($X$7+$Z49)-SUM($B50:Q50),INT(R$6/$X49)*$X$7-R48*($X$7+$Z49)*($Y49-1)-SUM($B50:Q50))+IF($Y49&gt;1,IF(INT(R$6/$X49)&gt;0,$Z49-$AA49,0),-$AA49)</f>
        <v>0</v>
      </c>
      <c r="S50" s="511" t="n">
        <f aca="false">IF(INT(S$6/$X49)*$X$7&gt;S48*($X$7+$Z49)*$Y49,S48*($X$7+$Z49)-SUM($B50:R50),INT(S$6/$X49)*$X$7-S48*($X$7+$Z49)*($Y49-1)-SUM($B50:R50))+IF($Y49&gt;1,IF(INT(S$6/$X49)&gt;0,$Z49-$AA49,0),-$AA49)</f>
        <v>0</v>
      </c>
      <c r="T50" s="511" t="n">
        <f aca="false">IF(INT(T$6/$X49)*$X$7&gt;T48*($X$7+$Z49)*$Y49,T48*($X$7+$Z49)-SUM($B50:S50),INT(T$6/$X49)*$X$7-T48*($X$7+$Z49)*($Y49-1)-SUM($B50:S50))+IF($Y49&gt;1,IF(INT(T$6/$X49)&gt;0,$Z49-$AA49,0),-$AA49)</f>
        <v>0</v>
      </c>
      <c r="U50" s="511" t="n">
        <f aca="false">IF(INT(U$6/$X49)*$X$7&gt;U48*($X$7+$Z49)*$Y49,U48*($X$7+$Z49)-SUM($B50:T50),INT(U$6/$X49)*$X$7-U48*($X$7+$Z49)*($Y49-1)-SUM($B50:T50))+IF($Y49&gt;1,IF(INT(U$6/$X49)&gt;0,$Z49-$AA49,0),-$AA49)</f>
        <v>0</v>
      </c>
      <c r="V50" s="511" t="n">
        <f aca="false">IF(INT(V$6/$X49)*$X$7&gt;V48*($X$7+$Z49)*$Y49,V48*($X$7+$Z49)-SUM($B50:U50),INT(V$6/$X49)*$X$7-V48*($X$7+$Z49)*($Y49-1)-SUM($B50:U50))+IF($Y49&gt;1,IF(INT(V$6/$X49)&gt;0,$Z49-$AA49,0),-$AA49)</f>
        <v>0</v>
      </c>
      <c r="W50" s="803"/>
      <c r="AA50" s="157"/>
      <c r="AB50" s="157"/>
    </row>
    <row r="51" customFormat="false" ht="12.75" hidden="false" customHeight="false" outlineLevel="0" collapsed="false">
      <c r="A51" s="157"/>
      <c r="B51" s="157"/>
      <c r="C51" s="518"/>
      <c r="D51" s="518"/>
      <c r="E51" s="518"/>
      <c r="F51" s="518"/>
      <c r="G51" s="518"/>
      <c r="H51" s="518"/>
      <c r="I51" s="518"/>
      <c r="J51" s="518"/>
      <c r="K51" s="518"/>
      <c r="L51" s="518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785"/>
      <c r="X51" s="157"/>
      <c r="Y51" s="157"/>
      <c r="Z51" s="157"/>
      <c r="AA51" s="157"/>
      <c r="AB51" s="157"/>
    </row>
    <row r="52" customFormat="false" ht="12.75" hidden="true" customHeight="false" outlineLevel="0" collapsed="false">
      <c r="A52" s="153" t="s">
        <v>1395</v>
      </c>
      <c r="B52" s="511"/>
      <c r="C52" s="153" t="n">
        <f aca="false">INT((INT(C$6/$X53)*$X$7+$X$7+$Z53-1)/($X$7+$Z53)/$Y53)</f>
        <v>0</v>
      </c>
      <c r="D52" s="153" t="n">
        <f aca="false">INT((INT(D$6/$X53)*$X$7+$X$7+$Z53-1)/($X$7+$Z53)/$Y53)</f>
        <v>0</v>
      </c>
      <c r="E52" s="153" t="n">
        <f aca="false">INT((INT(E$6/$X53)*$X$7+$X$7+$Z53-1)/($X$7+$Z53)/$Y53)</f>
        <v>0</v>
      </c>
      <c r="F52" s="153" t="n">
        <f aca="false">INT((INT(F$6/$X53)*$X$7+$X$7+$Z53-1)/($X$7+$Z53)/$Y53)</f>
        <v>0</v>
      </c>
      <c r="G52" s="153" t="n">
        <f aca="false">INT((INT(G$6/$X53)*$X$7+$X$7+$Z53-1)/($X$7+$Z53)/$Y53)</f>
        <v>0</v>
      </c>
      <c r="H52" s="153" t="n">
        <f aca="false">INT((INT(H$6/$X53)*$X$7+$X$7+$Z53-1)/($X$7+$Z53)/$Y53)</f>
        <v>0</v>
      </c>
      <c r="I52" s="153" t="n">
        <f aca="false">INT((INT(I$6/$X53)*$X$7+$X$7+$Z53-1)/($X$7+$Z53)/$Y53)</f>
        <v>0</v>
      </c>
      <c r="J52" s="153" t="n">
        <f aca="false">INT((INT(J$6/$X53)*$X$7+$X$7+$Z53-1)/($X$7+$Z53)/$Y53)</f>
        <v>0</v>
      </c>
      <c r="K52" s="153" t="n">
        <f aca="false">INT((INT(K$6/$X53)*$X$7+$X$7+$Z53-1)/($X$7+$Z53)/$Y53)</f>
        <v>0</v>
      </c>
      <c r="L52" s="153" t="n">
        <f aca="false">INT((INT(L$6/$X53)*$X$7+$X$7+$Z53-1)/($X$7+$Z53)/$Y53)</f>
        <v>0</v>
      </c>
      <c r="M52" s="153" t="n">
        <f aca="false">INT((INT(M$6/$X53)*$X$7+$X$7+$Z53-1)/($X$7+$Z53)/$Y53)</f>
        <v>0</v>
      </c>
      <c r="N52" s="153" t="n">
        <f aca="false">INT((INT(N$6/$X53)*$X$7+$X$7+$Z53-1)/($X$7+$Z53)/$Y53)</f>
        <v>0</v>
      </c>
      <c r="O52" s="153" t="n">
        <f aca="false">INT((INT(O$6/$X53)*$X$7+$X$7+$Z53-1)/($X$7+$Z53)/$Y53)</f>
        <v>0</v>
      </c>
      <c r="P52" s="153" t="n">
        <f aca="false">INT((INT(P$6/$X53)*$X$7+$X$7+$Z53-1)/($X$7+$Z53)/$Y53)</f>
        <v>0</v>
      </c>
      <c r="Q52" s="153" t="n">
        <f aca="false">INT((INT(Q$6/$X53)*$X$7+$X$7+$Z53-1)/($X$7+$Z53)/$Y53)</f>
        <v>0</v>
      </c>
      <c r="R52" s="153" t="n">
        <f aca="false">INT((INT(R$6/$X53)*$X$7+$X$7+$Z53-1)/($X$7+$Z53)/$Y53)</f>
        <v>0</v>
      </c>
      <c r="S52" s="153" t="n">
        <f aca="false">INT((INT(S$6/$X53)*$X$7+$X$7+$Z53-1)/($X$7+$Z53)/$Y53)</f>
        <v>0</v>
      </c>
      <c r="T52" s="153" t="n">
        <f aca="false">INT((INT(T$6/$X53)*$X$7+$X$7+$Z53-1)/($X$7+$Z53)/$Y53)</f>
        <v>0</v>
      </c>
      <c r="U52" s="153" t="n">
        <f aca="false">INT((INT(U$6/$X53)*$X$7+$X$7+$Z53-1)/($X$7+$Z53)/$Y53)</f>
        <v>0</v>
      </c>
      <c r="V52" s="153" t="n">
        <f aca="false">INT((INT(V$6/$X53)*$X$7+$X$7+$Z53-1)/($X$7+$Z53)/$Y53)</f>
        <v>0</v>
      </c>
      <c r="W52" s="157"/>
      <c r="X52" s="157"/>
      <c r="Y52" s="157"/>
      <c r="Z52" s="157"/>
      <c r="AA52" s="157"/>
      <c r="AB52" s="157"/>
    </row>
    <row r="53" customFormat="false" ht="12.75" hidden="false" customHeight="false" outlineLevel="0" collapsed="false">
      <c r="A53" s="153" t="s">
        <v>1396</v>
      </c>
      <c r="B53" s="511" t="s">
        <v>1007</v>
      </c>
      <c r="C53" s="511" t="n">
        <f aca="false">IF($Y53=1,0,$X$7*(INT(C$6/$X53)-INT(B$6/$X53))-IF(SUM($B53:B53)&gt;0,C54,0))</f>
        <v>0</v>
      </c>
      <c r="D53" s="511" t="n">
        <f aca="false">IF($Y53=1,0,$X$7*(INT(D$6/$X53)-INT(C$6/$X53))-IF(SUM($B53:C53)&gt;0,D54,0))</f>
        <v>0</v>
      </c>
      <c r="E53" s="511" t="n">
        <f aca="false">IF($Y53=1,0,$X$7*(INT(E$6/$X53)-INT(D$6/$X53))-IF(SUM($B53:D53)&gt;0,E54,0))</f>
        <v>0</v>
      </c>
      <c r="F53" s="511" t="n">
        <f aca="false">IF($Y53=1,0,$X$7*(INT(F$6/$X53)-INT(E$6/$X53))-IF(SUM($B53:E53)&gt;0,F54,0))</f>
        <v>0</v>
      </c>
      <c r="G53" s="511" t="n">
        <f aca="false">IF($Y53=1,0,$X$7*(INT(G$6/$X53)-INT(F$6/$X53))-IF(SUM($B53:F53)&gt;0,G54,0))</f>
        <v>0</v>
      </c>
      <c r="H53" s="511" t="n">
        <f aca="false">IF($Y53=1,0,$X$7*(INT(H$6/$X53)-INT(G$6/$X53))-IF(SUM($B53:G53)&gt;0,H54,0))</f>
        <v>0</v>
      </c>
      <c r="I53" s="511" t="n">
        <f aca="false">IF($Y53=1,0,$X$7*(INT(I$6/$X53)-INT(H$6/$X53))-IF(SUM($B53:H53)&gt;0,I54,0))</f>
        <v>0</v>
      </c>
      <c r="J53" s="511" t="n">
        <f aca="false">IF($Y53=1,0,$X$7*(INT(J$6/$X53)-INT(I$6/$X53))-IF(SUM($B53:I53)&gt;0,J54,0))</f>
        <v>0</v>
      </c>
      <c r="K53" s="511" t="n">
        <f aca="false">IF($Y53=1,0,$X$7*(INT(K$6/$X53)-INT(J$6/$X53))-IF(SUM($B53:J53)&gt;0,K54,0))</f>
        <v>0</v>
      </c>
      <c r="L53" s="511" t="n">
        <f aca="false">IF($Y53=1,0,$X$7*(INT(L$6/$X53)-INT(K$6/$X53))-IF(SUM($B53:K53)&gt;0,L54,0))</f>
        <v>0</v>
      </c>
      <c r="M53" s="511" t="n">
        <f aca="false">IF($Y53=1,0,$X$7*(INT(M$6/$X53)-INT(L$6/$X53))-IF(SUM($B53:L53)&gt;0,M54,0))</f>
        <v>0</v>
      </c>
      <c r="N53" s="511" t="n">
        <f aca="false">IF($Y53=1,0,$X$7*(INT(N$6/$X53)-INT(M$6/$X53))-IF(SUM($B53:M53)&gt;0,N54,0))</f>
        <v>0</v>
      </c>
      <c r="O53" s="511" t="n">
        <f aca="false">IF($Y53=1,0,$X$7*(INT(O$6/$X53)-INT(N$6/$X53))-IF(SUM($B53:N53)&gt;0,O54,0))</f>
        <v>0</v>
      </c>
      <c r="P53" s="511" t="n">
        <f aca="false">IF($Y53=1,0,$X$7*(INT(P$6/$X53)-INT(O$6/$X53))-IF(SUM($B53:O53)&gt;0,P54,0))</f>
        <v>0</v>
      </c>
      <c r="Q53" s="511" t="n">
        <f aca="false">IF($Y53=1,0,$X$7*(INT(Q$6/$X53)-INT(P$6/$X53))-IF(SUM($B53:P53)&gt;0,Q54,0))</f>
        <v>0</v>
      </c>
      <c r="R53" s="511" t="n">
        <f aca="false">IF($Y53=1,0,$X$7*(INT(R$6/$X53)-INT(Q$6/$X53))-IF(SUM($B53:Q53)&gt;0,R54,0))</f>
        <v>0</v>
      </c>
      <c r="S53" s="511" t="n">
        <f aca="false">IF($Y53=1,0,$X$7*(INT(S$6/$X53)-INT(R$6/$X53))-IF(SUM($B53:R53)&gt;0,S54,0))</f>
        <v>0</v>
      </c>
      <c r="T53" s="511" t="n">
        <f aca="false">IF($Y53=1,0,$X$7*(INT(T$6/$X53)-INT(S$6/$X53))-IF(SUM($B53:S53)&gt;0,T54,0))</f>
        <v>0</v>
      </c>
      <c r="U53" s="511" t="n">
        <f aca="false">IF($Y53=1,0,$X$7*(INT(U$6/$X53)-INT(T$6/$X53))-IF(SUM($B53:T53)&gt;0,U54,0))</f>
        <v>0</v>
      </c>
      <c r="V53" s="511" t="n">
        <f aca="false">IF($Y53=1,0,$X$7*(INT(V$6/$X53)-INT(U$6/$X53))-IF(SUM($B53:U53)&gt;0,V54,0))</f>
        <v>0</v>
      </c>
      <c r="W53" s="800" t="str">
        <f aca="false">'GT schd cost(W501D5)'!A23</f>
        <v>Row 1 Vanes </v>
      </c>
      <c r="X53" s="800" t="n">
        <f aca="false">IF($AD$6=1,'GTDB(W501D5)'!B26,'GTDB(W501D5)'!G26)</f>
        <v>24000</v>
      </c>
      <c r="Y53" s="800" t="n">
        <f aca="false">IF($AD$6=1,'GTDB(W501D5)'!C26,'GTDB(W501D5)'!H26)</f>
        <v>2</v>
      </c>
      <c r="Z53" s="801" t="n">
        <v>1</v>
      </c>
      <c r="AA53" s="805" t="n">
        <f aca="false">'Initial_Spares(W501D5)'!$E$20</f>
        <v>0</v>
      </c>
      <c r="AB53" s="764" t="n">
        <f aca="false">'GT schd cost(W501D5)'!X23+'GT schd cost(W501D5)'!X49</f>
        <v>0</v>
      </c>
    </row>
    <row r="54" customFormat="false" ht="12.75" hidden="false" customHeight="false" outlineLevel="0" collapsed="false">
      <c r="A54" s="153" t="s">
        <v>1397</v>
      </c>
      <c r="B54" s="511" t="s">
        <v>1007</v>
      </c>
      <c r="C54" s="511" t="n">
        <f aca="false">IF(INT(C$6/$X53)*$X$7&gt;C52*($X$7+$Z53)*$Y53,C52*($X$7+$Z53)-SUM($B54:B54),INT(C$6/$X53)*$X$7-C52*($X$7+$Z53)*($Y53-1)-SUM($B54:B54))+IF($Y53&gt;1,IF(INT(C$6/$X53)&gt;0,$Z53-$AA53,0),-$AA53)</f>
        <v>0</v>
      </c>
      <c r="D54" s="511" t="n">
        <f aca="false">IF(INT(D$6/$X53)*$X$7&gt;D52*($X$7+$Z53)*$Y53,D52*($X$7+$Z53)-SUM($B54:C54),INT(D$6/$X53)*$X$7-D52*($X$7+$Z53)*($Y53-1)-SUM($B54:C54))+IF($Y53&gt;1,IF(INT(D$6/$X53)&gt;0,$Z53-$AA53,0),-$AA53)</f>
        <v>0</v>
      </c>
      <c r="E54" s="511" t="n">
        <f aca="false">IF(INT(E$6/$X53)*$X$7&gt;E52*($X$7+$Z53)*$Y53,E52*($X$7+$Z53)-SUM($B54:D54),INT(E$6/$X53)*$X$7-E52*($X$7+$Z53)*($Y53-1)-SUM($B54:D54))+IF($Y53&gt;1,IF(INT(E$6/$X53)&gt;0,$Z53-$AA53,0),-$AA53)</f>
        <v>0</v>
      </c>
      <c r="F54" s="511" t="n">
        <f aca="false">IF(INT(F$6/$X53)*$X$7&gt;F52*($X$7+$Z53)*$Y53,F52*($X$7+$Z53)-SUM($B54:E54),INT(F$6/$X53)*$X$7-F52*($X$7+$Z53)*($Y53-1)-SUM($B54:E54))+IF($Y53&gt;1,IF(INT(F$6/$X53)&gt;0,$Z53-$AA53,0),-$AA53)</f>
        <v>0</v>
      </c>
      <c r="G54" s="511" t="n">
        <f aca="false">IF(INT(G$6/$X53)*$X$7&gt;G52*($X$7+$Z53)*$Y53,G52*($X$7+$Z53)-SUM($B54:F54),INT(G$6/$X53)*$X$7-G52*($X$7+$Z53)*($Y53-1)-SUM($B54:F54))+IF($Y53&gt;1,IF(INT(G$6/$X53)&gt;0,$Z53-$AA53,0),-$AA53)</f>
        <v>0</v>
      </c>
      <c r="H54" s="511" t="n">
        <f aca="false">IF(INT(H$6/$X53)*$X$7&gt;H52*($X$7+$Z53)*$Y53,H52*($X$7+$Z53)-SUM($B54:G54),INT(H$6/$X53)*$X$7-H52*($X$7+$Z53)*($Y53-1)-SUM($B54:G54))+IF($Y53&gt;1,IF(INT(H$6/$X53)&gt;0,$Z53-$AA53,0),-$AA53)</f>
        <v>0</v>
      </c>
      <c r="I54" s="511" t="n">
        <f aca="false">IF(INT(I$6/$X53)*$X$7&gt;I52*($X$7+$Z53)*$Y53,I52*($X$7+$Z53)-SUM($B54:H54),INT(I$6/$X53)*$X$7-I52*($X$7+$Z53)*($Y53-1)-SUM($B54:H54))+IF($Y53&gt;1,IF(INT(I$6/$X53)&gt;0,$Z53-$AA53,0),-$AA53)</f>
        <v>0</v>
      </c>
      <c r="J54" s="511" t="n">
        <f aca="false">IF(INT(J$6/$X53)*$X$7&gt;J52*($X$7+$Z53)*$Y53,J52*($X$7+$Z53)-SUM($B54:I54),INT(J$6/$X53)*$X$7-J52*($X$7+$Z53)*($Y53-1)-SUM($B54:I54))+IF($Y53&gt;1,IF(INT(J$6/$X53)&gt;0,$Z53-$AA53,0),-$AA53)</f>
        <v>0</v>
      </c>
      <c r="K54" s="511" t="n">
        <f aca="false">IF(INT(K$6/$X53)*$X$7&gt;K52*($X$7+$Z53)*$Y53,K52*($X$7+$Z53)-SUM($B54:J54),INT(K$6/$X53)*$X$7-K52*($X$7+$Z53)*($Y53-1)-SUM($B54:J54))+IF($Y53&gt;1,IF(INT(K$6/$X53)&gt;0,$Z53-$AA53,0),-$AA53)</f>
        <v>0</v>
      </c>
      <c r="L54" s="511" t="n">
        <f aca="false">IF(INT(L$6/$X53)*$X$7&gt;L52*($X$7+$Z53)*$Y53,L52*($X$7+$Z53)-SUM($B54:K54),INT(L$6/$X53)*$X$7-L52*($X$7+$Z53)*($Y53-1)-SUM($B54:K54))+IF($Y53&gt;1,IF(INT(L$6/$X53)&gt;0,$Z53-$AA53,0),-$AA53)</f>
        <v>0</v>
      </c>
      <c r="M54" s="511" t="n">
        <f aca="false">IF(INT(M$6/$X53)*$X$7&gt;M52*($X$7+$Z53)*$Y53,M52*($X$7+$Z53)-SUM($B54:L54),INT(M$6/$X53)*$X$7-M52*($X$7+$Z53)*($Y53-1)-SUM($B54:L54))+IF($Y53&gt;1,IF(INT(M$6/$X53)&gt;0,$Z53-$AA53,0),-$AA53)</f>
        <v>0</v>
      </c>
      <c r="N54" s="511" t="n">
        <f aca="false">IF(INT(N$6/$X53)*$X$7&gt;N52*($X$7+$Z53)*$Y53,N52*($X$7+$Z53)-SUM($B54:M54),INT(N$6/$X53)*$X$7-N52*($X$7+$Z53)*($Y53-1)-SUM($B54:M54))+IF($Y53&gt;1,IF(INT(N$6/$X53)&gt;0,$Z53-$AA53,0),-$AA53)</f>
        <v>0</v>
      </c>
      <c r="O54" s="511" t="n">
        <f aca="false">IF(INT(O$6/$X53)*$X$7&gt;O52*($X$7+$Z53)*$Y53,O52*($X$7+$Z53)-SUM($B54:N54),INT(O$6/$X53)*$X$7-O52*($X$7+$Z53)*($Y53-1)-SUM($B54:N54))+IF($Y53&gt;1,IF(INT(O$6/$X53)&gt;0,$Z53-$AA53,0),-$AA53)</f>
        <v>0</v>
      </c>
      <c r="P54" s="511" t="n">
        <f aca="false">IF(INT(P$6/$X53)*$X$7&gt;P52*($X$7+$Z53)*$Y53,P52*($X$7+$Z53)-SUM($B54:O54),INT(P$6/$X53)*$X$7-P52*($X$7+$Z53)*($Y53-1)-SUM($B54:O54))+IF($Y53&gt;1,IF(INT(P$6/$X53)&gt;0,$Z53-$AA53,0),-$AA53)</f>
        <v>0</v>
      </c>
      <c r="Q54" s="511" t="n">
        <f aca="false">IF(INT(Q$6/$X53)*$X$7&gt;Q52*($X$7+$Z53)*$Y53,Q52*($X$7+$Z53)-SUM($B54:P54),INT(Q$6/$X53)*$X$7-Q52*($X$7+$Z53)*($Y53-1)-SUM($B54:P54))+IF($Y53&gt;1,IF(INT(Q$6/$X53)&gt;0,$Z53-$AA53,0),-$AA53)</f>
        <v>0</v>
      </c>
      <c r="R54" s="511" t="n">
        <f aca="false">IF(INT(R$6/$X53)*$X$7&gt;R52*($X$7+$Z53)*$Y53,R52*($X$7+$Z53)-SUM($B54:Q54),INT(R$6/$X53)*$X$7-R52*($X$7+$Z53)*($Y53-1)-SUM($B54:Q54))+IF($Y53&gt;1,IF(INT(R$6/$X53)&gt;0,$Z53-$AA53,0),-$AA53)</f>
        <v>0</v>
      </c>
      <c r="S54" s="511" t="n">
        <f aca="false">IF(INT(S$6/$X53)*$X$7&gt;S52*($X$7+$Z53)*$Y53,S52*($X$7+$Z53)-SUM($B54:R54),INT(S$6/$X53)*$X$7-S52*($X$7+$Z53)*($Y53-1)-SUM($B54:R54))+IF($Y53&gt;1,IF(INT(S$6/$X53)&gt;0,$Z53-$AA53,0),-$AA53)</f>
        <v>0</v>
      </c>
      <c r="T54" s="511" t="n">
        <f aca="false">IF(INT(T$6/$X53)*$X$7&gt;T52*($X$7+$Z53)*$Y53,T52*($X$7+$Z53)-SUM($B54:S54),INT(T$6/$X53)*$X$7-T52*($X$7+$Z53)*($Y53-1)-SUM($B54:S54))+IF($Y53&gt;1,IF(INT(T$6/$X53)&gt;0,$Z53-$AA53,0),-$AA53)</f>
        <v>0</v>
      </c>
      <c r="U54" s="511" t="n">
        <f aca="false">IF(INT(U$6/$X53)*$X$7&gt;U52*($X$7+$Z53)*$Y53,U52*($X$7+$Z53)-SUM($B54:T54),INT(U$6/$X53)*$X$7-U52*($X$7+$Z53)*($Y53-1)-SUM($B54:T54))+IF($Y53&gt;1,IF(INT(U$6/$X53)&gt;0,$Z53-$AA53,0),-$AA53)</f>
        <v>0</v>
      </c>
      <c r="V54" s="511" t="n">
        <f aca="false">IF(INT(V$6/$X53)*$X$7&gt;V52*($X$7+$Z53)*$Y53,V52*($X$7+$Z53)-SUM($B54:U54),INT(V$6/$X53)*$X$7-V52*($X$7+$Z53)*($Y53-1)-SUM($B54:U54))+IF($Y53&gt;1,IF(INT(V$6/$X53)&gt;0,$Z53-$AA53,0),-$AA53)</f>
        <v>0</v>
      </c>
      <c r="W54" s="803"/>
      <c r="AA54" s="157"/>
      <c r="AB54" s="157"/>
    </row>
    <row r="55" customFormat="false" ht="12.75" hidden="false" customHeight="false" outlineLevel="0" collapsed="false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790"/>
      <c r="X55" s="157"/>
      <c r="Y55" s="157"/>
      <c r="Z55" s="157"/>
      <c r="AA55" s="157"/>
      <c r="AB55" s="157"/>
    </row>
    <row r="56" customFormat="false" ht="12.75" hidden="true" customHeight="false" outlineLevel="0" collapsed="false">
      <c r="A56" s="153" t="s">
        <v>1395</v>
      </c>
      <c r="B56" s="511"/>
      <c r="C56" s="153" t="n">
        <f aca="false">INT((INT(C$6/$X57)*$X$7+$X$7+$Z57-1)/($X$7+$Z57)/$Y57)</f>
        <v>0</v>
      </c>
      <c r="D56" s="153" t="n">
        <f aca="false">INT((INT(D$6/$X57)*$X$7+$X$7+$Z57-1)/($X$7+$Z57)/$Y57)</f>
        <v>0</v>
      </c>
      <c r="E56" s="153" t="n">
        <f aca="false">INT((INT(E$6/$X57)*$X$7+$X$7+$Z57-1)/($X$7+$Z57)/$Y57)</f>
        <v>0</v>
      </c>
      <c r="F56" s="153" t="n">
        <f aca="false">INT((INT(F$6/$X57)*$X$7+$X$7+$Z57-1)/($X$7+$Z57)/$Y57)</f>
        <v>0</v>
      </c>
      <c r="G56" s="153" t="n">
        <f aca="false">INT((INT(G$6/$X57)*$X$7+$X$7+$Z57-1)/($X$7+$Z57)/$Y57)</f>
        <v>0</v>
      </c>
      <c r="H56" s="153" t="n">
        <f aca="false">INT((INT(H$6/$X57)*$X$7+$X$7+$Z57-1)/($X$7+$Z57)/$Y57)</f>
        <v>0</v>
      </c>
      <c r="I56" s="153" t="n">
        <f aca="false">INT((INT(I$6/$X57)*$X$7+$X$7+$Z57-1)/($X$7+$Z57)/$Y57)</f>
        <v>0</v>
      </c>
      <c r="J56" s="153" t="n">
        <f aca="false">INT((INT(J$6/$X57)*$X$7+$X$7+$Z57-1)/($X$7+$Z57)/$Y57)</f>
        <v>0</v>
      </c>
      <c r="K56" s="153" t="n">
        <f aca="false">INT((INT(K$6/$X57)*$X$7+$X$7+$Z57-1)/($X$7+$Z57)/$Y57)</f>
        <v>0</v>
      </c>
      <c r="L56" s="153" t="n">
        <f aca="false">INT((INT(L$6/$X57)*$X$7+$X$7+$Z57-1)/($X$7+$Z57)/$Y57)</f>
        <v>0</v>
      </c>
      <c r="M56" s="153" t="n">
        <f aca="false">INT((INT(M$6/$X57)*$X$7+$X$7+$Z57-1)/($X$7+$Z57)/$Y57)</f>
        <v>0</v>
      </c>
      <c r="N56" s="153" t="n">
        <f aca="false">INT((INT(N$6/$X57)*$X$7+$X$7+$Z57-1)/($X$7+$Z57)/$Y57)</f>
        <v>0</v>
      </c>
      <c r="O56" s="153" t="n">
        <f aca="false">INT((INT(O$6/$X57)*$X$7+$X$7+$Z57-1)/($X$7+$Z57)/$Y57)</f>
        <v>0</v>
      </c>
      <c r="P56" s="153" t="n">
        <f aca="false">INT((INT(P$6/$X57)*$X$7+$X$7+$Z57-1)/($X$7+$Z57)/$Y57)</f>
        <v>0</v>
      </c>
      <c r="Q56" s="153" t="n">
        <f aca="false">INT((INT(Q$6/$X57)*$X$7+$X$7+$Z57-1)/($X$7+$Z57)/$Y57)</f>
        <v>0</v>
      </c>
      <c r="R56" s="153" t="n">
        <f aca="false">INT((INT(R$6/$X57)*$X$7+$X$7+$Z57-1)/($X$7+$Z57)/$Y57)</f>
        <v>0</v>
      </c>
      <c r="S56" s="153" t="n">
        <f aca="false">INT((INT(S$6/$X57)*$X$7+$X$7+$Z57-1)/($X$7+$Z57)/$Y57)</f>
        <v>0</v>
      </c>
      <c r="T56" s="153" t="n">
        <f aca="false">INT((INT(T$6/$X57)*$X$7+$X$7+$Z57-1)/($X$7+$Z57)/$Y57)</f>
        <v>0</v>
      </c>
      <c r="U56" s="153" t="n">
        <f aca="false">INT((INT(U$6/$X57)*$X$7+$X$7+$Z57-1)/($X$7+$Z57)/$Y57)</f>
        <v>0</v>
      </c>
      <c r="V56" s="153" t="n">
        <f aca="false">INT((INT(V$6/$X57)*$X$7+$X$7+$Z57-1)/($X$7+$Z57)/$Y57)</f>
        <v>0</v>
      </c>
      <c r="W56" s="157"/>
      <c r="X56" s="157"/>
      <c r="Y56" s="157"/>
      <c r="Z56" s="157"/>
      <c r="AA56" s="157"/>
      <c r="AB56" s="157"/>
    </row>
    <row r="57" customFormat="false" ht="12.75" hidden="false" customHeight="false" outlineLevel="0" collapsed="false">
      <c r="A57" s="153" t="s">
        <v>1396</v>
      </c>
      <c r="B57" s="511" t="s">
        <v>1007</v>
      </c>
      <c r="C57" s="511" t="n">
        <f aca="false">IF($Y57=1,0,$X$7*(INT(C$6/$X57)-INT(B$6/$X57))-IF(SUM($B57:B57)&gt;0,C58,0))</f>
        <v>0</v>
      </c>
      <c r="D57" s="511" t="n">
        <f aca="false">IF($Y57=1,0,$X$7*(INT(D$6/$X57)-INT(C$6/$X57))-IF(SUM($B57:C57)&gt;0,D58,0))</f>
        <v>0</v>
      </c>
      <c r="E57" s="511" t="n">
        <f aca="false">IF($Y57=1,0,$X$7*(INT(E$6/$X57)-INT(D$6/$X57))-IF(SUM($B57:D57)&gt;0,E58,0))</f>
        <v>0</v>
      </c>
      <c r="F57" s="511" t="n">
        <f aca="false">IF($Y57=1,0,$X$7*(INT(F$6/$X57)-INT(E$6/$X57))-IF(SUM($B57:E57)&gt;0,F58,0))</f>
        <v>0</v>
      </c>
      <c r="G57" s="511" t="n">
        <f aca="false">IF($Y57=1,0,$X$7*(INT(G$6/$X57)-INT(F$6/$X57))-IF(SUM($B57:F57)&gt;0,G58,0))</f>
        <v>0</v>
      </c>
      <c r="H57" s="511" t="n">
        <f aca="false">IF($Y57=1,0,$X$7*(INT(H$6/$X57)-INT(G$6/$X57))-IF(SUM($B57:G57)&gt;0,H58,0))</f>
        <v>0</v>
      </c>
      <c r="I57" s="511" t="n">
        <f aca="false">IF($Y57=1,0,$X$7*(INT(I$6/$X57)-INT(H$6/$X57))-IF(SUM($B57:H57)&gt;0,I58,0))</f>
        <v>0</v>
      </c>
      <c r="J57" s="511" t="n">
        <f aca="false">IF($Y57=1,0,$X$7*(INT(J$6/$X57)-INT(I$6/$X57))-IF(SUM($B57:I57)&gt;0,J58,0))</f>
        <v>0</v>
      </c>
      <c r="K57" s="511" t="n">
        <f aca="false">IF($Y57=1,0,$X$7*(INT(K$6/$X57)-INT(J$6/$X57))-IF(SUM($B57:J57)&gt;0,K58,0))</f>
        <v>0</v>
      </c>
      <c r="L57" s="511" t="n">
        <f aca="false">IF($Y57=1,0,$X$7*(INT(L$6/$X57)-INT(K$6/$X57))-IF(SUM($B57:K57)&gt;0,L58,0))</f>
        <v>0</v>
      </c>
      <c r="M57" s="511" t="n">
        <f aca="false">IF($Y57=1,0,$X$7*(INT(M$6/$X57)-INT(L$6/$X57))-IF(SUM($B57:L57)&gt;0,M58,0))</f>
        <v>0</v>
      </c>
      <c r="N57" s="511" t="n">
        <f aca="false">IF($Y57=1,0,$X$7*(INT(N$6/$X57)-INT(M$6/$X57))-IF(SUM($B57:M57)&gt;0,N58,0))</f>
        <v>0</v>
      </c>
      <c r="O57" s="511" t="n">
        <f aca="false">IF($Y57=1,0,$X$7*(INT(O$6/$X57)-INT(N$6/$X57))-IF(SUM($B57:N57)&gt;0,O58,0))</f>
        <v>0</v>
      </c>
      <c r="P57" s="511" t="n">
        <f aca="false">IF($Y57=1,0,$X$7*(INT(P$6/$X57)-INT(O$6/$X57))-IF(SUM($B57:O57)&gt;0,P58,0))</f>
        <v>0</v>
      </c>
      <c r="Q57" s="511" t="n">
        <f aca="false">IF($Y57=1,0,$X$7*(INT(Q$6/$X57)-INT(P$6/$X57))-IF(SUM($B57:P57)&gt;0,Q58,0))</f>
        <v>0</v>
      </c>
      <c r="R57" s="511" t="n">
        <f aca="false">IF($Y57=1,0,$X$7*(INT(R$6/$X57)-INT(Q$6/$X57))-IF(SUM($B57:Q57)&gt;0,R58,0))</f>
        <v>0</v>
      </c>
      <c r="S57" s="511" t="n">
        <f aca="false">IF($Y57=1,0,$X$7*(INT(S$6/$X57)-INT(R$6/$X57))-IF(SUM($B57:R57)&gt;0,S58,0))</f>
        <v>0</v>
      </c>
      <c r="T57" s="511" t="n">
        <f aca="false">IF($Y57=1,0,$X$7*(INT(T$6/$X57)-INT(S$6/$X57))-IF(SUM($B57:S57)&gt;0,T58,0))</f>
        <v>0</v>
      </c>
      <c r="U57" s="511" t="n">
        <f aca="false">IF($Y57=1,0,$X$7*(INT(U$6/$X57)-INT(T$6/$X57))-IF(SUM($B57:T57)&gt;0,U58,0))</f>
        <v>0</v>
      </c>
      <c r="V57" s="511" t="n">
        <f aca="false">IF($Y57=1,0,$X$7*(INT(V$6/$X57)-INT(U$6/$X57))-IF(SUM($B57:U57)&gt;0,V58,0))</f>
        <v>0</v>
      </c>
      <c r="W57" s="800" t="str">
        <f aca="false">'GT schd cost(W501D5)'!A24</f>
        <v>Row 2 Vanes</v>
      </c>
      <c r="X57" s="800" t="n">
        <f aca="false">IF($AD$6=1,'GTDB(W501D5)'!B27,'GTDB(W501D5)'!G27)</f>
        <v>24000</v>
      </c>
      <c r="Y57" s="800" t="n">
        <f aca="false">IF($AD$6=1,'GTDB(W501D5)'!C27,'GTDB(W501D5)'!H27)</f>
        <v>3</v>
      </c>
      <c r="Z57" s="801" t="n">
        <v>1</v>
      </c>
      <c r="AA57" s="805" t="n">
        <f aca="false">'Initial_Spares(W501D5)'!$E$21</f>
        <v>0</v>
      </c>
      <c r="AB57" s="764" t="n">
        <f aca="false">'GT schd cost(W501D5)'!X24+'GT schd cost(W501D5)'!X50</f>
        <v>0</v>
      </c>
    </row>
    <row r="58" customFormat="false" ht="12.75" hidden="false" customHeight="false" outlineLevel="0" collapsed="false">
      <c r="A58" s="153" t="s">
        <v>1397</v>
      </c>
      <c r="B58" s="511" t="s">
        <v>1007</v>
      </c>
      <c r="C58" s="511" t="n">
        <f aca="false">IF(INT(C$6/$X57)*$X$7&gt;C56*($X$7+$Z57)*$Y57,C56*($X$7+$Z57)-SUM($B58:B58),INT(C$6/$X57)*$X$7-C56*($X$7+$Z57)*($Y57-1)-SUM($B58:B58))+IF($Y57&gt;1,IF(INT(C$6/$X57)&gt;0,$Z57-$AA57,0),-$AA57)</f>
        <v>0</v>
      </c>
      <c r="D58" s="511" t="n">
        <f aca="false">IF(INT(D$6/$X57)*$X$7&gt;D56*($X$7+$Z57)*$Y57,D56*($X$7+$Z57)-SUM($B58:C58),INT(D$6/$X57)*$X$7-D56*($X$7+$Z57)*($Y57-1)-SUM($B58:C58))+IF($Y57&gt;1,IF(INT(D$6/$X57)&gt;0,$Z57-$AA57,0),-$AA57)</f>
        <v>0</v>
      </c>
      <c r="E58" s="511" t="n">
        <f aca="false">IF(INT(E$6/$X57)*$X$7&gt;E56*($X$7+$Z57)*$Y57,E56*($X$7+$Z57)-SUM($B58:D58),INT(E$6/$X57)*$X$7-E56*($X$7+$Z57)*($Y57-1)-SUM($B58:D58))+IF($Y57&gt;1,IF(INT(E$6/$X57)&gt;0,$Z57-$AA57,0),-$AA57)</f>
        <v>0</v>
      </c>
      <c r="F58" s="511" t="n">
        <f aca="false">IF(INT(F$6/$X57)*$X$7&gt;F56*($X$7+$Z57)*$Y57,F56*($X$7+$Z57)-SUM($B58:E58),INT(F$6/$X57)*$X$7-F56*($X$7+$Z57)*($Y57-1)-SUM($B58:E58))+IF($Y57&gt;1,IF(INT(F$6/$X57)&gt;0,$Z57-$AA57,0),-$AA57)</f>
        <v>0</v>
      </c>
      <c r="G58" s="511" t="n">
        <f aca="false">IF(INT(G$6/$X57)*$X$7&gt;G56*($X$7+$Z57)*$Y57,G56*($X$7+$Z57)-SUM($B58:F58),INT(G$6/$X57)*$X$7-G56*($X$7+$Z57)*($Y57-1)-SUM($B58:F58))+IF($Y57&gt;1,IF(INT(G$6/$X57)&gt;0,$Z57-$AA57,0),-$AA57)</f>
        <v>0</v>
      </c>
      <c r="H58" s="511" t="n">
        <f aca="false">IF(INT(H$6/$X57)*$X$7&gt;H56*($X$7+$Z57)*$Y57,H56*($X$7+$Z57)-SUM($B58:G58),INT(H$6/$X57)*$X$7-H56*($X$7+$Z57)*($Y57-1)-SUM($B58:G58))+IF($Y57&gt;1,IF(INT(H$6/$X57)&gt;0,$Z57-$AA57,0),-$AA57)</f>
        <v>0</v>
      </c>
      <c r="I58" s="511" t="n">
        <f aca="false">IF(INT(I$6/$X57)*$X$7&gt;I56*($X$7+$Z57)*$Y57,I56*($X$7+$Z57)-SUM($B58:H58),INT(I$6/$X57)*$X$7-I56*($X$7+$Z57)*($Y57-1)-SUM($B58:H58))+IF($Y57&gt;1,IF(INT(I$6/$X57)&gt;0,$Z57-$AA57,0),-$AA57)</f>
        <v>0</v>
      </c>
      <c r="J58" s="511" t="n">
        <f aca="false">IF(INT(J$6/$X57)*$X$7&gt;J56*($X$7+$Z57)*$Y57,J56*($X$7+$Z57)-SUM($B58:I58),INT(J$6/$X57)*$X$7-J56*($X$7+$Z57)*($Y57-1)-SUM($B58:I58))+IF($Y57&gt;1,IF(INT(J$6/$X57)&gt;0,$Z57-$AA57,0),-$AA57)</f>
        <v>0</v>
      </c>
      <c r="K58" s="511" t="n">
        <f aca="false">IF(INT(K$6/$X57)*$X$7&gt;K56*($X$7+$Z57)*$Y57,K56*($X$7+$Z57)-SUM($B58:J58),INT(K$6/$X57)*$X$7-K56*($X$7+$Z57)*($Y57-1)-SUM($B58:J58))+IF($Y57&gt;1,IF(INT(K$6/$X57)&gt;0,$Z57-$AA57,0),-$AA57)</f>
        <v>0</v>
      </c>
      <c r="L58" s="511" t="n">
        <f aca="false">IF(INT(L$6/$X57)*$X$7&gt;L56*($X$7+$Z57)*$Y57,L56*($X$7+$Z57)-SUM($B58:K58),INT(L$6/$X57)*$X$7-L56*($X$7+$Z57)*($Y57-1)-SUM($B58:K58))+IF($Y57&gt;1,IF(INT(L$6/$X57)&gt;0,$Z57-$AA57,0),-$AA57)</f>
        <v>0</v>
      </c>
      <c r="M58" s="511" t="n">
        <f aca="false">IF(INT(M$6/$X57)*$X$7&gt;M56*($X$7+$Z57)*$Y57,M56*($X$7+$Z57)-SUM($B58:L58),INT(M$6/$X57)*$X$7-M56*($X$7+$Z57)*($Y57-1)-SUM($B58:L58))+IF($Y57&gt;1,IF(INT(M$6/$X57)&gt;0,$Z57-$AA57,0),-$AA57)</f>
        <v>0</v>
      </c>
      <c r="N58" s="511" t="n">
        <f aca="false">IF(INT(N$6/$X57)*$X$7&gt;N56*($X$7+$Z57)*$Y57,N56*($X$7+$Z57)-SUM($B58:M58),INT(N$6/$X57)*$X$7-N56*($X$7+$Z57)*($Y57-1)-SUM($B58:M58))+IF($Y57&gt;1,IF(INT(N$6/$X57)&gt;0,$Z57-$AA57,0),-$AA57)</f>
        <v>0</v>
      </c>
      <c r="O58" s="511" t="n">
        <f aca="false">IF(INT(O$6/$X57)*$X$7&gt;O56*($X$7+$Z57)*$Y57,O56*($X$7+$Z57)-SUM($B58:N58),INT(O$6/$X57)*$X$7-O56*($X$7+$Z57)*($Y57-1)-SUM($B58:N58))+IF($Y57&gt;1,IF(INT(O$6/$X57)&gt;0,$Z57-$AA57,0),-$AA57)</f>
        <v>0</v>
      </c>
      <c r="P58" s="511" t="n">
        <f aca="false">IF(INT(P$6/$X57)*$X$7&gt;P56*($X$7+$Z57)*$Y57,P56*($X$7+$Z57)-SUM($B58:O58),INT(P$6/$X57)*$X$7-P56*($X$7+$Z57)*($Y57-1)-SUM($B58:O58))+IF($Y57&gt;1,IF(INT(P$6/$X57)&gt;0,$Z57-$AA57,0),-$AA57)</f>
        <v>0</v>
      </c>
      <c r="Q58" s="511" t="n">
        <f aca="false">IF(INT(Q$6/$X57)*$X$7&gt;Q56*($X$7+$Z57)*$Y57,Q56*($X$7+$Z57)-SUM($B58:P58),INT(Q$6/$X57)*$X$7-Q56*($X$7+$Z57)*($Y57-1)-SUM($B58:P58))+IF($Y57&gt;1,IF(INT(Q$6/$X57)&gt;0,$Z57-$AA57,0),-$AA57)</f>
        <v>0</v>
      </c>
      <c r="R58" s="511" t="n">
        <f aca="false">IF(INT(R$6/$X57)*$X$7&gt;R56*($X$7+$Z57)*$Y57,R56*($X$7+$Z57)-SUM($B58:Q58),INT(R$6/$X57)*$X$7-R56*($X$7+$Z57)*($Y57-1)-SUM($B58:Q58))+IF($Y57&gt;1,IF(INT(R$6/$X57)&gt;0,$Z57-$AA57,0),-$AA57)</f>
        <v>0</v>
      </c>
      <c r="S58" s="511" t="n">
        <f aca="false">IF(INT(S$6/$X57)*$X$7&gt;S56*($X$7+$Z57)*$Y57,S56*($X$7+$Z57)-SUM($B58:R58),INT(S$6/$X57)*$X$7-S56*($X$7+$Z57)*($Y57-1)-SUM($B58:R58))+IF($Y57&gt;1,IF(INT(S$6/$X57)&gt;0,$Z57-$AA57,0),-$AA57)</f>
        <v>0</v>
      </c>
      <c r="T58" s="511" t="n">
        <f aca="false">IF(INT(T$6/$X57)*$X$7&gt;T56*($X$7+$Z57)*$Y57,T56*($X$7+$Z57)-SUM($B58:S58),INT(T$6/$X57)*$X$7-T56*($X$7+$Z57)*($Y57-1)-SUM($B58:S58))+IF($Y57&gt;1,IF(INT(T$6/$X57)&gt;0,$Z57-$AA57,0),-$AA57)</f>
        <v>0</v>
      </c>
      <c r="U58" s="511" t="n">
        <f aca="false">IF(INT(U$6/$X57)*$X$7&gt;U56*($X$7+$Z57)*$Y57,U56*($X$7+$Z57)-SUM($B58:T58),INT(U$6/$X57)*$X$7-U56*($X$7+$Z57)*($Y57-1)-SUM($B58:T58))+IF($Y57&gt;1,IF(INT(U$6/$X57)&gt;0,$Z57-$AA57,0),-$AA57)</f>
        <v>0</v>
      </c>
      <c r="V58" s="511" t="n">
        <f aca="false">IF(INT(V$6/$X57)*$X$7&gt;V56*($X$7+$Z57)*$Y57,V56*($X$7+$Z57)-SUM($B58:U58),INT(V$6/$X57)*$X$7-V56*($X$7+$Z57)*($Y57-1)-SUM($B58:U58))+IF($Y57&gt;1,IF(INT(V$6/$X57)&gt;0,$Z57-$AA57,0),-$AA57)</f>
        <v>0</v>
      </c>
      <c r="W58" s="803"/>
      <c r="AA58" s="157"/>
      <c r="AB58" s="157"/>
    </row>
    <row r="59" customFormat="false" ht="12.75" hidden="false" customHeight="false" outlineLevel="0" collapsed="false">
      <c r="A59" s="157"/>
      <c r="B59" s="518"/>
      <c r="C59" s="518"/>
      <c r="D59" s="518"/>
      <c r="E59" s="518"/>
      <c r="F59" s="518"/>
      <c r="G59" s="518"/>
      <c r="H59" s="518"/>
      <c r="I59" s="518"/>
      <c r="J59" s="518"/>
      <c r="K59" s="518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785"/>
      <c r="X59" s="157"/>
      <c r="Y59" s="157"/>
      <c r="Z59" s="157"/>
      <c r="AA59" s="157"/>
      <c r="AB59" s="157"/>
    </row>
    <row r="60" customFormat="false" ht="12.75" hidden="true" customHeight="false" outlineLevel="0" collapsed="false">
      <c r="A60" s="153" t="s">
        <v>1395</v>
      </c>
      <c r="B60" s="511"/>
      <c r="C60" s="153" t="n">
        <f aca="false">INT((INT(C$6/$X61)*$X$7+$X$7+$Z61-1)/($X$7+$Z61)/$Y61)</f>
        <v>0</v>
      </c>
      <c r="D60" s="153" t="n">
        <f aca="false">INT((INT(D$6/$X61)*$X$7+$X$7+$Z61-1)/($X$7+$Z61)/$Y61)</f>
        <v>0</v>
      </c>
      <c r="E60" s="153" t="n">
        <f aca="false">INT((INT(E$6/$X61)*$X$7+$X$7+$Z61-1)/($X$7+$Z61)/$Y61)</f>
        <v>0</v>
      </c>
      <c r="F60" s="153" t="n">
        <f aca="false">INT((INT(F$6/$X61)*$X$7+$X$7+$Z61-1)/($X$7+$Z61)/$Y61)</f>
        <v>0</v>
      </c>
      <c r="G60" s="153" t="n">
        <f aca="false">INT((INT(G$6/$X61)*$X$7+$X$7+$Z61-1)/($X$7+$Z61)/$Y61)</f>
        <v>0</v>
      </c>
      <c r="H60" s="153" t="n">
        <f aca="false">INT((INT(H$6/$X61)*$X$7+$X$7+$Z61-1)/($X$7+$Z61)/$Y61)</f>
        <v>0</v>
      </c>
      <c r="I60" s="153" t="n">
        <f aca="false">INT((INT(I$6/$X61)*$X$7+$X$7+$Z61-1)/($X$7+$Z61)/$Y61)</f>
        <v>0</v>
      </c>
      <c r="J60" s="153" t="n">
        <f aca="false">INT((INT(J$6/$X61)*$X$7+$X$7+$Z61-1)/($X$7+$Z61)/$Y61)</f>
        <v>0</v>
      </c>
      <c r="K60" s="153" t="n">
        <f aca="false">INT((INT(K$6/$X61)*$X$7+$X$7+$Z61-1)/($X$7+$Z61)/$Y61)</f>
        <v>0</v>
      </c>
      <c r="L60" s="153" t="n">
        <f aca="false">INT((INT(L$6/$X61)*$X$7+$X$7+$Z61-1)/($X$7+$Z61)/$Y61)</f>
        <v>0</v>
      </c>
      <c r="M60" s="153" t="n">
        <f aca="false">INT((INT(M$6/$X61)*$X$7+$X$7+$Z61-1)/($X$7+$Z61)/$Y61)</f>
        <v>0</v>
      </c>
      <c r="N60" s="153" t="n">
        <f aca="false">INT((INT(N$6/$X61)*$X$7+$X$7+$Z61-1)/($X$7+$Z61)/$Y61)</f>
        <v>0</v>
      </c>
      <c r="O60" s="153" t="n">
        <f aca="false">INT((INT(O$6/$X61)*$X$7+$X$7+$Z61-1)/($X$7+$Z61)/$Y61)</f>
        <v>0</v>
      </c>
      <c r="P60" s="153" t="n">
        <f aca="false">INT((INT(P$6/$X61)*$X$7+$X$7+$Z61-1)/($X$7+$Z61)/$Y61)</f>
        <v>0</v>
      </c>
      <c r="Q60" s="153" t="n">
        <f aca="false">INT((INT(Q$6/$X61)*$X$7+$X$7+$Z61-1)/($X$7+$Z61)/$Y61)</f>
        <v>0</v>
      </c>
      <c r="R60" s="153" t="n">
        <f aca="false">INT((INT(R$6/$X61)*$X$7+$X$7+$Z61-1)/($X$7+$Z61)/$Y61)</f>
        <v>0</v>
      </c>
      <c r="S60" s="153" t="n">
        <f aca="false">INT((INT(S$6/$X61)*$X$7+$X$7+$Z61-1)/($X$7+$Z61)/$Y61)</f>
        <v>0</v>
      </c>
      <c r="T60" s="153" t="n">
        <f aca="false">INT((INT(T$6/$X61)*$X$7+$X$7+$Z61-1)/($X$7+$Z61)/$Y61)</f>
        <v>0</v>
      </c>
      <c r="U60" s="153" t="n">
        <f aca="false">INT((INT(U$6/$X61)*$X$7+$X$7+$Z61-1)/($X$7+$Z61)/$Y61)</f>
        <v>0</v>
      </c>
      <c r="V60" s="153" t="n">
        <f aca="false">INT((INT(V$6/$X61)*$X$7+$X$7+$Z61-1)/($X$7+$Z61)/$Y61)</f>
        <v>0</v>
      </c>
      <c r="W60" s="157"/>
      <c r="X60" s="157"/>
      <c r="Y60" s="157"/>
      <c r="Z60" s="157"/>
      <c r="AA60" s="157"/>
      <c r="AB60" s="157"/>
    </row>
    <row r="61" customFormat="false" ht="12.75" hidden="false" customHeight="false" outlineLevel="0" collapsed="false">
      <c r="A61" s="153" t="s">
        <v>1396</v>
      </c>
      <c r="B61" s="511" t="s">
        <v>1007</v>
      </c>
      <c r="C61" s="511" t="n">
        <f aca="false">IF($Y61=1,0,$X$7*(INT(C$6/$X61)-INT(B$6/$X61))-IF(SUM($B61:B61)&gt;0,C62,0))</f>
        <v>0</v>
      </c>
      <c r="D61" s="511" t="n">
        <f aca="false">IF($Y61=1,0,$X$7*(INT(D$6/$X61)-INT(C$6/$X61))-IF(SUM($B61:C61)&gt;0,D62,0))</f>
        <v>0</v>
      </c>
      <c r="E61" s="511" t="n">
        <f aca="false">IF($Y61=1,0,$X$7*(INT(E$6/$X61)-INT(D$6/$X61))-IF(SUM($B61:D61)&gt;0,E62,0))</f>
        <v>0</v>
      </c>
      <c r="F61" s="511" t="n">
        <f aca="false">IF($Y61=1,0,$X$7*(INT(F$6/$X61)-INT(E$6/$X61))-IF(SUM($B61:E61)&gt;0,F62,0))</f>
        <v>0</v>
      </c>
      <c r="G61" s="511" t="n">
        <f aca="false">IF($Y61=1,0,$X$7*(INT(G$6/$X61)-INT(F$6/$X61))-IF(SUM($B61:F61)&gt;0,G62,0))</f>
        <v>0</v>
      </c>
      <c r="H61" s="511" t="n">
        <f aca="false">IF($Y61=1,0,$X$7*(INT(H$6/$X61)-INT(G$6/$X61))-IF(SUM($B61:G61)&gt;0,H62,0))</f>
        <v>0</v>
      </c>
      <c r="I61" s="511" t="n">
        <f aca="false">IF($Y61=1,0,$X$7*(INT(I$6/$X61)-INT(H$6/$X61))-IF(SUM($B61:H61)&gt;0,I62,0))</f>
        <v>0</v>
      </c>
      <c r="J61" s="511" t="n">
        <f aca="false">IF($Y61=1,0,$X$7*(INT(J$6/$X61)-INT(I$6/$X61))-IF(SUM($B61:I61)&gt;0,J62,0))</f>
        <v>0</v>
      </c>
      <c r="K61" s="511" t="n">
        <f aca="false">IF($Y61=1,0,$X$7*(INT(K$6/$X61)-INT(J$6/$X61))-IF(SUM($B61:J61)&gt;0,K62,0))</f>
        <v>0</v>
      </c>
      <c r="L61" s="511" t="n">
        <f aca="false">IF($Y61=1,0,$X$7*(INT(L$6/$X61)-INT(K$6/$X61))-IF(SUM($B61:K61)&gt;0,L62,0))</f>
        <v>0</v>
      </c>
      <c r="M61" s="511" t="n">
        <f aca="false">IF($Y61=1,0,$X$7*(INT(M$6/$X61)-INT(L$6/$X61))-IF(SUM($B61:L61)&gt;0,M62,0))</f>
        <v>0</v>
      </c>
      <c r="N61" s="511" t="n">
        <f aca="false">IF($Y61=1,0,$X$7*(INT(N$6/$X61)-INT(M$6/$X61))-IF(SUM($B61:M61)&gt;0,N62,0))</f>
        <v>0</v>
      </c>
      <c r="O61" s="511" t="n">
        <f aca="false">IF($Y61=1,0,$X$7*(INT(O$6/$X61)-INT(N$6/$X61))-IF(SUM($B61:N61)&gt;0,O62,0))</f>
        <v>0</v>
      </c>
      <c r="P61" s="511" t="n">
        <f aca="false">IF($Y61=1,0,$X$7*(INT(P$6/$X61)-INT(O$6/$X61))-IF(SUM($B61:O61)&gt;0,P62,0))</f>
        <v>0</v>
      </c>
      <c r="Q61" s="511" t="n">
        <f aca="false">IF($Y61=1,0,$X$7*(INT(Q$6/$X61)-INT(P$6/$X61))-IF(SUM($B61:P61)&gt;0,Q62,0))</f>
        <v>0</v>
      </c>
      <c r="R61" s="511" t="n">
        <f aca="false">IF($Y61=1,0,$X$7*(INT(R$6/$X61)-INT(Q$6/$X61))-IF(SUM($B61:Q61)&gt;0,R62,0))</f>
        <v>0</v>
      </c>
      <c r="S61" s="511" t="n">
        <f aca="false">IF($Y61=1,0,$X$7*(INT(S$6/$X61)-INT(R$6/$X61))-IF(SUM($B61:R61)&gt;0,S62,0))</f>
        <v>0</v>
      </c>
      <c r="T61" s="511" t="n">
        <f aca="false">IF($Y61=1,0,$X$7*(INT(T$6/$X61)-INT(S$6/$X61))-IF(SUM($B61:S61)&gt;0,T62,0))</f>
        <v>0</v>
      </c>
      <c r="U61" s="511" t="n">
        <f aca="false">IF($Y61=1,0,$X$7*(INT(U$6/$X61)-INT(T$6/$X61))-IF(SUM($B61:T61)&gt;0,U62,0))</f>
        <v>0</v>
      </c>
      <c r="V61" s="511" t="n">
        <f aca="false">IF($Y61=1,0,$X$7*(INT(V$6/$X61)-INT(U$6/$X61))-IF(SUM($B61:U61)&gt;0,V62,0))</f>
        <v>0</v>
      </c>
      <c r="W61" s="800" t="str">
        <f aca="false">'GT schd cost(W501D5)'!A25</f>
        <v>Row 3 Vanes</v>
      </c>
      <c r="X61" s="800" t="n">
        <f aca="false">IF($AD$6=1,'GTDB(W501D5)'!B28,'GTDB(W501D5)'!G28)</f>
        <v>48000</v>
      </c>
      <c r="Y61" s="800" t="n">
        <f aca="false">IF($AD$6=1,'GTDB(W501D5)'!C28,'GTDB(W501D5)'!H28)</f>
        <v>2</v>
      </c>
      <c r="Z61" s="801" t="n">
        <v>1</v>
      </c>
      <c r="AA61" s="805" t="n">
        <f aca="false">'Initial_Spares(W501D5)'!$E$22</f>
        <v>0</v>
      </c>
      <c r="AB61" s="764" t="n">
        <f aca="false">'GT schd cost(W501D5)'!X25+'GT schd cost(W501D5)'!X51</f>
        <v>0</v>
      </c>
    </row>
    <row r="62" customFormat="false" ht="12.75" hidden="false" customHeight="false" outlineLevel="0" collapsed="false">
      <c r="A62" s="153" t="s">
        <v>1397</v>
      </c>
      <c r="B62" s="511" t="s">
        <v>1007</v>
      </c>
      <c r="C62" s="511" t="n">
        <f aca="false">IF(INT(C$6/$X61)*$X$7&gt;C60*($X$7+$Z61)*$Y61,C60*($X$7+$Z61)-SUM($B62:B62),INT(C$6/$X61)*$X$7-C60*($X$7+$Z61)*($Y61-1)-SUM($B62:B62))+IF($Y61&gt;1,IF(INT(C$6/$X61)&gt;0,$Z61-$AA61,0),-$AA61)</f>
        <v>0</v>
      </c>
      <c r="D62" s="511" t="n">
        <f aca="false">IF(INT(D$6/$X61)*$X$7&gt;D60*($X$7+$Z61)*$Y61,D60*($X$7+$Z61)-SUM($B62:C62),INT(D$6/$X61)*$X$7-D60*($X$7+$Z61)*($Y61-1)-SUM($B62:C62))+IF($Y61&gt;1,IF(INT(D$6/$X61)&gt;0,$Z61-$AA61,0),-$AA61)</f>
        <v>0</v>
      </c>
      <c r="E62" s="511" t="n">
        <f aca="false">IF(INT(E$6/$X61)*$X$7&gt;E60*($X$7+$Z61)*$Y61,E60*($X$7+$Z61)-SUM($B62:D62),INT(E$6/$X61)*$X$7-E60*($X$7+$Z61)*($Y61-1)-SUM($B62:D62))+IF($Y61&gt;1,IF(INT(E$6/$X61)&gt;0,$Z61-$AA61,0),-$AA61)</f>
        <v>0</v>
      </c>
      <c r="F62" s="511" t="n">
        <f aca="false">IF(INT(F$6/$X61)*$X$7&gt;F60*($X$7+$Z61)*$Y61,F60*($X$7+$Z61)-SUM($B62:E62),INT(F$6/$X61)*$X$7-F60*($X$7+$Z61)*($Y61-1)-SUM($B62:E62))+IF($Y61&gt;1,IF(INT(F$6/$X61)&gt;0,$Z61-$AA61,0),-$AA61)</f>
        <v>0</v>
      </c>
      <c r="G62" s="511" t="n">
        <f aca="false">IF(INT(G$6/$X61)*$X$7&gt;G60*($X$7+$Z61)*$Y61,G60*($X$7+$Z61)-SUM($B62:F62),INT(G$6/$X61)*$X$7-G60*($X$7+$Z61)*($Y61-1)-SUM($B62:F62))+IF($Y61&gt;1,IF(INT(G$6/$X61)&gt;0,$Z61-$AA61,0),-$AA61)</f>
        <v>0</v>
      </c>
      <c r="H62" s="511" t="n">
        <f aca="false">IF(INT(H$6/$X61)*$X$7&gt;H60*($X$7+$Z61)*$Y61,H60*($X$7+$Z61)-SUM($B62:G62),INT(H$6/$X61)*$X$7-H60*($X$7+$Z61)*($Y61-1)-SUM($B62:G62))+IF($Y61&gt;1,IF(INT(H$6/$X61)&gt;0,$Z61-$AA61,0),-$AA61)</f>
        <v>0</v>
      </c>
      <c r="I62" s="511" t="n">
        <f aca="false">IF(INT(I$6/$X61)*$X$7&gt;I60*($X$7+$Z61)*$Y61,I60*($X$7+$Z61)-SUM($B62:H62),INT(I$6/$X61)*$X$7-I60*($X$7+$Z61)*($Y61-1)-SUM($B62:H62))+IF($Y61&gt;1,IF(INT(I$6/$X61)&gt;0,$Z61-$AA61,0),-$AA61)</f>
        <v>0</v>
      </c>
      <c r="J62" s="511" t="n">
        <f aca="false">IF(INT(J$6/$X61)*$X$7&gt;J60*($X$7+$Z61)*$Y61,J60*($X$7+$Z61)-SUM($B62:I62),INT(J$6/$X61)*$X$7-J60*($X$7+$Z61)*($Y61-1)-SUM($B62:I62))+IF($Y61&gt;1,IF(INT(J$6/$X61)&gt;0,$Z61-$AA61,0),-$AA61)</f>
        <v>0</v>
      </c>
      <c r="K62" s="511" t="n">
        <f aca="false">IF(INT(K$6/$X61)*$X$7&gt;K60*($X$7+$Z61)*$Y61,K60*($X$7+$Z61)-SUM($B62:J62),INT(K$6/$X61)*$X$7-K60*($X$7+$Z61)*($Y61-1)-SUM($B62:J62))+IF($Y61&gt;1,IF(INT(K$6/$X61)&gt;0,$Z61-$AA61,0),-$AA61)</f>
        <v>0</v>
      </c>
      <c r="L62" s="511" t="n">
        <f aca="false">IF(INT(L$6/$X61)*$X$7&gt;L60*($X$7+$Z61)*$Y61,L60*($X$7+$Z61)-SUM($B62:K62),INT(L$6/$X61)*$X$7-L60*($X$7+$Z61)*($Y61-1)-SUM($B62:K62))+IF($Y61&gt;1,IF(INT(L$6/$X61)&gt;0,$Z61-$AA61,0),-$AA61)</f>
        <v>0</v>
      </c>
      <c r="M62" s="511" t="n">
        <f aca="false">IF(INT(M$6/$X61)*$X$7&gt;M60*($X$7+$Z61)*$Y61,M60*($X$7+$Z61)-SUM($B62:L62),INT(M$6/$X61)*$X$7-M60*($X$7+$Z61)*($Y61-1)-SUM($B62:L62))+IF($Y61&gt;1,IF(INT(M$6/$X61)&gt;0,$Z61-$AA61,0),-$AA61)</f>
        <v>0</v>
      </c>
      <c r="N62" s="511" t="n">
        <f aca="false">IF(INT(N$6/$X61)*$X$7&gt;N60*($X$7+$Z61)*$Y61,N60*($X$7+$Z61)-SUM($B62:M62),INT(N$6/$X61)*$X$7-N60*($X$7+$Z61)*($Y61-1)-SUM($B62:M62))+IF($Y61&gt;1,IF(INT(N$6/$X61)&gt;0,$Z61-$AA61,0),-$AA61)</f>
        <v>0</v>
      </c>
      <c r="O62" s="511" t="n">
        <f aca="false">IF(INT(O$6/$X61)*$X$7&gt;O60*($X$7+$Z61)*$Y61,O60*($X$7+$Z61)-SUM($B62:N62),INT(O$6/$X61)*$X$7-O60*($X$7+$Z61)*($Y61-1)-SUM($B62:N62))+IF($Y61&gt;1,IF(INT(O$6/$X61)&gt;0,$Z61-$AA61,0),-$AA61)</f>
        <v>0</v>
      </c>
      <c r="P62" s="511" t="n">
        <f aca="false">IF(INT(P$6/$X61)*$X$7&gt;P60*($X$7+$Z61)*$Y61,P60*($X$7+$Z61)-SUM($B62:O62),INT(P$6/$X61)*$X$7-P60*($X$7+$Z61)*($Y61-1)-SUM($B62:O62))+IF($Y61&gt;1,IF(INT(P$6/$X61)&gt;0,$Z61-$AA61,0),-$AA61)</f>
        <v>0</v>
      </c>
      <c r="Q62" s="511" t="n">
        <f aca="false">IF(INT(Q$6/$X61)*$X$7&gt;Q60*($X$7+$Z61)*$Y61,Q60*($X$7+$Z61)-SUM($B62:P62),INT(Q$6/$X61)*$X$7-Q60*($X$7+$Z61)*($Y61-1)-SUM($B62:P62))+IF($Y61&gt;1,IF(INT(Q$6/$X61)&gt;0,$Z61-$AA61,0),-$AA61)</f>
        <v>0</v>
      </c>
      <c r="R62" s="511" t="n">
        <f aca="false">IF(INT(R$6/$X61)*$X$7&gt;R60*($X$7+$Z61)*$Y61,R60*($X$7+$Z61)-SUM($B62:Q62),INT(R$6/$X61)*$X$7-R60*($X$7+$Z61)*($Y61-1)-SUM($B62:Q62))+IF($Y61&gt;1,IF(INT(R$6/$X61)&gt;0,$Z61-$AA61,0),-$AA61)</f>
        <v>0</v>
      </c>
      <c r="S62" s="511" t="n">
        <f aca="false">IF(INT(S$6/$X61)*$X$7&gt;S60*($X$7+$Z61)*$Y61,S60*($X$7+$Z61)-SUM($B62:R62),INT(S$6/$X61)*$X$7-S60*($X$7+$Z61)*($Y61-1)-SUM($B62:R62))+IF($Y61&gt;1,IF(INT(S$6/$X61)&gt;0,$Z61-$AA61,0),-$AA61)</f>
        <v>0</v>
      </c>
      <c r="T62" s="511" t="n">
        <f aca="false">IF(INT(T$6/$X61)*$X$7&gt;T60*($X$7+$Z61)*$Y61,T60*($X$7+$Z61)-SUM($B62:S62),INT(T$6/$X61)*$X$7-T60*($X$7+$Z61)*($Y61-1)-SUM($B62:S62))+IF($Y61&gt;1,IF(INT(T$6/$X61)&gt;0,$Z61-$AA61,0),-$AA61)</f>
        <v>0</v>
      </c>
      <c r="U62" s="511" t="n">
        <f aca="false">IF(INT(U$6/$X61)*$X$7&gt;U60*($X$7+$Z61)*$Y61,U60*($X$7+$Z61)-SUM($B62:T62),INT(U$6/$X61)*$X$7-U60*($X$7+$Z61)*($Y61-1)-SUM($B62:T62))+IF($Y61&gt;1,IF(INT(U$6/$X61)&gt;0,$Z61-$AA61,0),-$AA61)</f>
        <v>0</v>
      </c>
      <c r="V62" s="511" t="n">
        <f aca="false">IF(INT(V$6/$X61)*$X$7&gt;V60*($X$7+$Z61)*$Y61,V60*($X$7+$Z61)-SUM($B62:U62),INT(V$6/$X61)*$X$7-V60*($X$7+$Z61)*($Y61-1)-SUM($B62:U62))+IF($Y61&gt;1,IF(INT(V$6/$X61)&gt;0,$Z61-$AA61,0),-$AA61)</f>
        <v>0</v>
      </c>
      <c r="W62" s="803"/>
      <c r="AA62" s="157"/>
      <c r="AB62" s="157"/>
    </row>
    <row r="63" customFormat="false" ht="12.75" hidden="false" customHeight="false" outlineLevel="0" collapsed="false">
      <c r="A63" s="157"/>
      <c r="B63" s="518"/>
      <c r="C63" s="518"/>
      <c r="D63" s="518"/>
      <c r="E63" s="518"/>
      <c r="F63" s="518"/>
      <c r="G63" s="518"/>
      <c r="H63" s="518"/>
      <c r="I63" s="518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785"/>
      <c r="X63" s="157"/>
      <c r="Y63" s="157"/>
      <c r="Z63" s="157"/>
      <c r="AA63" s="157"/>
      <c r="AB63" s="157"/>
    </row>
    <row r="64" customFormat="false" ht="12.75" hidden="true" customHeight="false" outlineLevel="0" collapsed="false">
      <c r="A64" s="153" t="s">
        <v>1395</v>
      </c>
      <c r="B64" s="511"/>
      <c r="C64" s="153" t="n">
        <f aca="false">INT((INT(C$6/$X65)*$X$7+$X$7+$Z65-1)/($X$7+$Z65)/$Y65)</f>
        <v>0</v>
      </c>
      <c r="D64" s="153" t="n">
        <f aca="false">INT((INT(D$6/$X65)*$X$7+$X$7+$Z65-1)/($X$7+$Z65)/$Y65)</f>
        <v>0</v>
      </c>
      <c r="E64" s="153" t="n">
        <f aca="false">INT((INT(E$6/$X65)*$X$7+$X$7+$Z65-1)/($X$7+$Z65)/$Y65)</f>
        <v>0</v>
      </c>
      <c r="F64" s="153" t="n">
        <f aca="false">INT((INT(F$6/$X65)*$X$7+$X$7+$Z65-1)/($X$7+$Z65)/$Y65)</f>
        <v>0</v>
      </c>
      <c r="G64" s="153" t="n">
        <f aca="false">INT((INT(G$6/$X65)*$X$7+$X$7+$Z65-1)/($X$7+$Z65)/$Y65)</f>
        <v>0</v>
      </c>
      <c r="H64" s="153" t="n">
        <f aca="false">INT((INT(H$6/$X65)*$X$7+$X$7+$Z65-1)/($X$7+$Z65)/$Y65)</f>
        <v>0</v>
      </c>
      <c r="I64" s="153" t="n">
        <f aca="false">INT((INT(I$6/$X65)*$X$7+$X$7+$Z65-1)/($X$7+$Z65)/$Y65)</f>
        <v>0</v>
      </c>
      <c r="J64" s="153" t="n">
        <f aca="false">INT((INT(J$6/$X65)*$X$7+$X$7+$Z65-1)/($X$7+$Z65)/$Y65)</f>
        <v>0</v>
      </c>
      <c r="K64" s="153" t="n">
        <f aca="false">INT((INT(K$6/$X65)*$X$7+$X$7+$Z65-1)/($X$7+$Z65)/$Y65)</f>
        <v>0</v>
      </c>
      <c r="L64" s="153" t="n">
        <f aca="false">INT((INT(L$6/$X65)*$X$7+$X$7+$Z65-1)/($X$7+$Z65)/$Y65)</f>
        <v>0</v>
      </c>
      <c r="M64" s="153" t="n">
        <f aca="false">INT((INT(M$6/$X65)*$X$7+$X$7+$Z65-1)/($X$7+$Z65)/$Y65)</f>
        <v>0</v>
      </c>
      <c r="N64" s="153" t="n">
        <f aca="false">INT((INT(N$6/$X65)*$X$7+$X$7+$Z65-1)/($X$7+$Z65)/$Y65)</f>
        <v>0</v>
      </c>
      <c r="O64" s="153" t="n">
        <f aca="false">INT((INT(O$6/$X65)*$X$7+$X$7+$Z65-1)/($X$7+$Z65)/$Y65)</f>
        <v>0</v>
      </c>
      <c r="P64" s="153" t="n">
        <f aca="false">INT((INT(P$6/$X65)*$X$7+$X$7+$Z65-1)/($X$7+$Z65)/$Y65)</f>
        <v>0</v>
      </c>
      <c r="Q64" s="153" t="n">
        <f aca="false">INT((INT(Q$6/$X65)*$X$7+$X$7+$Z65-1)/($X$7+$Z65)/$Y65)</f>
        <v>0</v>
      </c>
      <c r="R64" s="153" t="n">
        <f aca="false">INT((INT(R$6/$X65)*$X$7+$X$7+$Z65-1)/($X$7+$Z65)/$Y65)</f>
        <v>0</v>
      </c>
      <c r="S64" s="153" t="n">
        <f aca="false">INT((INT(S$6/$X65)*$X$7+$X$7+$Z65-1)/($X$7+$Z65)/$Y65)</f>
        <v>0</v>
      </c>
      <c r="T64" s="153" t="n">
        <f aca="false">INT((INT(T$6/$X65)*$X$7+$X$7+$Z65-1)/($X$7+$Z65)/$Y65)</f>
        <v>0</v>
      </c>
      <c r="U64" s="153" t="n">
        <f aca="false">INT((INT(U$6/$X65)*$X$7+$X$7+$Z65-1)/($X$7+$Z65)/$Y65)</f>
        <v>0</v>
      </c>
      <c r="V64" s="153" t="n">
        <f aca="false">INT((INT(V$6/$X65)*$X$7+$X$7+$Z65-1)/($X$7+$Z65)/$Y65)</f>
        <v>0</v>
      </c>
      <c r="W64" s="157"/>
      <c r="X64" s="157"/>
      <c r="Y64" s="157"/>
      <c r="Z64" s="157"/>
      <c r="AA64" s="157"/>
      <c r="AB64" s="157"/>
    </row>
    <row r="65" customFormat="false" ht="12.75" hidden="false" customHeight="false" outlineLevel="0" collapsed="false">
      <c r="A65" s="153" t="s">
        <v>1396</v>
      </c>
      <c r="B65" s="511" t="s">
        <v>1007</v>
      </c>
      <c r="C65" s="511" t="n">
        <f aca="false">IF($Y65=1,0,$X$7*(INT(C$6/$X65)-INT(B$6/$X65))-IF(SUM($B65:B65)&gt;0,C66,0))</f>
        <v>0</v>
      </c>
      <c r="D65" s="511" t="n">
        <f aca="false">IF($Y65=1,0,$X$7*(INT(D$6/$X65)-INT(C$6/$X65))-IF(SUM($B65:C65)&gt;0,D66,0))</f>
        <v>0</v>
      </c>
      <c r="E65" s="511" t="n">
        <f aca="false">IF($Y65=1,0,$X$7*(INT(E$6/$X65)-INT(D$6/$X65))-IF(SUM($B65:D65)&gt;0,E66,0))</f>
        <v>0</v>
      </c>
      <c r="F65" s="511" t="n">
        <f aca="false">IF($Y65=1,0,$X$7*(INT(F$6/$X65)-INT(E$6/$X65))-IF(SUM($B65:E65)&gt;0,F66,0))</f>
        <v>0</v>
      </c>
      <c r="G65" s="511" t="n">
        <f aca="false">IF($Y65=1,0,$X$7*(INT(G$6/$X65)-INT(F$6/$X65))-IF(SUM($B65:F65)&gt;0,G66,0))</f>
        <v>0</v>
      </c>
      <c r="H65" s="511" t="n">
        <f aca="false">IF($Y65=1,0,$X$7*(INT(H$6/$X65)-INT(G$6/$X65))-IF(SUM($B65:G65)&gt;0,H66,0))</f>
        <v>0</v>
      </c>
      <c r="I65" s="511" t="n">
        <f aca="false">IF($Y65=1,0,$X$7*(INT(I$6/$X65)-INT(H$6/$X65))-IF(SUM($B65:H65)&gt;0,I66,0))</f>
        <v>0</v>
      </c>
      <c r="J65" s="511" t="n">
        <f aca="false">IF($Y65=1,0,$X$7*(INT(J$6/$X65)-INT(I$6/$X65))-IF(SUM($B65:I65)&gt;0,J66,0))</f>
        <v>0</v>
      </c>
      <c r="K65" s="511" t="n">
        <f aca="false">IF($Y65=1,0,$X$7*(INT(K$6/$X65)-INT(J$6/$X65))-IF(SUM($B65:J65)&gt;0,K66,0))</f>
        <v>0</v>
      </c>
      <c r="L65" s="511" t="n">
        <f aca="false">IF($Y65=1,0,$X$7*(INT(L$6/$X65)-INT(K$6/$X65))-IF(SUM($B65:K65)&gt;0,L66,0))</f>
        <v>0</v>
      </c>
      <c r="M65" s="511" t="n">
        <f aca="false">IF($Y65=1,0,$X$7*(INT(M$6/$X65)-INT(L$6/$X65))-IF(SUM($B65:L65)&gt;0,M66,0))</f>
        <v>0</v>
      </c>
      <c r="N65" s="511" t="n">
        <f aca="false">IF($Y65=1,0,$X$7*(INT(N$6/$X65)-INT(M$6/$X65))-IF(SUM($B65:M65)&gt;0,N66,0))</f>
        <v>0</v>
      </c>
      <c r="O65" s="511" t="n">
        <f aca="false">IF($Y65=1,0,$X$7*(INT(O$6/$X65)-INT(N$6/$X65))-IF(SUM($B65:N65)&gt;0,O66,0))</f>
        <v>0</v>
      </c>
      <c r="P65" s="511" t="n">
        <f aca="false">IF($Y65=1,0,$X$7*(INT(P$6/$X65)-INT(O$6/$X65))-IF(SUM($B65:O65)&gt;0,P66,0))</f>
        <v>0</v>
      </c>
      <c r="Q65" s="511" t="n">
        <f aca="false">IF($Y65=1,0,$X$7*(INT(Q$6/$X65)-INT(P$6/$X65))-IF(SUM($B65:P65)&gt;0,Q66,0))</f>
        <v>0</v>
      </c>
      <c r="R65" s="511" t="n">
        <f aca="false">IF($Y65=1,0,$X$7*(INT(R$6/$X65)-INT(Q$6/$X65))-IF(SUM($B65:Q65)&gt;0,R66,0))</f>
        <v>0</v>
      </c>
      <c r="S65" s="511" t="n">
        <f aca="false">IF($Y65=1,0,$X$7*(INT(S$6/$X65)-INT(R$6/$X65))-IF(SUM($B65:R65)&gt;0,S66,0))</f>
        <v>0</v>
      </c>
      <c r="T65" s="511" t="n">
        <f aca="false">IF($Y65=1,0,$X$7*(INT(T$6/$X65)-INT(S$6/$X65))-IF(SUM($B65:S65)&gt;0,T66,0))</f>
        <v>0</v>
      </c>
      <c r="U65" s="511" t="n">
        <f aca="false">IF($Y65=1,0,$X$7*(INT(U$6/$X65)-INT(T$6/$X65))-IF(SUM($B65:T65)&gt;0,U66,0))</f>
        <v>0</v>
      </c>
      <c r="V65" s="511" t="n">
        <f aca="false">IF($Y65=1,0,$X$7*(INT(V$6/$X65)-INT(U$6/$X65))-IF(SUM($B65:U65)&gt;0,V66,0))</f>
        <v>0</v>
      </c>
      <c r="W65" s="799" t="str">
        <f aca="false">'GT schd cost(W501D5)'!A26</f>
        <v>Row 4 Vanes</v>
      </c>
      <c r="X65" s="800" t="n">
        <f aca="false">IF($AD$6=1,'GTDB(W501D5)'!B29,'GTDB(W501D5)'!G29)</f>
        <v>48000</v>
      </c>
      <c r="Y65" s="800" t="n">
        <f aca="false">IF($AD$6=1,'GTDB(W501D5)'!C29,'GTDB(W501D5)'!H29)</f>
        <v>2</v>
      </c>
      <c r="Z65" s="801" t="n">
        <v>1</v>
      </c>
      <c r="AA65" s="805" t="n">
        <f aca="false">'Initial_Spares(W501D5)'!$E$23</f>
        <v>0</v>
      </c>
      <c r="AB65" s="764" t="n">
        <f aca="false">'GT schd cost(W501D5)'!X26+'GT schd cost(W501D5)'!X52</f>
        <v>0</v>
      </c>
    </row>
    <row r="66" customFormat="false" ht="12.75" hidden="false" customHeight="false" outlineLevel="0" collapsed="false">
      <c r="A66" s="153" t="s">
        <v>1397</v>
      </c>
      <c r="B66" s="511" t="s">
        <v>1007</v>
      </c>
      <c r="C66" s="511" t="n">
        <f aca="false">IF(INT(C$6/$X65)*$X$7&gt;C64*($X$7+$Z65)*$Y65,C64*($X$7+$Z65)-SUM($B66:B66),INT(C$6/$X65)*$X$7-C64*($X$7+$Z65)*($Y65-1)-SUM($B66:B66))+IF($Y65&gt;1,IF(INT(C$6/$X65)&gt;0,$Z65-$AA65,0),-$AA65)</f>
        <v>0</v>
      </c>
      <c r="D66" s="511" t="n">
        <f aca="false">IF(INT(D$6/$X65)*$X$7&gt;D64*($X$7+$Z65)*$Y65,D64*($X$7+$Z65)-SUM($B66:C66),INT(D$6/$X65)*$X$7-D64*($X$7+$Z65)*($Y65-1)-SUM($B66:C66))+IF($Y65&gt;1,IF(INT(D$6/$X65)&gt;0,$Z65-$AA65,0),-$AA65)</f>
        <v>0</v>
      </c>
      <c r="E66" s="511" t="n">
        <f aca="false">IF(INT(E$6/$X65)*$X$7&gt;E64*($X$7+$Z65)*$Y65,E64*($X$7+$Z65)-SUM($B66:D66),INT(E$6/$X65)*$X$7-E64*($X$7+$Z65)*($Y65-1)-SUM($B66:D66))+IF($Y65&gt;1,IF(INT(E$6/$X65)&gt;0,$Z65-$AA65,0),-$AA65)</f>
        <v>0</v>
      </c>
      <c r="F66" s="511" t="n">
        <f aca="false">IF(INT(F$6/$X65)*$X$7&gt;F64*($X$7+$Z65)*$Y65,F64*($X$7+$Z65)-SUM($B66:E66),INT(F$6/$X65)*$X$7-F64*($X$7+$Z65)*($Y65-1)-SUM($B66:E66))+IF($Y65&gt;1,IF(INT(F$6/$X65)&gt;0,$Z65-$AA65,0),-$AA65)</f>
        <v>0</v>
      </c>
      <c r="G66" s="511" t="n">
        <f aca="false">IF(INT(G$6/$X65)*$X$7&gt;G64*($X$7+$Z65)*$Y65,G64*($X$7+$Z65)-SUM($B66:F66),INT(G$6/$X65)*$X$7-G64*($X$7+$Z65)*($Y65-1)-SUM($B66:F66))+IF($Y65&gt;1,IF(INT(G$6/$X65)&gt;0,$Z65-$AA65,0),-$AA65)</f>
        <v>0</v>
      </c>
      <c r="H66" s="511" t="n">
        <f aca="false">IF(INT(H$6/$X65)*$X$7&gt;H64*($X$7+$Z65)*$Y65,H64*($X$7+$Z65)-SUM($B66:G66),INT(H$6/$X65)*$X$7-H64*($X$7+$Z65)*($Y65-1)-SUM($B66:G66))+IF($Y65&gt;1,IF(INT(H$6/$X65)&gt;0,$Z65-$AA65,0),-$AA65)</f>
        <v>0</v>
      </c>
      <c r="I66" s="511" t="n">
        <f aca="false">IF(INT(I$6/$X65)*$X$7&gt;I64*($X$7+$Z65)*$Y65,I64*($X$7+$Z65)-SUM($B66:H66),INT(I$6/$X65)*$X$7-I64*($X$7+$Z65)*($Y65-1)-SUM($B66:H66))+IF($Y65&gt;1,IF(INT(I$6/$X65)&gt;0,$Z65-$AA65,0),-$AA65)</f>
        <v>0</v>
      </c>
      <c r="J66" s="511" t="n">
        <f aca="false">IF(INT(J$6/$X65)*$X$7&gt;J64*($X$7+$Z65)*$Y65,J64*($X$7+$Z65)-SUM($B66:I66),INT(J$6/$X65)*$X$7-J64*($X$7+$Z65)*($Y65-1)-SUM($B66:I66))+IF($Y65&gt;1,IF(INT(J$6/$X65)&gt;0,$Z65-$AA65,0),-$AA65)</f>
        <v>0</v>
      </c>
      <c r="K66" s="511" t="n">
        <f aca="false">IF(INT(K$6/$X65)*$X$7&gt;K64*($X$7+$Z65)*$Y65,K64*($X$7+$Z65)-SUM($B66:J66),INT(K$6/$X65)*$X$7-K64*($X$7+$Z65)*($Y65-1)-SUM($B66:J66))+IF($Y65&gt;1,IF(INT(K$6/$X65)&gt;0,$Z65-$AA65,0),-$AA65)</f>
        <v>0</v>
      </c>
      <c r="L66" s="511" t="n">
        <f aca="false">IF(INT(L$6/$X65)*$X$7&gt;L64*($X$7+$Z65)*$Y65,L64*($X$7+$Z65)-SUM($B66:K66),INT(L$6/$X65)*$X$7-L64*($X$7+$Z65)*($Y65-1)-SUM($B66:K66))+IF($Y65&gt;1,IF(INT(L$6/$X65)&gt;0,$Z65-$AA65,0),-$AA65)</f>
        <v>0</v>
      </c>
      <c r="M66" s="511" t="n">
        <f aca="false">IF(INT(M$6/$X65)*$X$7&gt;M64*($X$7+$Z65)*$Y65,M64*($X$7+$Z65)-SUM($B66:L66),INT(M$6/$X65)*$X$7-M64*($X$7+$Z65)*($Y65-1)-SUM($B66:L66))+IF($Y65&gt;1,IF(INT(M$6/$X65)&gt;0,$Z65-$AA65,0),-$AA65)</f>
        <v>0</v>
      </c>
      <c r="N66" s="511" t="n">
        <f aca="false">IF(INT(N$6/$X65)*$X$7&gt;N64*($X$7+$Z65)*$Y65,N64*($X$7+$Z65)-SUM($B66:M66),INT(N$6/$X65)*$X$7-N64*($X$7+$Z65)*($Y65-1)-SUM($B66:M66))+IF($Y65&gt;1,IF(INT(N$6/$X65)&gt;0,$Z65-$AA65,0),-$AA65)</f>
        <v>0</v>
      </c>
      <c r="O66" s="511" t="n">
        <f aca="false">IF(INT(O$6/$X65)*$X$7&gt;O64*($X$7+$Z65)*$Y65,O64*($X$7+$Z65)-SUM($B66:N66),INT(O$6/$X65)*$X$7-O64*($X$7+$Z65)*($Y65-1)-SUM($B66:N66))+IF($Y65&gt;1,IF(INT(O$6/$X65)&gt;0,$Z65-$AA65,0),-$AA65)</f>
        <v>0</v>
      </c>
      <c r="P66" s="511" t="n">
        <f aca="false">IF(INT(P$6/$X65)*$X$7&gt;P64*($X$7+$Z65)*$Y65,P64*($X$7+$Z65)-SUM($B66:O66),INT(P$6/$X65)*$X$7-P64*($X$7+$Z65)*($Y65-1)-SUM($B66:O66))+IF($Y65&gt;1,IF(INT(P$6/$X65)&gt;0,$Z65-$AA65,0),-$AA65)</f>
        <v>0</v>
      </c>
      <c r="Q66" s="511" t="n">
        <f aca="false">IF(INT(Q$6/$X65)*$X$7&gt;Q64*($X$7+$Z65)*$Y65,Q64*($X$7+$Z65)-SUM($B66:P66),INT(Q$6/$X65)*$X$7-Q64*($X$7+$Z65)*($Y65-1)-SUM($B66:P66))+IF($Y65&gt;1,IF(INT(Q$6/$X65)&gt;0,$Z65-$AA65,0),-$AA65)</f>
        <v>0</v>
      </c>
      <c r="R66" s="511" t="n">
        <f aca="false">IF(INT(R$6/$X65)*$X$7&gt;R64*($X$7+$Z65)*$Y65,R64*($X$7+$Z65)-SUM($B66:Q66),INT(R$6/$X65)*$X$7-R64*($X$7+$Z65)*($Y65-1)-SUM($B66:Q66))+IF($Y65&gt;1,IF(INT(R$6/$X65)&gt;0,$Z65-$AA65,0),-$AA65)</f>
        <v>0</v>
      </c>
      <c r="S66" s="511" t="n">
        <f aca="false">IF(INT(S$6/$X65)*$X$7&gt;S64*($X$7+$Z65)*$Y65,S64*($X$7+$Z65)-SUM($B66:R66),INT(S$6/$X65)*$X$7-S64*($X$7+$Z65)*($Y65-1)-SUM($B66:R66))+IF($Y65&gt;1,IF(INT(S$6/$X65)&gt;0,$Z65-$AA65,0),-$AA65)</f>
        <v>0</v>
      </c>
      <c r="T66" s="511" t="n">
        <f aca="false">IF(INT(T$6/$X65)*$X$7&gt;T64*($X$7+$Z65)*$Y65,T64*($X$7+$Z65)-SUM($B66:S66),INT(T$6/$X65)*$X$7-T64*($X$7+$Z65)*($Y65-1)-SUM($B66:S66))+IF($Y65&gt;1,IF(INT(T$6/$X65)&gt;0,$Z65-$AA65,0),-$AA65)</f>
        <v>0</v>
      </c>
      <c r="U66" s="511" t="n">
        <f aca="false">IF(INT(U$6/$X65)*$X$7&gt;U64*($X$7+$Z65)*$Y65,U64*($X$7+$Z65)-SUM($B66:T66),INT(U$6/$X65)*$X$7-U64*($X$7+$Z65)*($Y65-1)-SUM($B66:T66))+IF($Y65&gt;1,IF(INT(U$6/$X65)&gt;0,$Z65-$AA65,0),-$AA65)</f>
        <v>0</v>
      </c>
      <c r="V66" s="511" t="n">
        <f aca="false">IF(INT(V$6/$X65)*$X$7&gt;V64*($X$7+$Z65)*$Y65,V64*($X$7+$Z65)-SUM($B66:U66),INT(V$6/$X65)*$X$7-V64*($X$7+$Z65)*($Y65-1)-SUM($B66:U66))+IF($Y65&gt;1,IF(INT(V$6/$X65)&gt;0,$Z65-$AA65,0),-$AA65)</f>
        <v>0</v>
      </c>
      <c r="W66" s="803"/>
      <c r="AA66" s="157"/>
      <c r="AB66" s="157"/>
    </row>
    <row r="67" customFormat="false" ht="12.75" hidden="false" customHeight="false" outlineLevel="0" collapsed="false">
      <c r="A67" s="157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785"/>
      <c r="X67" s="157"/>
      <c r="Y67" s="157"/>
      <c r="Z67" s="157"/>
      <c r="AA67" s="157"/>
      <c r="AB67" s="157"/>
    </row>
    <row r="68" customFormat="false" ht="12.75" hidden="true" customHeight="false" outlineLevel="0" collapsed="false">
      <c r="A68" s="153" t="s">
        <v>1395</v>
      </c>
      <c r="B68" s="511"/>
      <c r="C68" s="153" t="n">
        <f aca="false">INT((INT(C$6/$X69)*$X$7+$X$7+$Z69-1)/($X$7+$Z69)/$Y69)</f>
        <v>0</v>
      </c>
      <c r="D68" s="153" t="n">
        <f aca="false">INT((INT(D$6/$X69)*$X$7+$X$7+$Z69-1)/($X$7+$Z69)/$Y69)</f>
        <v>0</v>
      </c>
      <c r="E68" s="153" t="n">
        <f aca="false">INT((INT(E$6/$X69)*$X$7+$X$7+$Z69-1)/($X$7+$Z69)/$Y69)</f>
        <v>0</v>
      </c>
      <c r="F68" s="153" t="n">
        <f aca="false">INT((INT(F$6/$X69)*$X$7+$X$7+$Z69-1)/($X$7+$Z69)/$Y69)</f>
        <v>0</v>
      </c>
      <c r="G68" s="153" t="n">
        <f aca="false">INT((INT(G$6/$X69)*$X$7+$X$7+$Z69-1)/($X$7+$Z69)/$Y69)</f>
        <v>0</v>
      </c>
      <c r="H68" s="153" t="n">
        <f aca="false">INT((INT(H$6/$X69)*$X$7+$X$7+$Z69-1)/($X$7+$Z69)/$Y69)</f>
        <v>0</v>
      </c>
      <c r="I68" s="153" t="n">
        <f aca="false">INT((INT(I$6/$X69)*$X$7+$X$7+$Z69-1)/($X$7+$Z69)/$Y69)</f>
        <v>0</v>
      </c>
      <c r="J68" s="153" t="n">
        <f aca="false">INT((INT(J$6/$X69)*$X$7+$X$7+$Z69-1)/($X$7+$Z69)/$Y69)</f>
        <v>0</v>
      </c>
      <c r="K68" s="153" t="n">
        <f aca="false">INT((INT(K$6/$X69)*$X$7+$X$7+$Z69-1)/($X$7+$Z69)/$Y69)</f>
        <v>0</v>
      </c>
      <c r="L68" s="153" t="n">
        <f aca="false">INT((INT(L$6/$X69)*$X$7+$X$7+$Z69-1)/($X$7+$Z69)/$Y69)</f>
        <v>0</v>
      </c>
      <c r="M68" s="153" t="n">
        <f aca="false">INT((INT(M$6/$X69)*$X$7+$X$7+$Z69-1)/($X$7+$Z69)/$Y69)</f>
        <v>0</v>
      </c>
      <c r="N68" s="153" t="n">
        <f aca="false">INT((INT(N$6/$X69)*$X$7+$X$7+$Z69-1)/($X$7+$Z69)/$Y69)</f>
        <v>0</v>
      </c>
      <c r="O68" s="153" t="n">
        <f aca="false">INT((INT(O$6/$X69)*$X$7+$X$7+$Z69-1)/($X$7+$Z69)/$Y69)</f>
        <v>0</v>
      </c>
      <c r="P68" s="153" t="n">
        <f aca="false">INT((INT(P$6/$X69)*$X$7+$X$7+$Z69-1)/($X$7+$Z69)/$Y69)</f>
        <v>0</v>
      </c>
      <c r="Q68" s="153" t="n">
        <f aca="false">INT((INT(Q$6/$X69)*$X$7+$X$7+$Z69-1)/($X$7+$Z69)/$Y69)</f>
        <v>0</v>
      </c>
      <c r="R68" s="153" t="n">
        <f aca="false">INT((INT(R$6/$X69)*$X$7+$X$7+$Z69-1)/($X$7+$Z69)/$Y69)</f>
        <v>0</v>
      </c>
      <c r="S68" s="153" t="n">
        <f aca="false">INT((INT(S$6/$X69)*$X$7+$X$7+$Z69-1)/($X$7+$Z69)/$Y69)</f>
        <v>0</v>
      </c>
      <c r="T68" s="153" t="n">
        <f aca="false">INT((INT(T$6/$X69)*$X$7+$X$7+$Z69-1)/($X$7+$Z69)/$Y69)</f>
        <v>0</v>
      </c>
      <c r="U68" s="153" t="n">
        <f aca="false">INT((INT(U$6/$X69)*$X$7+$X$7+$Z69-1)/($X$7+$Z69)/$Y69)</f>
        <v>0</v>
      </c>
      <c r="V68" s="153" t="n">
        <f aca="false">INT((INT(V$6/$X69)*$X$7+$X$7+$Z69-1)/($X$7+$Z69)/$Y69)</f>
        <v>0</v>
      </c>
      <c r="W68" s="157"/>
      <c r="X68" s="157"/>
      <c r="Y68" s="157"/>
      <c r="Z68" s="157"/>
      <c r="AA68" s="157"/>
      <c r="AB68" s="157"/>
    </row>
    <row r="69" customFormat="false" ht="12.75" hidden="false" customHeight="false" outlineLevel="0" collapsed="false">
      <c r="A69" s="153" t="s">
        <v>1396</v>
      </c>
      <c r="B69" s="511" t="s">
        <v>1007</v>
      </c>
      <c r="C69" s="511" t="n">
        <f aca="false">IF($Y69=1,0,$X$7*(INT(C$6/$X69)-INT(B$6/$X69))-IF(SUM($B69:B69)&gt;0,C70,0))</f>
        <v>0</v>
      </c>
      <c r="D69" s="511" t="n">
        <f aca="false">IF($Y69=1,0,$X$7*(INT(D$6/$X69)-INT(C$6/$X69))-IF(SUM($B69:C69)&gt;0,D70,0))</f>
        <v>0</v>
      </c>
      <c r="E69" s="511" t="n">
        <f aca="false">IF($Y69=1,0,$X$7*(INT(E$6/$X69)-INT(D$6/$X69))-IF(SUM($B69:D69)&gt;0,E70,0))</f>
        <v>0</v>
      </c>
      <c r="F69" s="511" t="n">
        <f aca="false">IF($Y69=1,0,$X$7*(INT(F$6/$X69)-INT(E$6/$X69))-IF(SUM($B69:E69)&gt;0,F70,0))</f>
        <v>0</v>
      </c>
      <c r="G69" s="511" t="n">
        <f aca="false">IF($Y69=1,0,$X$7*(INT(G$6/$X69)-INT(F$6/$X69))-IF(SUM($B69:F69)&gt;0,G70,0))</f>
        <v>0</v>
      </c>
      <c r="H69" s="511" t="n">
        <f aca="false">IF($Y69=1,0,$X$7*(INT(H$6/$X69)-INT(G$6/$X69))-IF(SUM($B69:G69)&gt;0,H70,0))</f>
        <v>0</v>
      </c>
      <c r="I69" s="511" t="n">
        <f aca="false">IF($Y69=1,0,$X$7*(INT(I$6/$X69)-INT(H$6/$X69))-IF(SUM($B69:H69)&gt;0,I70,0))</f>
        <v>0</v>
      </c>
      <c r="J69" s="511" t="n">
        <f aca="false">IF($Y69=1,0,$X$7*(INT(J$6/$X69)-INT(I$6/$X69))-IF(SUM($B69:I69)&gt;0,J70,0))</f>
        <v>0</v>
      </c>
      <c r="K69" s="511" t="n">
        <f aca="false">IF($Y69=1,0,$X$7*(INT(K$6/$X69)-INT(J$6/$X69))-IF(SUM($B69:J69)&gt;0,K70,0))</f>
        <v>0</v>
      </c>
      <c r="L69" s="511" t="n">
        <f aca="false">IF($Y69=1,0,$X$7*(INT(L$6/$X69)-INT(K$6/$X69))-IF(SUM($B69:K69)&gt;0,L70,0))</f>
        <v>0</v>
      </c>
      <c r="M69" s="511" t="n">
        <f aca="false">IF($Y69=1,0,$X$7*(INT(M$6/$X69)-INT(L$6/$X69))-IF(SUM($B69:L69)&gt;0,M70,0))</f>
        <v>0</v>
      </c>
      <c r="N69" s="511" t="n">
        <f aca="false">IF($Y69=1,0,$X$7*(INT(N$6/$X69)-INT(M$6/$X69))-IF(SUM($B69:M69)&gt;0,N70,0))</f>
        <v>0</v>
      </c>
      <c r="O69" s="511" t="n">
        <f aca="false">IF($Y69=1,0,$X$7*(INT(O$6/$X69)-INT(N$6/$X69))-IF(SUM($B69:N69)&gt;0,O70,0))</f>
        <v>0</v>
      </c>
      <c r="P69" s="511" t="n">
        <f aca="false">IF($Y69=1,0,$X$7*(INT(P$6/$X69)-INT(O$6/$X69))-IF(SUM($B69:O69)&gt;0,P70,0))</f>
        <v>0</v>
      </c>
      <c r="Q69" s="511" t="n">
        <f aca="false">IF($Y69=1,0,$X$7*(INT(Q$6/$X69)-INT(P$6/$X69))-IF(SUM($B69:P69)&gt;0,Q70,0))</f>
        <v>0</v>
      </c>
      <c r="R69" s="511" t="n">
        <f aca="false">IF($Y69=1,0,$X$7*(INT(R$6/$X69)-INT(Q$6/$X69))-IF(SUM($B69:Q69)&gt;0,R70,0))</f>
        <v>0</v>
      </c>
      <c r="S69" s="511" t="n">
        <f aca="false">IF($Y69=1,0,$X$7*(INT(S$6/$X69)-INT(R$6/$X69))-IF(SUM($B69:R69)&gt;0,S70,0))</f>
        <v>0</v>
      </c>
      <c r="T69" s="511" t="n">
        <f aca="false">IF($Y69=1,0,$X$7*(INT(T$6/$X69)-INT(S$6/$X69))-IF(SUM($B69:S69)&gt;0,T70,0))</f>
        <v>0</v>
      </c>
      <c r="U69" s="511" t="n">
        <f aca="false">IF($Y69=1,0,$X$7*(INT(U$6/$X69)-INT(T$6/$X69))-IF(SUM($B69:T69)&gt;0,U70,0))</f>
        <v>0</v>
      </c>
      <c r="V69" s="511" t="n">
        <f aca="false">IF($Y69=1,0,$X$7*(INT(V$6/$X69)-INT(U$6/$X69))-IF(SUM($B69:U69)&gt;0,V70,0))</f>
        <v>0</v>
      </c>
      <c r="W69" s="800" t="str">
        <f aca="false">'GT schd cost(W501D5)'!A27</f>
        <v>Row 1 ring segments</v>
      </c>
      <c r="X69" s="800" t="n">
        <f aca="false">IF($AD$6=1,'GTDB(W501D5)'!B30,'GTDB(W501D5)'!G30)</f>
        <v>24000</v>
      </c>
      <c r="Y69" s="800" t="n">
        <f aca="false">IF($AD$6=1,'GTDB(W501D5)'!C30,'GTDB(W501D5)'!H30)</f>
        <v>2</v>
      </c>
      <c r="Z69" s="801" t="n">
        <v>1</v>
      </c>
      <c r="AA69" s="805" t="n">
        <f aca="false">'Initial_Spares(W501D5)'!$E$24</f>
        <v>0</v>
      </c>
      <c r="AB69" s="807" t="n">
        <f aca="false">'GT schd cost(W501D5)'!X27+'GT schd cost(W501D5)'!X53</f>
        <v>0</v>
      </c>
    </row>
    <row r="70" customFormat="false" ht="12.75" hidden="false" customHeight="false" outlineLevel="0" collapsed="false">
      <c r="A70" s="153" t="s">
        <v>1397</v>
      </c>
      <c r="B70" s="511" t="s">
        <v>1007</v>
      </c>
      <c r="C70" s="511" t="n">
        <f aca="false">IF(INT(C$6/$X69)*$X$7&gt;C68*($X$7+$Z69)*$Y69,C68*($X$7+$Z69)-SUM($B70:B70),INT(C$6/$X69)*$X$7-C68*($X$7+$Z69)*($Y69-1)-SUM($B70:B70))+IF($Y69&gt;1,IF(INT(C$6/$X69)&gt;0,$Z69-$AA69,0),-$AA69)</f>
        <v>0</v>
      </c>
      <c r="D70" s="511" t="n">
        <f aca="false">IF(INT(D$6/$X69)*$X$7&gt;D68*($X$7+$Z69)*$Y69,D68*($X$7+$Z69)-SUM($B70:C70),INT(D$6/$X69)*$X$7-D68*($X$7+$Z69)*($Y69-1)-SUM($B70:C70))+IF($Y69&gt;1,IF(INT(D$6/$X69)&gt;0,$Z69-$AA69,0),-$AA69)</f>
        <v>0</v>
      </c>
      <c r="E70" s="511" t="n">
        <f aca="false">IF(INT(E$6/$X69)*$X$7&gt;E68*($X$7+$Z69)*$Y69,E68*($X$7+$Z69)-SUM($B70:D70),INT(E$6/$X69)*$X$7-E68*($X$7+$Z69)*($Y69-1)-SUM($B70:D70))+IF($Y69&gt;1,IF(INT(E$6/$X69)&gt;0,$Z69-$AA69,0),-$AA69)</f>
        <v>0</v>
      </c>
      <c r="F70" s="511" t="n">
        <f aca="false">IF(INT(F$6/$X69)*$X$7&gt;F68*($X$7+$Z69)*$Y69,F68*($X$7+$Z69)-SUM($B70:E70),INT(F$6/$X69)*$X$7-F68*($X$7+$Z69)*($Y69-1)-SUM($B70:E70))+IF($Y69&gt;1,IF(INT(F$6/$X69)&gt;0,$Z69-$AA69,0),-$AA69)</f>
        <v>0</v>
      </c>
      <c r="G70" s="511" t="n">
        <f aca="false">IF(INT(G$6/$X69)*$X$7&gt;G68*($X$7+$Z69)*$Y69,G68*($X$7+$Z69)-SUM($B70:F70),INT(G$6/$X69)*$X$7-G68*($X$7+$Z69)*($Y69-1)-SUM($B70:F70))+IF($Y69&gt;1,IF(INT(G$6/$X69)&gt;0,$Z69-$AA69,0),-$AA69)</f>
        <v>0</v>
      </c>
      <c r="H70" s="511" t="n">
        <f aca="false">IF(INT(H$6/$X69)*$X$7&gt;H68*($X$7+$Z69)*$Y69,H68*($X$7+$Z69)-SUM($B70:G70),INT(H$6/$X69)*$X$7-H68*($X$7+$Z69)*($Y69-1)-SUM($B70:G70))+IF($Y69&gt;1,IF(INT(H$6/$X69)&gt;0,$Z69-$AA69,0),-$AA69)</f>
        <v>0</v>
      </c>
      <c r="I70" s="511" t="n">
        <f aca="false">IF(INT(I$6/$X69)*$X$7&gt;I68*($X$7+$Z69)*$Y69,I68*($X$7+$Z69)-SUM($B70:H70),INT(I$6/$X69)*$X$7-I68*($X$7+$Z69)*($Y69-1)-SUM($B70:H70))+IF($Y69&gt;1,IF(INT(I$6/$X69)&gt;0,$Z69-$AA69,0),-$AA69)</f>
        <v>0</v>
      </c>
      <c r="J70" s="511" t="n">
        <f aca="false">IF(INT(J$6/$X69)*$X$7&gt;J68*($X$7+$Z69)*$Y69,J68*($X$7+$Z69)-SUM($B70:I70),INT(J$6/$X69)*$X$7-J68*($X$7+$Z69)*($Y69-1)-SUM($B70:I70))+IF($Y69&gt;1,IF(INT(J$6/$X69)&gt;0,$Z69-$AA69,0),-$AA69)</f>
        <v>0</v>
      </c>
      <c r="K70" s="511" t="n">
        <f aca="false">IF(INT(K$6/$X69)*$X$7&gt;K68*($X$7+$Z69)*$Y69,K68*($X$7+$Z69)-SUM($B70:J70),INT(K$6/$X69)*$X$7-K68*($X$7+$Z69)*($Y69-1)-SUM($B70:J70))+IF($Y69&gt;1,IF(INT(K$6/$X69)&gt;0,$Z69-$AA69,0),-$AA69)</f>
        <v>0</v>
      </c>
      <c r="L70" s="511" t="n">
        <f aca="false">IF(INT(L$6/$X69)*$X$7&gt;L68*($X$7+$Z69)*$Y69,L68*($X$7+$Z69)-SUM($B70:K70),INT(L$6/$X69)*$X$7-L68*($X$7+$Z69)*($Y69-1)-SUM($B70:K70))+IF($Y69&gt;1,IF(INT(L$6/$X69)&gt;0,$Z69-$AA69,0),-$AA69)</f>
        <v>0</v>
      </c>
      <c r="M70" s="511" t="n">
        <f aca="false">IF(INT(M$6/$X69)*$X$7&gt;M68*($X$7+$Z69)*$Y69,M68*($X$7+$Z69)-SUM($B70:L70),INT(M$6/$X69)*$X$7-M68*($X$7+$Z69)*($Y69-1)-SUM($B70:L70))+IF($Y69&gt;1,IF(INT(M$6/$X69)&gt;0,$Z69-$AA69,0),-$AA69)</f>
        <v>0</v>
      </c>
      <c r="N70" s="511" t="n">
        <f aca="false">IF(INT(N$6/$X69)*$X$7&gt;N68*($X$7+$Z69)*$Y69,N68*($X$7+$Z69)-SUM($B70:M70),INT(N$6/$X69)*$X$7-N68*($X$7+$Z69)*($Y69-1)-SUM($B70:M70))+IF($Y69&gt;1,IF(INT(N$6/$X69)&gt;0,$Z69-$AA69,0),-$AA69)</f>
        <v>0</v>
      </c>
      <c r="O70" s="511" t="n">
        <f aca="false">IF(INT(O$6/$X69)*$X$7&gt;O68*($X$7+$Z69)*$Y69,O68*($X$7+$Z69)-SUM($B70:N70),INT(O$6/$X69)*$X$7-O68*($X$7+$Z69)*($Y69-1)-SUM($B70:N70))+IF($Y69&gt;1,IF(INT(O$6/$X69)&gt;0,$Z69-$AA69,0),-$AA69)</f>
        <v>0</v>
      </c>
      <c r="P70" s="511" t="n">
        <f aca="false">IF(INT(P$6/$X69)*$X$7&gt;P68*($X$7+$Z69)*$Y69,P68*($X$7+$Z69)-SUM($B70:O70),INT(P$6/$X69)*$X$7-P68*($X$7+$Z69)*($Y69-1)-SUM($B70:O70))+IF($Y69&gt;1,IF(INT(P$6/$X69)&gt;0,$Z69-$AA69,0),-$AA69)</f>
        <v>0</v>
      </c>
      <c r="Q70" s="511" t="n">
        <f aca="false">IF(INT(Q$6/$X69)*$X$7&gt;Q68*($X$7+$Z69)*$Y69,Q68*($X$7+$Z69)-SUM($B70:P70),INT(Q$6/$X69)*$X$7-Q68*($X$7+$Z69)*($Y69-1)-SUM($B70:P70))+IF($Y69&gt;1,IF(INT(Q$6/$X69)&gt;0,$Z69-$AA69,0),-$AA69)</f>
        <v>0</v>
      </c>
      <c r="R70" s="511" t="n">
        <f aca="false">IF(INT(R$6/$X69)*$X$7&gt;R68*($X$7+$Z69)*$Y69,R68*($X$7+$Z69)-SUM($B70:Q70),INT(R$6/$X69)*$X$7-R68*($X$7+$Z69)*($Y69-1)-SUM($B70:Q70))+IF($Y69&gt;1,IF(INT(R$6/$X69)&gt;0,$Z69-$AA69,0),-$AA69)</f>
        <v>0</v>
      </c>
      <c r="S70" s="511" t="n">
        <f aca="false">IF(INT(S$6/$X69)*$X$7&gt;S68*($X$7+$Z69)*$Y69,S68*($X$7+$Z69)-SUM($B70:R70),INT(S$6/$X69)*$X$7-S68*($X$7+$Z69)*($Y69-1)-SUM($B70:R70))+IF($Y69&gt;1,IF(INT(S$6/$X69)&gt;0,$Z69-$AA69,0),-$AA69)</f>
        <v>0</v>
      </c>
      <c r="T70" s="511" t="n">
        <f aca="false">IF(INT(T$6/$X69)*$X$7&gt;T68*($X$7+$Z69)*$Y69,T68*($X$7+$Z69)-SUM($B70:S70),INT(T$6/$X69)*$X$7-T68*($X$7+$Z69)*($Y69-1)-SUM($B70:S70))+IF($Y69&gt;1,IF(INT(T$6/$X69)&gt;0,$Z69-$AA69,0),-$AA69)</f>
        <v>0</v>
      </c>
      <c r="U70" s="511" t="n">
        <f aca="false">IF(INT(U$6/$X69)*$X$7&gt;U68*($X$7+$Z69)*$Y69,U68*($X$7+$Z69)-SUM($B70:T70),INT(U$6/$X69)*$X$7-U68*($X$7+$Z69)*($Y69-1)-SUM($B70:T70))+IF($Y69&gt;1,IF(INT(U$6/$X69)&gt;0,$Z69-$AA69,0),-$AA69)</f>
        <v>0</v>
      </c>
      <c r="V70" s="511" t="n">
        <f aca="false">IF(INT(V$6/$X69)*$X$7&gt;V68*($X$7+$Z69)*$Y69,V68*($X$7+$Z69)-SUM($B70:U70),INT(V$6/$X69)*$X$7-V68*($X$7+$Z69)*($Y69-1)-SUM($B70:U70))+IF($Y69&gt;1,IF(INT(V$6/$X69)&gt;0,$Z69-$AA69,0),-$AA69)</f>
        <v>0</v>
      </c>
      <c r="W70" s="803"/>
      <c r="AA70" s="157"/>
      <c r="AB70" s="157"/>
    </row>
    <row r="71" customFormat="false" ht="12.75" hidden="false" customHeight="false" outlineLevel="0" collapsed="false">
      <c r="A71" s="157"/>
      <c r="B71" s="518"/>
      <c r="C71" s="518"/>
      <c r="D71" s="518"/>
      <c r="E71" s="518"/>
      <c r="F71" s="518"/>
      <c r="G71" s="518"/>
      <c r="H71" s="518"/>
      <c r="I71" s="518"/>
      <c r="J71" s="518"/>
      <c r="K71" s="518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785"/>
      <c r="X71" s="157"/>
      <c r="Y71" s="157"/>
      <c r="Z71" s="157"/>
      <c r="AA71" s="157"/>
      <c r="AB71" s="157"/>
    </row>
    <row r="72" customFormat="false" ht="12.75" hidden="true" customHeight="false" outlineLevel="0" collapsed="false">
      <c r="A72" s="153" t="s">
        <v>1395</v>
      </c>
      <c r="B72" s="511"/>
      <c r="C72" s="153" t="n">
        <f aca="false">INT((INT(C$6/$X73)*$X$7+$X$7+$Z73-1)/($X$7+$Z73)/$Y73)</f>
        <v>0</v>
      </c>
      <c r="D72" s="153" t="n">
        <f aca="false">INT((INT(D$6/$X73)*$X$7+$X$7+$Z73-1)/($X$7+$Z73)/$Y73)</f>
        <v>0</v>
      </c>
      <c r="E72" s="153" t="n">
        <f aca="false">INT((INT(E$6/$X73)*$X$7+$X$7+$Z73-1)/($X$7+$Z73)/$Y73)</f>
        <v>0</v>
      </c>
      <c r="F72" s="153" t="n">
        <f aca="false">INT((INT(F$6/$X73)*$X$7+$X$7+$Z73-1)/($X$7+$Z73)/$Y73)</f>
        <v>0</v>
      </c>
      <c r="G72" s="153" t="n">
        <f aca="false">INT((INT(G$6/$X73)*$X$7+$X$7+$Z73-1)/($X$7+$Z73)/$Y73)</f>
        <v>0</v>
      </c>
      <c r="H72" s="153" t="n">
        <f aca="false">INT((INT(H$6/$X73)*$X$7+$X$7+$Z73-1)/($X$7+$Z73)/$Y73)</f>
        <v>0</v>
      </c>
      <c r="I72" s="153" t="n">
        <f aca="false">INT((INT(I$6/$X73)*$X$7+$X$7+$Z73-1)/($X$7+$Z73)/$Y73)</f>
        <v>0</v>
      </c>
      <c r="J72" s="153" t="n">
        <f aca="false">INT((INT(J$6/$X73)*$X$7+$X$7+$Z73-1)/($X$7+$Z73)/$Y73)</f>
        <v>0</v>
      </c>
      <c r="K72" s="153" t="n">
        <f aca="false">INT((INT(K$6/$X73)*$X$7+$X$7+$Z73-1)/($X$7+$Z73)/$Y73)</f>
        <v>0</v>
      </c>
      <c r="L72" s="153" t="n">
        <f aca="false">INT((INT(L$6/$X73)*$X$7+$X$7+$Z73-1)/($X$7+$Z73)/$Y73)</f>
        <v>0</v>
      </c>
      <c r="M72" s="153" t="n">
        <f aca="false">INT((INT(M$6/$X73)*$X$7+$X$7+$Z73-1)/($X$7+$Z73)/$Y73)</f>
        <v>0</v>
      </c>
      <c r="N72" s="153" t="n">
        <f aca="false">INT((INT(N$6/$X73)*$X$7+$X$7+$Z73-1)/($X$7+$Z73)/$Y73)</f>
        <v>0</v>
      </c>
      <c r="O72" s="153" t="n">
        <f aca="false">INT((INT(O$6/$X73)*$X$7+$X$7+$Z73-1)/($X$7+$Z73)/$Y73)</f>
        <v>0</v>
      </c>
      <c r="P72" s="153" t="n">
        <f aca="false">INT((INT(P$6/$X73)*$X$7+$X$7+$Z73-1)/($X$7+$Z73)/$Y73)</f>
        <v>0</v>
      </c>
      <c r="Q72" s="153" t="n">
        <f aca="false">INT((INT(Q$6/$X73)*$X$7+$X$7+$Z73-1)/($X$7+$Z73)/$Y73)</f>
        <v>0</v>
      </c>
      <c r="R72" s="153" t="n">
        <f aca="false">INT((INT(R$6/$X73)*$X$7+$X$7+$Z73-1)/($X$7+$Z73)/$Y73)</f>
        <v>0</v>
      </c>
      <c r="S72" s="153" t="n">
        <f aca="false">INT((INT(S$6/$X73)*$X$7+$X$7+$Z73-1)/($X$7+$Z73)/$Y73)</f>
        <v>0</v>
      </c>
      <c r="T72" s="153" t="n">
        <f aca="false">INT((INT(T$6/$X73)*$X$7+$X$7+$Z73-1)/($X$7+$Z73)/$Y73)</f>
        <v>0</v>
      </c>
      <c r="U72" s="153" t="n">
        <f aca="false">INT((INT(U$6/$X73)*$X$7+$X$7+$Z73-1)/($X$7+$Z73)/$Y73)</f>
        <v>0</v>
      </c>
      <c r="V72" s="153" t="n">
        <f aca="false">INT((INT(V$6/$X73)*$X$7+$X$7+$Z73-1)/($X$7+$Z73)/$Y73)</f>
        <v>0</v>
      </c>
      <c r="W72" s="157"/>
      <c r="X72" s="157"/>
      <c r="Y72" s="157"/>
      <c r="Z72" s="157"/>
      <c r="AA72" s="157"/>
      <c r="AB72" s="157"/>
    </row>
    <row r="73" customFormat="false" ht="12.75" hidden="false" customHeight="false" outlineLevel="0" collapsed="false">
      <c r="A73" s="153" t="s">
        <v>1396</v>
      </c>
      <c r="B73" s="511" t="s">
        <v>1007</v>
      </c>
      <c r="C73" s="511" t="n">
        <f aca="false">IF($Y73=1,0,$X$7*(INT(C$6/$X73)-INT(B$6/$X73))-IF(SUM($B73:B73)&gt;0,C74,0))</f>
        <v>0</v>
      </c>
      <c r="D73" s="511" t="n">
        <f aca="false">IF($Y73=1,0,$X$7*(INT(D$6/$X73)-INT(C$6/$X73))-IF(SUM($B73:C73)&gt;0,D74,0))</f>
        <v>0</v>
      </c>
      <c r="E73" s="511" t="n">
        <f aca="false">IF($Y73=1,0,$X$7*(INT(E$6/$X73)-INT(D$6/$X73))-IF(SUM($B73:D73)&gt;0,E74,0))</f>
        <v>0</v>
      </c>
      <c r="F73" s="511" t="n">
        <f aca="false">IF($Y73=1,0,$X$7*(INT(F$6/$X73)-INT(E$6/$X73))-IF(SUM($B73:E73)&gt;0,F74,0))</f>
        <v>0</v>
      </c>
      <c r="G73" s="511" t="n">
        <f aca="false">IF($Y73=1,0,$X$7*(INT(G$6/$X73)-INT(F$6/$X73))-IF(SUM($B73:F73)&gt;0,G74,0))</f>
        <v>0</v>
      </c>
      <c r="H73" s="511" t="n">
        <f aca="false">IF($Y73=1,0,$X$7*(INT(H$6/$X73)-INT(G$6/$X73))-IF(SUM($B73:G73)&gt;0,H74,0))</f>
        <v>0</v>
      </c>
      <c r="I73" s="511" t="n">
        <f aca="false">IF($Y73=1,0,$X$7*(INT(I$6/$X73)-INT(H$6/$X73))-IF(SUM($B73:H73)&gt;0,I74,0))</f>
        <v>0</v>
      </c>
      <c r="J73" s="511" t="n">
        <f aca="false">IF($Y73=1,0,$X$7*(INT(J$6/$X73)-INT(I$6/$X73))-IF(SUM($B73:I73)&gt;0,J74,0))</f>
        <v>0</v>
      </c>
      <c r="K73" s="511" t="n">
        <f aca="false">IF($Y73=1,0,$X$7*(INT(K$6/$X73)-INT(J$6/$X73))-IF(SUM($B73:J73)&gt;0,K74,0))</f>
        <v>0</v>
      </c>
      <c r="L73" s="511" t="n">
        <f aca="false">IF($Y73=1,0,$X$7*(INT(L$6/$X73)-INT(K$6/$X73))-IF(SUM($B73:K73)&gt;0,L74,0))</f>
        <v>0</v>
      </c>
      <c r="M73" s="511" t="n">
        <f aca="false">IF($Y73=1,0,$X$7*(INT(M$6/$X73)-INT(L$6/$X73))-IF(SUM($B73:L73)&gt;0,M74,0))</f>
        <v>0</v>
      </c>
      <c r="N73" s="511" t="n">
        <f aca="false">IF($Y73=1,0,$X$7*(INT(N$6/$X73)-INT(M$6/$X73))-IF(SUM($B73:M73)&gt;0,N74,0))</f>
        <v>0</v>
      </c>
      <c r="O73" s="511" t="n">
        <f aca="false">IF($Y73=1,0,$X$7*(INT(O$6/$X73)-INT(N$6/$X73))-IF(SUM($B73:N73)&gt;0,O74,0))</f>
        <v>0</v>
      </c>
      <c r="P73" s="511" t="n">
        <f aca="false">IF($Y73=1,0,$X$7*(INT(P$6/$X73)-INT(O$6/$X73))-IF(SUM($B73:O73)&gt;0,P74,0))</f>
        <v>0</v>
      </c>
      <c r="Q73" s="511" t="n">
        <f aca="false">IF($Y73=1,0,$X$7*(INT(Q$6/$X73)-INT(P$6/$X73))-IF(SUM($B73:P73)&gt;0,Q74,0))</f>
        <v>0</v>
      </c>
      <c r="R73" s="511" t="n">
        <f aca="false">IF($Y73=1,0,$X$7*(INT(R$6/$X73)-INT(Q$6/$X73))-IF(SUM($B73:Q73)&gt;0,R74,0))</f>
        <v>0</v>
      </c>
      <c r="S73" s="511" t="n">
        <f aca="false">IF($Y73=1,0,$X$7*(INT(S$6/$X73)-INT(R$6/$X73))-IF(SUM($B73:R73)&gt;0,S74,0))</f>
        <v>0</v>
      </c>
      <c r="T73" s="511" t="n">
        <f aca="false">IF($Y73=1,0,$X$7*(INT(T$6/$X73)-INT(S$6/$X73))-IF(SUM($B73:S73)&gt;0,T74,0))</f>
        <v>0</v>
      </c>
      <c r="U73" s="511" t="n">
        <f aca="false">IF($Y73=1,0,$X$7*(INT(U$6/$X73)-INT(T$6/$X73))-IF(SUM($B73:T73)&gt;0,U74,0))</f>
        <v>0</v>
      </c>
      <c r="V73" s="511" t="n">
        <f aca="false">IF($Y73=1,0,$X$7*(INT(V$6/$X73)-INT(U$6/$X73))-IF(SUM($B73:U73)&gt;0,V74,0))</f>
        <v>0</v>
      </c>
      <c r="W73" s="808" t="str">
        <f aca="false">'GT schd cost(W501D5)'!A28</f>
        <v>Row 2 ring segments</v>
      </c>
      <c r="X73" s="800" t="n">
        <f aca="false">IF($AD$6=1,'GTDB(W501D5)'!B31,'GTDB(W501D5)'!G31)</f>
        <v>24000</v>
      </c>
      <c r="Y73" s="800" t="n">
        <f aca="false">IF($AD$6=1,'GTDB(W501D5)'!C31,'GTDB(W501D5)'!H31)</f>
        <v>2</v>
      </c>
      <c r="Z73" s="801" t="n">
        <v>1</v>
      </c>
      <c r="AA73" s="805" t="n">
        <f aca="false">'Initial_Spares(W501D5)'!$E$25</f>
        <v>0</v>
      </c>
      <c r="AB73" s="764" t="n">
        <f aca="false">'GT schd cost(W501D5)'!X28+'GT schd cost(W501D5)'!X54</f>
        <v>0</v>
      </c>
    </row>
    <row r="74" customFormat="false" ht="12.75" hidden="false" customHeight="false" outlineLevel="0" collapsed="false">
      <c r="A74" s="153" t="s">
        <v>1397</v>
      </c>
      <c r="B74" s="511" t="s">
        <v>1007</v>
      </c>
      <c r="C74" s="511" t="n">
        <f aca="false">IF(INT(C$6/$X73)*$X$7&gt;C72*($X$7+$Z73)*$Y73,C72*($X$7+$Z73)-SUM($B74:B74),INT(C$6/$X73)*$X$7-C72*($X$7+$Z73)*($Y73-1)-SUM($B74:B74))+IF($Y73&gt;1,IF(INT(C$6/$X73)&gt;0,$Z73-$AA73,0),-$AA73)</f>
        <v>0</v>
      </c>
      <c r="D74" s="511" t="n">
        <f aca="false">IF(INT(D$6/$X73)*$X$7&gt;D72*($X$7+$Z73)*$Y73,D72*($X$7+$Z73)-SUM($B74:C74),INT(D$6/$X73)*$X$7-D72*($X$7+$Z73)*($Y73-1)-SUM($B74:C74))+IF($Y73&gt;1,IF(INT(D$6/$X73)&gt;0,$Z73-$AA73,0),-$AA73)</f>
        <v>0</v>
      </c>
      <c r="E74" s="511" t="n">
        <f aca="false">IF(INT(E$6/$X73)*$X$7&gt;E72*($X$7+$Z73)*$Y73,E72*($X$7+$Z73)-SUM($B74:D74),INT(E$6/$X73)*$X$7-E72*($X$7+$Z73)*($Y73-1)-SUM($B74:D74))+IF($Y73&gt;1,IF(INT(E$6/$X73)&gt;0,$Z73-$AA73,0),-$AA73)</f>
        <v>0</v>
      </c>
      <c r="F74" s="511" t="n">
        <f aca="false">IF(INT(F$6/$X73)*$X$7&gt;F72*($X$7+$Z73)*$Y73,F72*($X$7+$Z73)-SUM($B74:E74),INT(F$6/$X73)*$X$7-F72*($X$7+$Z73)*($Y73-1)-SUM($B74:E74))+IF($Y73&gt;1,IF(INT(F$6/$X73)&gt;0,$Z73-$AA73,0),-$AA73)</f>
        <v>0</v>
      </c>
      <c r="G74" s="511" t="n">
        <f aca="false">IF(INT(G$6/$X73)*$X$7&gt;G72*($X$7+$Z73)*$Y73,G72*($X$7+$Z73)-SUM($B74:F74),INT(G$6/$X73)*$X$7-G72*($X$7+$Z73)*($Y73-1)-SUM($B74:F74))+IF($Y73&gt;1,IF(INT(G$6/$X73)&gt;0,$Z73-$AA73,0),-$AA73)</f>
        <v>0</v>
      </c>
      <c r="H74" s="511" t="n">
        <f aca="false">IF(INT(H$6/$X73)*$X$7&gt;H72*($X$7+$Z73)*$Y73,H72*($X$7+$Z73)-SUM($B74:G74),INT(H$6/$X73)*$X$7-H72*($X$7+$Z73)*($Y73-1)-SUM($B74:G74))+IF($Y73&gt;1,IF(INT(H$6/$X73)&gt;0,$Z73-$AA73,0),-$AA73)</f>
        <v>0</v>
      </c>
      <c r="I74" s="511" t="n">
        <f aca="false">IF(INT(I$6/$X73)*$X$7&gt;I72*($X$7+$Z73)*$Y73,I72*($X$7+$Z73)-SUM($B74:H74),INT(I$6/$X73)*$X$7-I72*($X$7+$Z73)*($Y73-1)-SUM($B74:H74))+IF($Y73&gt;1,IF(INT(I$6/$X73)&gt;0,$Z73-$AA73,0),-$AA73)</f>
        <v>0</v>
      </c>
      <c r="J74" s="511" t="n">
        <f aca="false">IF(INT(J$6/$X73)*$X$7&gt;J72*($X$7+$Z73)*$Y73,J72*($X$7+$Z73)-SUM($B74:I74),INT(J$6/$X73)*$X$7-J72*($X$7+$Z73)*($Y73-1)-SUM($B74:I74))+IF($Y73&gt;1,IF(INT(J$6/$X73)&gt;0,$Z73-$AA73,0),-$AA73)</f>
        <v>0</v>
      </c>
      <c r="K74" s="511" t="n">
        <f aca="false">IF(INT(K$6/$X73)*$X$7&gt;K72*($X$7+$Z73)*$Y73,K72*($X$7+$Z73)-SUM($B74:J74),INT(K$6/$X73)*$X$7-K72*($X$7+$Z73)*($Y73-1)-SUM($B74:J74))+IF($Y73&gt;1,IF(INT(K$6/$X73)&gt;0,$Z73-$AA73,0),-$AA73)</f>
        <v>0</v>
      </c>
      <c r="L74" s="511" t="n">
        <f aca="false">IF(INT(L$6/$X73)*$X$7&gt;L72*($X$7+$Z73)*$Y73,L72*($X$7+$Z73)-SUM($B74:K74),INT(L$6/$X73)*$X$7-L72*($X$7+$Z73)*($Y73-1)-SUM($B74:K74))+IF($Y73&gt;1,IF(INT(L$6/$X73)&gt;0,$Z73-$AA73,0),-$AA73)</f>
        <v>0</v>
      </c>
      <c r="M74" s="511" t="n">
        <f aca="false">IF(INT(M$6/$X73)*$X$7&gt;M72*($X$7+$Z73)*$Y73,M72*($X$7+$Z73)-SUM($B74:L74),INT(M$6/$X73)*$X$7-M72*($X$7+$Z73)*($Y73-1)-SUM($B74:L74))+IF($Y73&gt;1,IF(INT(M$6/$X73)&gt;0,$Z73-$AA73,0),-$AA73)</f>
        <v>0</v>
      </c>
      <c r="N74" s="511" t="n">
        <f aca="false">IF(INT(N$6/$X73)*$X$7&gt;N72*($X$7+$Z73)*$Y73,N72*($X$7+$Z73)-SUM($B74:M74),INT(N$6/$X73)*$X$7-N72*($X$7+$Z73)*($Y73-1)-SUM($B74:M74))+IF($Y73&gt;1,IF(INT(N$6/$X73)&gt;0,$Z73-$AA73,0),-$AA73)</f>
        <v>0</v>
      </c>
      <c r="O74" s="511" t="n">
        <f aca="false">IF(INT(O$6/$X73)*$X$7&gt;O72*($X$7+$Z73)*$Y73,O72*($X$7+$Z73)-SUM($B74:N74),INT(O$6/$X73)*$X$7-O72*($X$7+$Z73)*($Y73-1)-SUM($B74:N74))+IF($Y73&gt;1,IF(INT(O$6/$X73)&gt;0,$Z73-$AA73,0),-$AA73)</f>
        <v>0</v>
      </c>
      <c r="P74" s="511" t="n">
        <f aca="false">IF(INT(P$6/$X73)*$X$7&gt;P72*($X$7+$Z73)*$Y73,P72*($X$7+$Z73)-SUM($B74:O74),INT(P$6/$X73)*$X$7-P72*($X$7+$Z73)*($Y73-1)-SUM($B74:O74))+IF($Y73&gt;1,IF(INT(P$6/$X73)&gt;0,$Z73-$AA73,0),-$AA73)</f>
        <v>0</v>
      </c>
      <c r="Q74" s="511" t="n">
        <f aca="false">IF(INT(Q$6/$X73)*$X$7&gt;Q72*($X$7+$Z73)*$Y73,Q72*($X$7+$Z73)-SUM($B74:P74),INT(Q$6/$X73)*$X$7-Q72*($X$7+$Z73)*($Y73-1)-SUM($B74:P74))+IF($Y73&gt;1,IF(INT(Q$6/$X73)&gt;0,$Z73-$AA73,0),-$AA73)</f>
        <v>0</v>
      </c>
      <c r="R74" s="511" t="n">
        <f aca="false">IF(INT(R$6/$X73)*$X$7&gt;R72*($X$7+$Z73)*$Y73,R72*($X$7+$Z73)-SUM($B74:Q74),INT(R$6/$X73)*$X$7-R72*($X$7+$Z73)*($Y73-1)-SUM($B74:Q74))+IF($Y73&gt;1,IF(INT(R$6/$X73)&gt;0,$Z73-$AA73,0),-$AA73)</f>
        <v>0</v>
      </c>
      <c r="S74" s="511" t="n">
        <f aca="false">IF(INT(S$6/$X73)*$X$7&gt;S72*($X$7+$Z73)*$Y73,S72*($X$7+$Z73)-SUM($B74:R74),INT(S$6/$X73)*$X$7-S72*($X$7+$Z73)*($Y73-1)-SUM($B74:R74))+IF($Y73&gt;1,IF(INT(S$6/$X73)&gt;0,$Z73-$AA73,0),-$AA73)</f>
        <v>0</v>
      </c>
      <c r="T74" s="511" t="n">
        <f aca="false">IF(INT(T$6/$X73)*$X$7&gt;T72*($X$7+$Z73)*$Y73,T72*($X$7+$Z73)-SUM($B74:S74),INT(T$6/$X73)*$X$7-T72*($X$7+$Z73)*($Y73-1)-SUM($B74:S74))+IF($Y73&gt;1,IF(INT(T$6/$X73)&gt;0,$Z73-$AA73,0),-$AA73)</f>
        <v>0</v>
      </c>
      <c r="U74" s="511" t="n">
        <f aca="false">IF(INT(U$6/$X73)*$X$7&gt;U72*($X$7+$Z73)*$Y73,U72*($X$7+$Z73)-SUM($B74:T74),INT(U$6/$X73)*$X$7-U72*($X$7+$Z73)*($Y73-1)-SUM($B74:T74))+IF($Y73&gt;1,IF(INT(U$6/$X73)&gt;0,$Z73-$AA73,0),-$AA73)</f>
        <v>0</v>
      </c>
      <c r="V74" s="511" t="n">
        <f aca="false">IF(INT(V$6/$X73)*$X$7&gt;V72*($X$7+$Z73)*$Y73,V72*($X$7+$Z73)-SUM($B74:U74),INT(V$6/$X73)*$X$7-V72*($X$7+$Z73)*($Y73-1)-SUM($B74:U74))+IF($Y73&gt;1,IF(INT(V$6/$X73)&gt;0,$Z73-$AA73,0),-$AA73)</f>
        <v>0</v>
      </c>
      <c r="W74" s="803"/>
      <c r="AA74" s="157"/>
      <c r="AB74" s="157"/>
    </row>
    <row r="75" customFormat="false" ht="12.75" hidden="false" customHeight="false" outlineLevel="0" collapsed="false">
      <c r="A75" s="157"/>
      <c r="B75" s="518"/>
      <c r="C75" s="518"/>
      <c r="D75" s="518"/>
      <c r="E75" s="518"/>
      <c r="F75" s="518"/>
      <c r="G75" s="518"/>
      <c r="H75" s="518"/>
      <c r="I75" s="157"/>
      <c r="J75" s="518"/>
      <c r="K75" s="518"/>
      <c r="L75" s="518"/>
      <c r="M75" s="518"/>
      <c r="N75" s="157"/>
      <c r="O75" s="157"/>
      <c r="P75" s="157"/>
      <c r="Q75" s="157"/>
      <c r="R75" s="157"/>
      <c r="S75" s="157"/>
      <c r="T75" s="157"/>
      <c r="U75" s="157"/>
      <c r="V75" s="157"/>
      <c r="W75" s="785"/>
      <c r="X75" s="157"/>
      <c r="Y75" s="157"/>
      <c r="Z75" s="157"/>
      <c r="AA75" s="157"/>
      <c r="AB75" s="157"/>
    </row>
    <row r="76" customFormat="false" ht="12.75" hidden="true" customHeight="false" outlineLevel="0" collapsed="false">
      <c r="A76" s="153" t="s">
        <v>1395</v>
      </c>
      <c r="B76" s="511"/>
      <c r="C76" s="153" t="n">
        <f aca="false">INT((INT(C$6/$X77)*$X$7+$X$7+$Z77-1)/($X$7+$Z77)/$Y77)</f>
        <v>0</v>
      </c>
      <c r="D76" s="153" t="n">
        <f aca="false">INT((INT(D$6/$X77)*$X$7+$X$7+$Z77-1)/($X$7+$Z77)/$Y77)</f>
        <v>0</v>
      </c>
      <c r="E76" s="153" t="n">
        <f aca="false">INT((INT(E$6/$X77)*$X$7+$X$7+$Z77-1)/($X$7+$Z77)/$Y77)</f>
        <v>0</v>
      </c>
      <c r="F76" s="153" t="n">
        <f aca="false">INT((INT(F$6/$X77)*$X$7+$X$7+$Z77-1)/($X$7+$Z77)/$Y77)</f>
        <v>0</v>
      </c>
      <c r="G76" s="153" t="n">
        <f aca="false">INT((INT(G$6/$X77)*$X$7+$X$7+$Z77-1)/($X$7+$Z77)/$Y77)</f>
        <v>0</v>
      </c>
      <c r="H76" s="153" t="n">
        <f aca="false">INT((INT(H$6/$X77)*$X$7+$X$7+$Z77-1)/($X$7+$Z77)/$Y77)</f>
        <v>0</v>
      </c>
      <c r="I76" s="153" t="n">
        <f aca="false">INT((INT(I$6/$X77)*$X$7+$X$7+$Z77-1)/($X$7+$Z77)/$Y77)</f>
        <v>0</v>
      </c>
      <c r="J76" s="153" t="n">
        <f aca="false">INT((INT(J$6/$X77)*$X$7+$X$7+$Z77-1)/($X$7+$Z77)/$Y77)</f>
        <v>0</v>
      </c>
      <c r="K76" s="153" t="n">
        <f aca="false">INT((INT(K$6/$X77)*$X$7+$X$7+$Z77-1)/($X$7+$Z77)/$Y77)</f>
        <v>0</v>
      </c>
      <c r="L76" s="153" t="n">
        <f aca="false">INT((INT(L$6/$X77)*$X$7+$X$7+$Z77-1)/($X$7+$Z77)/$Y77)</f>
        <v>0</v>
      </c>
      <c r="M76" s="153" t="n">
        <f aca="false">INT((INT(M$6/$X77)*$X$7+$X$7+$Z77-1)/($X$7+$Z77)/$Y77)</f>
        <v>0</v>
      </c>
      <c r="N76" s="153" t="n">
        <f aca="false">INT((INT(N$6/$X77)*$X$7+$X$7+$Z77-1)/($X$7+$Z77)/$Y77)</f>
        <v>0</v>
      </c>
      <c r="O76" s="153" t="n">
        <f aca="false">INT((INT(O$6/$X77)*$X$7+$X$7+$Z77-1)/($X$7+$Z77)/$Y77)</f>
        <v>0</v>
      </c>
      <c r="P76" s="153" t="n">
        <f aca="false">INT((INT(P$6/$X77)*$X$7+$X$7+$Z77-1)/($X$7+$Z77)/$Y77)</f>
        <v>0</v>
      </c>
      <c r="Q76" s="153" t="n">
        <f aca="false">INT((INT(Q$6/$X77)*$X$7+$X$7+$Z77-1)/($X$7+$Z77)/$Y77)</f>
        <v>0</v>
      </c>
      <c r="R76" s="153" t="n">
        <f aca="false">INT((INT(R$6/$X77)*$X$7+$X$7+$Z77-1)/($X$7+$Z77)/$Y77)</f>
        <v>0</v>
      </c>
      <c r="S76" s="153" t="n">
        <f aca="false">INT((INT(S$6/$X77)*$X$7+$X$7+$Z77-1)/($X$7+$Z77)/$Y77)</f>
        <v>0</v>
      </c>
      <c r="T76" s="153" t="n">
        <f aca="false">INT((INT(T$6/$X77)*$X$7+$X$7+$Z77-1)/($X$7+$Z77)/$Y77)</f>
        <v>0</v>
      </c>
      <c r="U76" s="153" t="n">
        <f aca="false">INT((INT(U$6/$X77)*$X$7+$X$7+$Z77-1)/($X$7+$Z77)/$Y77)</f>
        <v>0</v>
      </c>
      <c r="V76" s="153" t="n">
        <f aca="false">INT((INT(V$6/$X77)*$X$7+$X$7+$Z77-1)/($X$7+$Z77)/$Y77)</f>
        <v>0</v>
      </c>
      <c r="W76" s="157"/>
      <c r="X76" s="157"/>
      <c r="Y76" s="157"/>
      <c r="Z76" s="157"/>
      <c r="AA76" s="157"/>
      <c r="AB76" s="157"/>
    </row>
    <row r="77" customFormat="false" ht="12.75" hidden="false" customHeight="false" outlineLevel="0" collapsed="false">
      <c r="A77" s="153" t="s">
        <v>1396</v>
      </c>
      <c r="B77" s="511" t="s">
        <v>1007</v>
      </c>
      <c r="C77" s="511" t="n">
        <f aca="false">IF($Y77=1,0,$X$7*(INT(C$6/$X77)-INT(B$6/$X77))-IF(SUM($B77:B77)&gt;0,C78,0))</f>
        <v>0</v>
      </c>
      <c r="D77" s="511" t="n">
        <f aca="false">IF($Y77=1,0,$X$7*(INT(D$6/$X77)-INT(C$6/$X77))-IF(SUM($B77:C77)&gt;0,D78,0))</f>
        <v>0</v>
      </c>
      <c r="E77" s="511" t="n">
        <f aca="false">IF($Y77=1,0,$X$7*(INT(E$6/$X77)-INT(D$6/$X77))-IF(SUM($B77:D77)&gt;0,E78,0))</f>
        <v>0</v>
      </c>
      <c r="F77" s="511" t="n">
        <f aca="false">IF($Y77=1,0,$X$7*(INT(F$6/$X77)-INT(E$6/$X77))-IF(SUM($B77:E77)&gt;0,F78,0))</f>
        <v>0</v>
      </c>
      <c r="G77" s="511" t="n">
        <f aca="false">IF($Y77=1,0,$X$7*(INT(G$6/$X77)-INT(F$6/$X77))-IF(SUM($B77:F77)&gt;0,G78,0))</f>
        <v>0</v>
      </c>
      <c r="H77" s="511" t="n">
        <f aca="false">IF($Y77=1,0,$X$7*(INT(H$6/$X77)-INT(G$6/$X77))-IF(SUM($B77:G77)&gt;0,H78,0))</f>
        <v>0</v>
      </c>
      <c r="I77" s="511" t="n">
        <f aca="false">IF($Y77=1,0,$X$7*(INT(I$6/$X77)-INT(H$6/$X77))-IF(SUM($B77:H77)&gt;0,I78,0))</f>
        <v>0</v>
      </c>
      <c r="J77" s="511" t="n">
        <f aca="false">IF($Y77=1,0,$X$7*(INT(J$6/$X77)-INT(I$6/$X77))-IF(SUM($B77:I77)&gt;0,J78,0))</f>
        <v>0</v>
      </c>
      <c r="K77" s="511" t="n">
        <f aca="false">IF($Y77=1,0,$X$7*(INT(K$6/$X77)-INT(J$6/$X77))-IF(SUM($B77:J77)&gt;0,K78,0))</f>
        <v>0</v>
      </c>
      <c r="L77" s="511" t="n">
        <f aca="false">IF($Y77=1,0,$X$7*(INT(L$6/$X77)-INT(K$6/$X77))-IF(SUM($B77:K77)&gt;0,L78,0))</f>
        <v>0</v>
      </c>
      <c r="M77" s="511" t="n">
        <f aca="false">IF($Y77=1,0,$X$7*(INT(M$6/$X77)-INT(L$6/$X77))-IF(SUM($B77:L77)&gt;0,M78,0))</f>
        <v>0</v>
      </c>
      <c r="N77" s="511" t="n">
        <f aca="false">IF($Y77=1,0,$X$7*(INT(N$6/$X77)-INT(M$6/$X77))-IF(SUM($B77:M77)&gt;0,N78,0))</f>
        <v>0</v>
      </c>
      <c r="O77" s="511" t="n">
        <f aca="false">IF($Y77=1,0,$X$7*(INT(O$6/$X77)-INT(N$6/$X77))-IF(SUM($B77:N77)&gt;0,O78,0))</f>
        <v>0</v>
      </c>
      <c r="P77" s="511" t="n">
        <f aca="false">IF($Y77=1,0,$X$7*(INT(P$6/$X77)-INT(O$6/$X77))-IF(SUM($B77:O77)&gt;0,P78,0))</f>
        <v>0</v>
      </c>
      <c r="Q77" s="511" t="n">
        <f aca="false">IF($Y77=1,0,$X$7*(INT(Q$6/$X77)-INT(P$6/$X77))-IF(SUM($B77:P77)&gt;0,Q78,0))</f>
        <v>0</v>
      </c>
      <c r="R77" s="511" t="n">
        <f aca="false">IF($Y77=1,0,$X$7*(INT(R$6/$X77)-INT(Q$6/$X77))-IF(SUM($B77:Q77)&gt;0,R78,0))</f>
        <v>0</v>
      </c>
      <c r="S77" s="511" t="n">
        <f aca="false">IF($Y77=1,0,$X$7*(INT(S$6/$X77)-INT(R$6/$X77))-IF(SUM($B77:R77)&gt;0,S78,0))</f>
        <v>0</v>
      </c>
      <c r="T77" s="511" t="n">
        <f aca="false">IF($Y77=1,0,$X$7*(INT(T$6/$X77)-INT(S$6/$X77))-IF(SUM($B77:S77)&gt;0,T78,0))</f>
        <v>0</v>
      </c>
      <c r="U77" s="511" t="n">
        <f aca="false">IF($Y77=1,0,$X$7*(INT(U$6/$X77)-INT(T$6/$X77))-IF(SUM($B77:T77)&gt;0,U78,0))</f>
        <v>0</v>
      </c>
      <c r="V77" s="511" t="n">
        <f aca="false">IF($Y77=1,0,$X$7*(INT(V$6/$X77)-INT(U$6/$X77))-IF(SUM($B77:U77)&gt;0,V78,0))</f>
        <v>0</v>
      </c>
      <c r="W77" s="808" t="str">
        <f aca="false">'GT schd cost(W501D5)'!A29</f>
        <v>Row 3 rings segments</v>
      </c>
      <c r="X77" s="800" t="n">
        <f aca="false">IF($AD$6=1,'GTDB(W501D5)'!B32,'GTDB(W501D5)'!G32)</f>
        <v>48000</v>
      </c>
      <c r="Y77" s="800" t="n">
        <f aca="false">IF($AD$6=1,'GTDB(W501D5)'!C32,'GTDB(W501D5)'!H32)</f>
        <v>1.5</v>
      </c>
      <c r="Z77" s="801" t="n">
        <v>1</v>
      </c>
      <c r="AA77" s="805" t="n">
        <f aca="false">'Initial_Spares(W501D5)'!$E$26</f>
        <v>0</v>
      </c>
      <c r="AB77" s="764" t="n">
        <f aca="false">'GT schd cost(W501D5)'!X29+'GT schd cost(W501D5)'!X55</f>
        <v>0</v>
      </c>
    </row>
    <row r="78" customFormat="false" ht="12.75" hidden="false" customHeight="false" outlineLevel="0" collapsed="false">
      <c r="A78" s="153" t="s">
        <v>1397</v>
      </c>
      <c r="B78" s="511" t="s">
        <v>1007</v>
      </c>
      <c r="C78" s="511" t="n">
        <f aca="false">IF(INT(C$6/$X77)*$X$7&gt;C76*($X$7+$Z77)*$Y77,C76*($X$7+$Z77)-SUM($B78:B78),INT(C$6/$X77)*$X$7-C76*($X$7+$Z77)*($Y77-1)-SUM($B78:B78))+IF($Y77&gt;1,IF(INT(C$6/$X77)&gt;0,$Z77-$AA77,0),-$AA77)</f>
        <v>0</v>
      </c>
      <c r="D78" s="511" t="n">
        <f aca="false">IF(INT(D$6/$X77)*$X$7&gt;D76*($X$7+$Z77)*$Y77,D76*($X$7+$Z77)-SUM($B78:C78),INT(D$6/$X77)*$X$7-D76*($X$7+$Z77)*($Y77-1)-SUM($B78:C78))+IF($Y77&gt;1,IF(INT(D$6/$X77)&gt;0,$Z77-$AA77,0),-$AA77)</f>
        <v>0</v>
      </c>
      <c r="E78" s="511" t="n">
        <f aca="false">IF(INT(E$6/$X77)*$X$7&gt;E76*($X$7+$Z77)*$Y77,E76*($X$7+$Z77)-SUM($B78:D78),INT(E$6/$X77)*$X$7-E76*($X$7+$Z77)*($Y77-1)-SUM($B78:D78))+IF($Y77&gt;1,IF(INT(E$6/$X77)&gt;0,$Z77-$AA77,0),-$AA77)</f>
        <v>0</v>
      </c>
      <c r="F78" s="511" t="n">
        <f aca="false">IF(INT(F$6/$X77)*$X$7&gt;F76*($X$7+$Z77)*$Y77,F76*($X$7+$Z77)-SUM($B78:E78),INT(F$6/$X77)*$X$7-F76*($X$7+$Z77)*($Y77-1)-SUM($B78:E78))+IF($Y77&gt;1,IF(INT(F$6/$X77)&gt;0,$Z77-$AA77,0),-$AA77)</f>
        <v>0</v>
      </c>
      <c r="G78" s="511" t="n">
        <f aca="false">IF(INT(G$6/$X77)*$X$7&gt;G76*($X$7+$Z77)*$Y77,G76*($X$7+$Z77)-SUM($B78:F78),INT(G$6/$X77)*$X$7-G76*($X$7+$Z77)*($Y77-1)-SUM($B78:F78))+IF($Y77&gt;1,IF(INT(G$6/$X77)&gt;0,$Z77-$AA77,0),-$AA77)</f>
        <v>0</v>
      </c>
      <c r="H78" s="511" t="n">
        <f aca="false">IF(INT(H$6/$X77)*$X$7&gt;H76*($X$7+$Z77)*$Y77,H76*($X$7+$Z77)-SUM($B78:G78),INT(H$6/$X77)*$X$7-H76*($X$7+$Z77)*($Y77-1)-SUM($B78:G78))+IF($Y77&gt;1,IF(INT(H$6/$X77)&gt;0,$Z77-$AA77,0),-$AA77)</f>
        <v>0</v>
      </c>
      <c r="I78" s="511" t="n">
        <f aca="false">IF(INT(I$6/$X77)*$X$7&gt;I76*($X$7+$Z77)*$Y77,I76*($X$7+$Z77)-SUM($B78:H78),INT(I$6/$X77)*$X$7-I76*($X$7+$Z77)*($Y77-1)-SUM($B78:H78))+IF($Y77&gt;1,IF(INT(I$6/$X77)&gt;0,$Z77-$AA77,0),-$AA77)</f>
        <v>0</v>
      </c>
      <c r="J78" s="511" t="n">
        <f aca="false">IF(INT(J$6/$X77)*$X$7&gt;J76*($X$7+$Z77)*$Y77,J76*($X$7+$Z77)-SUM($B78:I78),INT(J$6/$X77)*$X$7-J76*($X$7+$Z77)*($Y77-1)-SUM($B78:I78))+IF($Y77&gt;1,IF(INT(J$6/$X77)&gt;0,$Z77-$AA77,0),-$AA77)</f>
        <v>0</v>
      </c>
      <c r="K78" s="511" t="n">
        <f aca="false">IF(INT(K$6/$X77)*$X$7&gt;K76*($X$7+$Z77)*$Y77,K76*($X$7+$Z77)-SUM($B78:J78),INT(K$6/$X77)*$X$7-K76*($X$7+$Z77)*($Y77-1)-SUM($B78:J78))+IF($Y77&gt;1,IF(INT(K$6/$X77)&gt;0,$Z77-$AA77,0),-$AA77)</f>
        <v>0</v>
      </c>
      <c r="L78" s="511" t="n">
        <f aca="false">IF(INT(L$6/$X77)*$X$7&gt;L76*($X$7+$Z77)*$Y77,L76*($X$7+$Z77)-SUM($B78:K78),INT(L$6/$X77)*$X$7-L76*($X$7+$Z77)*($Y77-1)-SUM($B78:K78))+IF($Y77&gt;1,IF(INT(L$6/$X77)&gt;0,$Z77-$AA77,0),-$AA77)</f>
        <v>0</v>
      </c>
      <c r="M78" s="511" t="n">
        <f aca="false">IF(INT(M$6/$X77)*$X$7&gt;M76*($X$7+$Z77)*$Y77,M76*($X$7+$Z77)-SUM($B78:L78),INT(M$6/$X77)*$X$7-M76*($X$7+$Z77)*($Y77-1)-SUM($B78:L78))+IF($Y77&gt;1,IF(INT(M$6/$X77)&gt;0,$Z77-$AA77,0),-$AA77)</f>
        <v>0</v>
      </c>
      <c r="N78" s="511" t="n">
        <f aca="false">IF(INT(N$6/$X77)*$X$7&gt;N76*($X$7+$Z77)*$Y77,N76*($X$7+$Z77)-SUM($B78:M78),INT(N$6/$X77)*$X$7-N76*($X$7+$Z77)*($Y77-1)-SUM($B78:M78))+IF($Y77&gt;1,IF(INT(N$6/$X77)&gt;0,$Z77-$AA77,0),-$AA77)</f>
        <v>0</v>
      </c>
      <c r="O78" s="511" t="n">
        <f aca="false">IF(INT(O$6/$X77)*$X$7&gt;O76*($X$7+$Z77)*$Y77,O76*($X$7+$Z77)-SUM($B78:N78),INT(O$6/$X77)*$X$7-O76*($X$7+$Z77)*($Y77-1)-SUM($B78:N78))+IF($Y77&gt;1,IF(INT(O$6/$X77)&gt;0,$Z77-$AA77,0),-$AA77)</f>
        <v>0</v>
      </c>
      <c r="P78" s="511" t="n">
        <f aca="false">IF(INT(P$6/$X77)*$X$7&gt;P76*($X$7+$Z77)*$Y77,P76*($X$7+$Z77)-SUM($B78:O78),INT(P$6/$X77)*$X$7-P76*($X$7+$Z77)*($Y77-1)-SUM($B78:O78))+IF($Y77&gt;1,IF(INT(P$6/$X77)&gt;0,$Z77-$AA77,0),-$AA77)</f>
        <v>0</v>
      </c>
      <c r="Q78" s="511" t="n">
        <f aca="false">IF(INT(Q$6/$X77)*$X$7&gt;Q76*($X$7+$Z77)*$Y77,Q76*($X$7+$Z77)-SUM($B78:P78),INT(Q$6/$X77)*$X$7-Q76*($X$7+$Z77)*($Y77-1)-SUM($B78:P78))+IF($Y77&gt;1,IF(INT(Q$6/$X77)&gt;0,$Z77-$AA77,0),-$AA77)</f>
        <v>0</v>
      </c>
      <c r="R78" s="511" t="n">
        <f aca="false">IF(INT(R$6/$X77)*$X$7&gt;R76*($X$7+$Z77)*$Y77,R76*($X$7+$Z77)-SUM($B78:Q78),INT(R$6/$X77)*$X$7-R76*($X$7+$Z77)*($Y77-1)-SUM($B78:Q78))+IF($Y77&gt;1,IF(INT(R$6/$X77)&gt;0,$Z77-$AA77,0),-$AA77)</f>
        <v>0</v>
      </c>
      <c r="S78" s="511" t="n">
        <f aca="false">IF(INT(S$6/$X77)*$X$7&gt;S76*($X$7+$Z77)*$Y77,S76*($X$7+$Z77)-SUM($B78:R78),INT(S$6/$X77)*$X$7-S76*($X$7+$Z77)*($Y77-1)-SUM($B78:R78))+IF($Y77&gt;1,IF(INT(S$6/$X77)&gt;0,$Z77-$AA77,0),-$AA77)</f>
        <v>0</v>
      </c>
      <c r="T78" s="511" t="n">
        <f aca="false">IF(INT(T$6/$X77)*$X$7&gt;T76*($X$7+$Z77)*$Y77,T76*($X$7+$Z77)-SUM($B78:S78),INT(T$6/$X77)*$X$7-T76*($X$7+$Z77)*($Y77-1)-SUM($B78:S78))+IF($Y77&gt;1,IF(INT(T$6/$X77)&gt;0,$Z77-$AA77,0),-$AA77)</f>
        <v>0</v>
      </c>
      <c r="U78" s="511" t="n">
        <f aca="false">IF(INT(U$6/$X77)*$X$7&gt;U76*($X$7+$Z77)*$Y77,U76*($X$7+$Z77)-SUM($B78:T78),INT(U$6/$X77)*$X$7-U76*($X$7+$Z77)*($Y77-1)-SUM($B78:T78))+IF($Y77&gt;1,IF(INT(U$6/$X77)&gt;0,$Z77-$AA77,0),-$AA77)</f>
        <v>0</v>
      </c>
      <c r="V78" s="511" t="n">
        <f aca="false">IF(INT(V$6/$X77)*$X$7&gt;V76*($X$7+$Z77)*$Y77,V76*($X$7+$Z77)-SUM($B78:U78),INT(V$6/$X77)*$X$7-V76*($X$7+$Z77)*($Y77-1)-SUM($B78:U78))+IF($Y77&gt;1,IF(INT(V$6/$X77)&gt;0,$Z77-$AA77,0),-$AA77)</f>
        <v>0</v>
      </c>
      <c r="W78" s="803"/>
      <c r="AA78" s="157"/>
      <c r="AB78" s="157"/>
    </row>
    <row r="79" customFormat="false" ht="12.75" hidden="false" customHeight="false" outlineLevel="0" collapsed="false">
      <c r="A79" s="157"/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785"/>
      <c r="X79" s="157"/>
      <c r="Y79" s="157"/>
      <c r="Z79" s="157"/>
      <c r="AA79" s="157"/>
      <c r="AB79" s="157"/>
    </row>
    <row r="80" customFormat="false" ht="12.75" hidden="true" customHeight="false" outlineLevel="0" collapsed="false">
      <c r="A80" s="153" t="s">
        <v>1395</v>
      </c>
      <c r="B80" s="511"/>
      <c r="C80" s="153" t="n">
        <f aca="false">INT((INT(C$6/$X81)*$X$7+$X$7+$Z81-1)/($X$7+$Z81)/$Y81)</f>
        <v>0</v>
      </c>
      <c r="D80" s="153" t="n">
        <f aca="false">INT((INT(D$6/$X81)*$X$7+$X$7+$Z81-1)/($X$7+$Z81)/$Y81)</f>
        <v>0</v>
      </c>
      <c r="E80" s="153" t="n">
        <f aca="false">INT((INT(E$6/$X81)*$X$7+$X$7+$Z81-1)/($X$7+$Z81)/$Y81)</f>
        <v>0</v>
      </c>
      <c r="F80" s="153" t="n">
        <f aca="false">INT((INT(F$6/$X81)*$X$7+$X$7+$Z81-1)/($X$7+$Z81)/$Y81)</f>
        <v>0</v>
      </c>
      <c r="G80" s="153" t="n">
        <f aca="false">INT((INT(G$6/$X81)*$X$7+$X$7+$Z81-1)/($X$7+$Z81)/$Y81)</f>
        <v>0</v>
      </c>
      <c r="H80" s="153" t="n">
        <f aca="false">INT((INT(H$6/$X81)*$X$7+$X$7+$Z81-1)/($X$7+$Z81)/$Y81)</f>
        <v>0</v>
      </c>
      <c r="I80" s="153" t="n">
        <f aca="false">INT((INT(I$6/$X81)*$X$7+$X$7+$Z81-1)/($X$7+$Z81)/$Y81)</f>
        <v>0</v>
      </c>
      <c r="J80" s="153" t="n">
        <f aca="false">INT((INT(J$6/$X81)*$X$7+$X$7+$Z81-1)/($X$7+$Z81)/$Y81)</f>
        <v>0</v>
      </c>
      <c r="K80" s="153" t="n">
        <f aca="false">INT((INT(K$6/$X81)*$X$7+$X$7+$Z81-1)/($X$7+$Z81)/$Y81)</f>
        <v>0</v>
      </c>
      <c r="L80" s="153" t="n">
        <f aca="false">INT((INT(L$6/$X81)*$X$7+$X$7+$Z81-1)/($X$7+$Z81)/$Y81)</f>
        <v>0</v>
      </c>
      <c r="M80" s="153" t="n">
        <f aca="false">INT((INT(M$6/$X81)*$X$7+$X$7+$Z81-1)/($X$7+$Z81)/$Y81)</f>
        <v>0</v>
      </c>
      <c r="N80" s="153" t="n">
        <f aca="false">INT((INT(N$6/$X81)*$X$7+$X$7+$Z81-1)/($X$7+$Z81)/$Y81)</f>
        <v>0</v>
      </c>
      <c r="O80" s="153" t="n">
        <f aca="false">INT((INT(O$6/$X81)*$X$7+$X$7+$Z81-1)/($X$7+$Z81)/$Y81)</f>
        <v>0</v>
      </c>
      <c r="P80" s="153" t="n">
        <f aca="false">INT((INT(P$6/$X81)*$X$7+$X$7+$Z81-1)/($X$7+$Z81)/$Y81)</f>
        <v>0</v>
      </c>
      <c r="Q80" s="153" t="n">
        <f aca="false">INT((INT(Q$6/$X81)*$X$7+$X$7+$Z81-1)/($X$7+$Z81)/$Y81)</f>
        <v>0</v>
      </c>
      <c r="R80" s="153" t="n">
        <f aca="false">INT((INT(R$6/$X81)*$X$7+$X$7+$Z81-1)/($X$7+$Z81)/$Y81)</f>
        <v>0</v>
      </c>
      <c r="S80" s="153" t="n">
        <f aca="false">INT((INT(S$6/$X81)*$X$7+$X$7+$Z81-1)/($X$7+$Z81)/$Y81)</f>
        <v>0</v>
      </c>
      <c r="T80" s="153" t="n">
        <f aca="false">INT((INT(T$6/$X81)*$X$7+$X$7+$Z81-1)/($X$7+$Z81)/$Y81)</f>
        <v>0</v>
      </c>
      <c r="U80" s="153" t="n">
        <f aca="false">INT((INT(U$6/$X81)*$X$7+$X$7+$Z81-1)/($X$7+$Z81)/$Y81)</f>
        <v>0</v>
      </c>
      <c r="V80" s="153" t="n">
        <f aca="false">INT((INT(V$6/$X81)*$X$7+$X$7+$Z81-1)/($X$7+$Z81)/$Y81)</f>
        <v>0</v>
      </c>
      <c r="W80" s="157"/>
      <c r="X80" s="157"/>
      <c r="Y80" s="157"/>
      <c r="Z80" s="157"/>
      <c r="AA80" s="157"/>
      <c r="AB80" s="157"/>
    </row>
    <row r="81" customFormat="false" ht="12.75" hidden="false" customHeight="false" outlineLevel="0" collapsed="false">
      <c r="A81" s="153" t="s">
        <v>1396</v>
      </c>
      <c r="B81" s="511" t="s">
        <v>1007</v>
      </c>
      <c r="C81" s="511" t="n">
        <f aca="false">IF($Y81=1,0,$X$7*(INT(C$6/$X81)-INT(B$6/$X81))-IF(SUM($B81:B81)&gt;0,C82,0))</f>
        <v>0</v>
      </c>
      <c r="D81" s="511" t="n">
        <f aca="false">IF($Y81=1,0,$X$7*(INT(D$6/$X81)-INT(C$6/$X81))-IF(SUM($B81:C81)&gt;0,D82,0))</f>
        <v>0</v>
      </c>
      <c r="E81" s="511" t="n">
        <f aca="false">IF($Y81=1,0,$X$7*(INT(E$6/$X81)-INT(D$6/$X81))-IF(SUM($B81:D81)&gt;0,E82,0))</f>
        <v>0</v>
      </c>
      <c r="F81" s="511" t="n">
        <f aca="false">IF($Y81=1,0,$X$7*(INT(F$6/$X81)-INT(E$6/$X81))-IF(SUM($B81:E81)&gt;0,F82,0))</f>
        <v>0</v>
      </c>
      <c r="G81" s="511" t="n">
        <f aca="false">IF($Y81=1,0,$X$7*(INT(G$6/$X81)-INT(F$6/$X81))-IF(SUM($B81:F81)&gt;0,G82,0))</f>
        <v>0</v>
      </c>
      <c r="H81" s="511" t="n">
        <f aca="false">IF($Y81=1,0,$X$7*(INT(H$6/$X81)-INT(G$6/$X81))-IF(SUM($B81:G81)&gt;0,H82,0))</f>
        <v>0</v>
      </c>
      <c r="I81" s="511" t="n">
        <f aca="false">IF($Y81=1,0,$X$7*(INT(I$6/$X81)-INT(H$6/$X81))-IF(SUM($B81:H81)&gt;0,I82,0))</f>
        <v>0</v>
      </c>
      <c r="J81" s="511" t="n">
        <f aca="false">IF($Y81=1,0,$X$7*(INT(J$6/$X81)-INT(I$6/$X81))-IF(SUM($B81:I81)&gt;0,J82,0))</f>
        <v>0</v>
      </c>
      <c r="K81" s="511" t="n">
        <f aca="false">IF($Y81=1,0,$X$7*(INT(K$6/$X81)-INT(J$6/$X81))-IF(SUM($B81:J81)&gt;0,K82,0))</f>
        <v>0</v>
      </c>
      <c r="L81" s="511" t="n">
        <f aca="false">IF($Y81=1,0,$X$7*(INT(L$6/$X81)-INT(K$6/$X81))-IF(SUM($B81:K81)&gt;0,L82,0))</f>
        <v>0</v>
      </c>
      <c r="M81" s="511" t="n">
        <f aca="false">IF($Y81=1,0,$X$7*(INT(M$6/$X81)-INT(L$6/$X81))-IF(SUM($B81:L81)&gt;0,M82,0))</f>
        <v>0</v>
      </c>
      <c r="N81" s="511" t="n">
        <f aca="false">IF($Y81=1,0,$X$7*(INT(N$6/$X81)-INT(M$6/$X81))-IF(SUM($B81:M81)&gt;0,N82,0))</f>
        <v>0</v>
      </c>
      <c r="O81" s="511" t="n">
        <f aca="false">IF($Y81=1,0,$X$7*(INT(O$6/$X81)-INT(N$6/$X81))-IF(SUM($B81:N81)&gt;0,O82,0))</f>
        <v>0</v>
      </c>
      <c r="P81" s="511" t="n">
        <f aca="false">IF($Y81=1,0,$X$7*(INT(P$6/$X81)-INT(O$6/$X81))-IF(SUM($B81:O81)&gt;0,P82,0))</f>
        <v>0</v>
      </c>
      <c r="Q81" s="511" t="n">
        <f aca="false">IF($Y81=1,0,$X$7*(INT(Q$6/$X81)-INT(P$6/$X81))-IF(SUM($B81:P81)&gt;0,Q82,0))</f>
        <v>0</v>
      </c>
      <c r="R81" s="511" t="n">
        <f aca="false">IF($Y81=1,0,$X$7*(INT(R$6/$X81)-INT(Q$6/$X81))-IF(SUM($B81:Q81)&gt;0,R82,0))</f>
        <v>0</v>
      </c>
      <c r="S81" s="511" t="n">
        <f aca="false">IF($Y81=1,0,$X$7*(INT(S$6/$X81)-INT(R$6/$X81))-IF(SUM($B81:R81)&gt;0,S82,0))</f>
        <v>0</v>
      </c>
      <c r="T81" s="511" t="n">
        <f aca="false">IF($Y81=1,0,$X$7*(INT(T$6/$X81)-INT(S$6/$X81))-IF(SUM($B81:S81)&gt;0,T82,0))</f>
        <v>0</v>
      </c>
      <c r="U81" s="511" t="n">
        <f aca="false">IF($Y81=1,0,$X$7*(INT(U$6/$X81)-INT(T$6/$X81))-IF(SUM($B81:T81)&gt;0,U82,0))</f>
        <v>0</v>
      </c>
      <c r="V81" s="511" t="n">
        <f aca="false">IF($Y81=1,0,$X$7*(INT(V$6/$X81)-INT(U$6/$X81))-IF(SUM($B81:U81)&gt;0,V82,0))</f>
        <v>0</v>
      </c>
      <c r="W81" s="808" t="str">
        <f aca="false">'GT schd cost(W501D5)'!A30</f>
        <v>Row 4 rings segments</v>
      </c>
      <c r="X81" s="800" t="n">
        <f aca="false">IF($AD$6=1,'GTDB(W501D5)'!B33,'GTDB(W501D5)'!G33)</f>
        <v>48000</v>
      </c>
      <c r="Y81" s="800" t="n">
        <f aca="false">IF($AD$6=1,'GTDB(W501D5)'!C33,'GTDB(W501D5)'!H33)</f>
        <v>2</v>
      </c>
      <c r="Z81" s="801" t="n">
        <v>1</v>
      </c>
      <c r="AA81" s="805" t="n">
        <f aca="false">'Initial_Spares(W501D5)'!$E$27</f>
        <v>0</v>
      </c>
      <c r="AB81" s="764" t="n">
        <f aca="false">'GT schd cost(W501D5)'!X30+'GT schd cost(W501D5)'!X56</f>
        <v>0</v>
      </c>
    </row>
    <row r="82" customFormat="false" ht="12.75" hidden="false" customHeight="false" outlineLevel="0" collapsed="false">
      <c r="A82" s="153" t="s">
        <v>1397</v>
      </c>
      <c r="B82" s="511" t="s">
        <v>1007</v>
      </c>
      <c r="C82" s="511" t="n">
        <f aca="false">IF(INT(C$6/$X81)*$X$7&gt;C80*($X$7+$Z81)*$Y81,C80*($X$7+$Z81)-SUM($B82:B82),INT(C$6/$X81)*$X$7-C80*($X$7+$Z81)*($Y81-1)-SUM($B82:B82))+IF($Y81&gt;1,IF(INT(C$6/$X81)&gt;0,$Z81-$AA81,0),-$AA81)</f>
        <v>0</v>
      </c>
      <c r="D82" s="511" t="n">
        <f aca="false">IF(INT(D$6/$X81)*$X$7&gt;D80*($X$7+$Z81)*$Y81,D80*($X$7+$Z81)-SUM($B82:C82),INT(D$6/$X81)*$X$7-D80*($X$7+$Z81)*($Y81-1)-SUM($B82:C82))+IF($Y81&gt;1,IF(INT(D$6/$X81)&gt;0,$Z81-$AA81,0),-$AA81)</f>
        <v>0</v>
      </c>
      <c r="E82" s="511" t="n">
        <f aca="false">IF(INT(E$6/$X81)*$X$7&gt;E80*($X$7+$Z81)*$Y81,E80*($X$7+$Z81)-SUM($B82:D82),INT(E$6/$X81)*$X$7-E80*($X$7+$Z81)*($Y81-1)-SUM($B82:D82))+IF($Y81&gt;1,IF(INT(E$6/$X81)&gt;0,$Z81-$AA81,0),-$AA81)</f>
        <v>0</v>
      </c>
      <c r="F82" s="511" t="n">
        <f aca="false">IF(INT(F$6/$X81)*$X$7&gt;F80*($X$7+$Z81)*$Y81,F80*($X$7+$Z81)-SUM($B82:E82),INT(F$6/$X81)*$X$7-F80*($X$7+$Z81)*($Y81-1)-SUM($B82:E82))+IF($Y81&gt;1,IF(INT(F$6/$X81)&gt;0,$Z81-$AA81,0),-$AA81)</f>
        <v>0</v>
      </c>
      <c r="G82" s="511" t="n">
        <f aca="false">IF(INT(G$6/$X81)*$X$7&gt;G80*($X$7+$Z81)*$Y81,G80*($X$7+$Z81)-SUM($B82:F82),INT(G$6/$X81)*$X$7-G80*($X$7+$Z81)*($Y81-1)-SUM($B82:F82))+IF($Y81&gt;1,IF(INT(G$6/$X81)&gt;0,$Z81-$AA81,0),-$AA81)</f>
        <v>0</v>
      </c>
      <c r="H82" s="511" t="n">
        <f aca="false">IF(INT(H$6/$X81)*$X$7&gt;H80*($X$7+$Z81)*$Y81,H80*($X$7+$Z81)-SUM($B82:G82),INT(H$6/$X81)*$X$7-H80*($X$7+$Z81)*($Y81-1)-SUM($B82:G82))+IF($Y81&gt;1,IF(INT(H$6/$X81)&gt;0,$Z81-$AA81,0),-$AA81)</f>
        <v>0</v>
      </c>
      <c r="I82" s="511" t="n">
        <f aca="false">IF(INT(I$6/$X81)*$X$7&gt;I80*($X$7+$Z81)*$Y81,I80*($X$7+$Z81)-SUM($B82:H82),INT(I$6/$X81)*$X$7-I80*($X$7+$Z81)*($Y81-1)-SUM($B82:H82))+IF($Y81&gt;1,IF(INT(I$6/$X81)&gt;0,$Z81-$AA81,0),-$AA81)</f>
        <v>0</v>
      </c>
      <c r="J82" s="511" t="n">
        <f aca="false">IF(INT(J$6/$X81)*$X$7&gt;J80*($X$7+$Z81)*$Y81,J80*($X$7+$Z81)-SUM($B82:I82),INT(J$6/$X81)*$X$7-J80*($X$7+$Z81)*($Y81-1)-SUM($B82:I82))+IF($Y81&gt;1,IF(INT(J$6/$X81)&gt;0,$Z81-$AA81,0),-$AA81)</f>
        <v>0</v>
      </c>
      <c r="K82" s="511" t="n">
        <f aca="false">IF(INT(K$6/$X81)*$X$7&gt;K80*($X$7+$Z81)*$Y81,K80*($X$7+$Z81)-SUM($B82:J82),INT(K$6/$X81)*$X$7-K80*($X$7+$Z81)*($Y81-1)-SUM($B82:J82))+IF($Y81&gt;1,IF(INT(K$6/$X81)&gt;0,$Z81-$AA81,0),-$AA81)</f>
        <v>0</v>
      </c>
      <c r="L82" s="511" t="n">
        <f aca="false">IF(INT(L$6/$X81)*$X$7&gt;L80*($X$7+$Z81)*$Y81,L80*($X$7+$Z81)-SUM($B82:K82),INT(L$6/$X81)*$X$7-L80*($X$7+$Z81)*($Y81-1)-SUM($B82:K82))+IF($Y81&gt;1,IF(INT(L$6/$X81)&gt;0,$Z81-$AA81,0),-$AA81)</f>
        <v>0</v>
      </c>
      <c r="M82" s="511" t="n">
        <f aca="false">IF(INT(M$6/$X81)*$X$7&gt;M80*($X$7+$Z81)*$Y81,M80*($X$7+$Z81)-SUM($B82:L82),INT(M$6/$X81)*$X$7-M80*($X$7+$Z81)*($Y81-1)-SUM($B82:L82))+IF($Y81&gt;1,IF(INT(M$6/$X81)&gt;0,$Z81-$AA81,0),-$AA81)</f>
        <v>0</v>
      </c>
      <c r="N82" s="511" t="n">
        <f aca="false">IF(INT(N$6/$X81)*$X$7&gt;N80*($X$7+$Z81)*$Y81,N80*($X$7+$Z81)-SUM($B82:M82),INT(N$6/$X81)*$X$7-N80*($X$7+$Z81)*($Y81-1)-SUM($B82:M82))+IF($Y81&gt;1,IF(INT(N$6/$X81)&gt;0,$Z81-$AA81,0),-$AA81)</f>
        <v>0</v>
      </c>
      <c r="O82" s="511" t="n">
        <f aca="false">IF(INT(O$6/$X81)*$X$7&gt;O80*($X$7+$Z81)*$Y81,O80*($X$7+$Z81)-SUM($B82:N82),INT(O$6/$X81)*$X$7-O80*($X$7+$Z81)*($Y81-1)-SUM($B82:N82))+IF($Y81&gt;1,IF(INT(O$6/$X81)&gt;0,$Z81-$AA81,0),-$AA81)</f>
        <v>0</v>
      </c>
      <c r="P82" s="511" t="n">
        <f aca="false">IF(INT(P$6/$X81)*$X$7&gt;P80*($X$7+$Z81)*$Y81,P80*($X$7+$Z81)-SUM($B82:O82),INT(P$6/$X81)*$X$7-P80*($X$7+$Z81)*($Y81-1)-SUM($B82:O82))+IF($Y81&gt;1,IF(INT(P$6/$X81)&gt;0,$Z81-$AA81,0),-$AA81)</f>
        <v>0</v>
      </c>
      <c r="Q82" s="511" t="n">
        <f aca="false">IF(INT(Q$6/$X81)*$X$7&gt;Q80*($X$7+$Z81)*$Y81,Q80*($X$7+$Z81)-SUM($B82:P82),INT(Q$6/$X81)*$X$7-Q80*($X$7+$Z81)*($Y81-1)-SUM($B82:P82))+IF($Y81&gt;1,IF(INT(Q$6/$X81)&gt;0,$Z81-$AA81,0),-$AA81)</f>
        <v>0</v>
      </c>
      <c r="R82" s="511" t="n">
        <f aca="false">IF(INT(R$6/$X81)*$X$7&gt;R80*($X$7+$Z81)*$Y81,R80*($X$7+$Z81)-SUM($B82:Q82),INT(R$6/$X81)*$X$7-R80*($X$7+$Z81)*($Y81-1)-SUM($B82:Q82))+IF($Y81&gt;1,IF(INT(R$6/$X81)&gt;0,$Z81-$AA81,0),-$AA81)</f>
        <v>0</v>
      </c>
      <c r="S82" s="511" t="n">
        <f aca="false">IF(INT(S$6/$X81)*$X$7&gt;S80*($X$7+$Z81)*$Y81,S80*($X$7+$Z81)-SUM($B82:R82),INT(S$6/$X81)*$X$7-S80*($X$7+$Z81)*($Y81-1)-SUM($B82:R82))+IF($Y81&gt;1,IF(INT(S$6/$X81)&gt;0,$Z81-$AA81,0),-$AA81)</f>
        <v>0</v>
      </c>
      <c r="T82" s="511" t="n">
        <f aca="false">IF(INT(T$6/$X81)*$X$7&gt;T80*($X$7+$Z81)*$Y81,T80*($X$7+$Z81)-SUM($B82:S82),INT(T$6/$X81)*$X$7-T80*($X$7+$Z81)*($Y81-1)-SUM($B82:S82))+IF($Y81&gt;1,IF(INT(T$6/$X81)&gt;0,$Z81-$AA81,0),-$AA81)</f>
        <v>0</v>
      </c>
      <c r="U82" s="511" t="n">
        <f aca="false">IF(INT(U$6/$X81)*$X$7&gt;U80*($X$7+$Z81)*$Y81,U80*($X$7+$Z81)-SUM($B82:T82),INT(U$6/$X81)*$X$7-U80*($X$7+$Z81)*($Y81-1)-SUM($B82:T82))+IF($Y81&gt;1,IF(INT(U$6/$X81)&gt;0,$Z81-$AA81,0),-$AA81)</f>
        <v>0</v>
      </c>
      <c r="V82" s="511" t="n">
        <f aca="false">IF(INT(V$6/$X81)*$X$7&gt;V80*($X$7+$Z81)*$Y81,V80*($X$7+$Z81)-SUM($B82:U82),INT(V$6/$X81)*$X$7-V80*($X$7+$Z81)*($Y81-1)-SUM($B82:U82))+IF($Y81&gt;1,IF(INT(V$6/$X81)&gt;0,$Z81-$AA81,0),-$AA81)</f>
        <v>0</v>
      </c>
      <c r="W82" s="803"/>
      <c r="AA82" s="157"/>
      <c r="AB82" s="157"/>
    </row>
    <row r="83" customFormat="false" ht="12.75" hidden="false" customHeight="false" outlineLevel="0" collapsed="false">
      <c r="A83" s="157"/>
      <c r="B83" s="518"/>
      <c r="C83" s="518"/>
      <c r="D83" s="518"/>
      <c r="E83" s="518"/>
      <c r="F83" s="518"/>
      <c r="G83" s="518"/>
      <c r="H83" s="518"/>
      <c r="I83" s="518"/>
      <c r="J83" s="518"/>
      <c r="K83" s="518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785"/>
      <c r="X83" s="157"/>
      <c r="Y83" s="157"/>
      <c r="Z83" s="157"/>
      <c r="AA83" s="157"/>
      <c r="AB83" s="157"/>
    </row>
    <row r="84" customFormat="false" ht="12.75" hidden="true" customHeight="false" outlineLevel="0" collapsed="false">
      <c r="A84" s="153" t="s">
        <v>1395</v>
      </c>
      <c r="B84" s="511"/>
      <c r="C84" s="153" t="n">
        <f aca="false">INT((INT(C$6/$X85)*$X$7+$X$7+$Z85-1)/($X$7+$Z85)/$Y85)</f>
        <v>0</v>
      </c>
      <c r="D84" s="153" t="n">
        <f aca="false">INT((INT(D$6/$X85)*$X$7+$X$7+$Z85-1)/($X$7+$Z85)/$Y85)</f>
        <v>0</v>
      </c>
      <c r="E84" s="153" t="n">
        <f aca="false">INT((INT(E$6/$X85)*$X$7+$X$7+$Z85-1)/($X$7+$Z85)/$Y85)</f>
        <v>0</v>
      </c>
      <c r="F84" s="153" t="n">
        <f aca="false">INT((INT(F$6/$X85)*$X$7+$X$7+$Z85-1)/($X$7+$Z85)/$Y85)</f>
        <v>0</v>
      </c>
      <c r="G84" s="153" t="n">
        <f aca="false">INT((INT(G$6/$X85)*$X$7+$X$7+$Z85-1)/($X$7+$Z85)/$Y85)</f>
        <v>0</v>
      </c>
      <c r="H84" s="153" t="n">
        <f aca="false">INT((INT(H$6/$X85)*$X$7+$X$7+$Z85-1)/($X$7+$Z85)/$Y85)</f>
        <v>0</v>
      </c>
      <c r="I84" s="153" t="n">
        <f aca="false">INT((INT(I$6/$X85)*$X$7+$X$7+$Z85-1)/($X$7+$Z85)/$Y85)</f>
        <v>0</v>
      </c>
      <c r="J84" s="153" t="n">
        <f aca="false">INT((INT(J$6/$X85)*$X$7+$X$7+$Z85-1)/($X$7+$Z85)/$Y85)</f>
        <v>0</v>
      </c>
      <c r="K84" s="153" t="n">
        <f aca="false">INT((INT(K$6/$X85)*$X$7+$X$7+$Z85-1)/($X$7+$Z85)/$Y85)</f>
        <v>0</v>
      </c>
      <c r="L84" s="153" t="n">
        <f aca="false">INT((INT(L$6/$X85)*$X$7+$X$7+$Z85-1)/($X$7+$Z85)/$Y85)</f>
        <v>0</v>
      </c>
      <c r="M84" s="153" t="n">
        <f aca="false">INT((INT(M$6/$X85)*$X$7+$X$7+$Z85-1)/($X$7+$Z85)/$Y85)</f>
        <v>0</v>
      </c>
      <c r="N84" s="153" t="n">
        <f aca="false">INT((INT(N$6/$X85)*$X$7+$X$7+$Z85-1)/($X$7+$Z85)/$Y85)</f>
        <v>0</v>
      </c>
      <c r="O84" s="153" t="n">
        <f aca="false">INT((INT(O$6/$X85)*$X$7+$X$7+$Z85-1)/($X$7+$Z85)/$Y85)</f>
        <v>0</v>
      </c>
      <c r="P84" s="153" t="n">
        <f aca="false">INT((INT(P$6/$X85)*$X$7+$X$7+$Z85-1)/($X$7+$Z85)/$Y85)</f>
        <v>0</v>
      </c>
      <c r="Q84" s="153" t="n">
        <f aca="false">INT((INT(Q$6/$X85)*$X$7+$X$7+$Z85-1)/($X$7+$Z85)/$Y85)</f>
        <v>0</v>
      </c>
      <c r="R84" s="153" t="n">
        <f aca="false">INT((INT(R$6/$X85)*$X$7+$X$7+$Z85-1)/($X$7+$Z85)/$Y85)</f>
        <v>0</v>
      </c>
      <c r="S84" s="153" t="n">
        <f aca="false">INT((INT(S$6/$X85)*$X$7+$X$7+$Z85-1)/($X$7+$Z85)/$Y85)</f>
        <v>0</v>
      </c>
      <c r="T84" s="153" t="n">
        <f aca="false">INT((INT(T$6/$X85)*$X$7+$X$7+$Z85-1)/($X$7+$Z85)/$Y85)</f>
        <v>0</v>
      </c>
      <c r="U84" s="153" t="n">
        <f aca="false">INT((INT(U$6/$X85)*$X$7+$X$7+$Z85-1)/($X$7+$Z85)/$Y85)</f>
        <v>0</v>
      </c>
      <c r="V84" s="153" t="n">
        <f aca="false">INT((INT(V$6/$X85)*$X$7+$X$7+$Z85-1)/($X$7+$Z85)/$Y85)</f>
        <v>0</v>
      </c>
      <c r="W84" s="157"/>
      <c r="X84" s="157"/>
      <c r="Y84" s="157"/>
      <c r="Z84" s="157"/>
      <c r="AA84" s="157"/>
      <c r="AB84" s="157"/>
    </row>
    <row r="85" customFormat="false" ht="12.75" hidden="false" customHeight="false" outlineLevel="0" collapsed="false">
      <c r="A85" s="153" t="s">
        <v>1396</v>
      </c>
      <c r="B85" s="511" t="s">
        <v>1007</v>
      </c>
      <c r="C85" s="511" t="n">
        <f aca="false">IF($Y85=1,0,$X$7*(INT(C$6/$X85)-INT(B$6/$X85))-IF(SUM($B85:B85)&gt;0,C86,0))</f>
        <v>0</v>
      </c>
      <c r="D85" s="511" t="n">
        <f aca="false">IF($Y85=1,0,$X$7*(INT(D$6/$X85)-INT(C$6/$X85))-IF(SUM($B85:C85)&gt;0,D86,0))</f>
        <v>0</v>
      </c>
      <c r="E85" s="511" t="n">
        <f aca="false">IF($Y85=1,0,$X$7*(INT(E$6/$X85)-INT(D$6/$X85))-IF(SUM($B85:D85)&gt;0,E86,0))</f>
        <v>0</v>
      </c>
      <c r="F85" s="511" t="n">
        <f aca="false">IF($Y85=1,0,$X$7*(INT(F$6/$X85)-INT(E$6/$X85))-IF(SUM($B85:E85)&gt;0,F86,0))</f>
        <v>0</v>
      </c>
      <c r="G85" s="511" t="n">
        <f aca="false">IF($Y85=1,0,$X$7*(INT(G$6/$X85)-INT(F$6/$X85))-IF(SUM($B85:F85)&gt;0,G86,0))</f>
        <v>0</v>
      </c>
      <c r="H85" s="511" t="n">
        <f aca="false">IF($Y85=1,0,$X$7*(INT(H$6/$X85)-INT(G$6/$X85))-IF(SUM($B85:G85)&gt;0,H86,0))</f>
        <v>0</v>
      </c>
      <c r="I85" s="511" t="n">
        <f aca="false">IF($Y85=1,0,$X$7*(INT(I$6/$X85)-INT(H$6/$X85))-IF(SUM($B85:H85)&gt;0,I86,0))</f>
        <v>0</v>
      </c>
      <c r="J85" s="511" t="n">
        <f aca="false">IF($Y85=1,0,$X$7*(INT(J$6/$X85)-INT(I$6/$X85))-IF(SUM($B85:I85)&gt;0,J86,0))</f>
        <v>0</v>
      </c>
      <c r="K85" s="511" t="n">
        <f aca="false">IF($Y85=1,0,$X$7*(INT(K$6/$X85)-INT(J$6/$X85))-IF(SUM($B85:J85)&gt;0,K86,0))</f>
        <v>0</v>
      </c>
      <c r="L85" s="511" t="n">
        <f aca="false">IF($Y85=1,0,$X$7*(INT(L$6/$X85)-INT(K$6/$X85))-IF(SUM($B85:K85)&gt;0,L86,0))</f>
        <v>0</v>
      </c>
      <c r="M85" s="511" t="n">
        <f aca="false">IF($Y85=1,0,$X$7*(INT(M$6/$X85)-INT(L$6/$X85))-IF(SUM($B85:L85)&gt;0,M86,0))</f>
        <v>0</v>
      </c>
      <c r="N85" s="511" t="n">
        <f aca="false">IF($Y85=1,0,$X$7*(INT(N$6/$X85)-INT(M$6/$X85))-IF(SUM($B85:M85)&gt;0,N86,0))</f>
        <v>0</v>
      </c>
      <c r="O85" s="511" t="n">
        <f aca="false">IF($Y85=1,0,$X$7*(INT(O$6/$X85)-INT(N$6/$X85))-IF(SUM($B85:N85)&gt;0,O86,0))</f>
        <v>0</v>
      </c>
      <c r="P85" s="511" t="n">
        <f aca="false">IF($Y85=1,0,$X$7*(INT(P$6/$X85)-INT(O$6/$X85))-IF(SUM($B85:O85)&gt;0,P86,0))</f>
        <v>0</v>
      </c>
      <c r="Q85" s="511" t="n">
        <f aca="false">IF($Y85=1,0,$X$7*(INT(Q$6/$X85)-INT(P$6/$X85))-IF(SUM($B85:P85)&gt;0,Q86,0))</f>
        <v>0</v>
      </c>
      <c r="R85" s="511" t="n">
        <f aca="false">IF($Y85=1,0,$X$7*(INT(R$6/$X85)-INT(Q$6/$X85))-IF(SUM($B85:Q85)&gt;0,R86,0))</f>
        <v>0</v>
      </c>
      <c r="S85" s="511" t="n">
        <f aca="false">IF($Y85=1,0,$X$7*(INT(S$6/$X85)-INT(R$6/$X85))-IF(SUM($B85:R85)&gt;0,S86,0))</f>
        <v>0</v>
      </c>
      <c r="T85" s="511" t="n">
        <f aca="false">IF($Y85=1,0,$X$7*(INT(T$6/$X85)-INT(S$6/$X85))-IF(SUM($B85:S85)&gt;0,T86,0))</f>
        <v>0</v>
      </c>
      <c r="U85" s="511" t="n">
        <f aca="false">IF($Y85=1,0,$X$7*(INT(U$6/$X85)-INT(T$6/$X85))-IF(SUM($B85:T85)&gt;0,U86,0))</f>
        <v>0</v>
      </c>
      <c r="V85" s="511" t="n">
        <f aca="false">IF($Y85=1,0,$X$7*(INT(V$6/$X85)-INT(U$6/$X85))-IF(SUM($B85:U85)&gt;0,V86,0))</f>
        <v>0</v>
      </c>
      <c r="W85" s="808" t="str">
        <f aca="false">'GT schd cost(W501D5)'!A31</f>
        <v>Comp Rotor Blades</v>
      </c>
      <c r="X85" s="800" t="n">
        <f aca="false">IF($AD$6=1,'GTDB(W501D5)'!B34,'GTDB(W501D5)'!G34)</f>
        <v>48000</v>
      </c>
      <c r="Y85" s="800" t="n">
        <f aca="false">IF($AD$6=1,'GTDB(W501D5)'!C34,'GTDB(W501D5)'!H34)</f>
        <v>2</v>
      </c>
      <c r="Z85" s="801" t="n">
        <v>1</v>
      </c>
      <c r="AA85" s="805" t="n">
        <f aca="false">'Initial_Spares(W501D5)'!$E$28</f>
        <v>0</v>
      </c>
      <c r="AB85" s="764" t="n">
        <f aca="false">'GT schd cost(W501D5)'!X31+'GT schd cost(W501D5)'!X57</f>
        <v>0</v>
      </c>
    </row>
    <row r="86" customFormat="false" ht="12.75" hidden="false" customHeight="false" outlineLevel="0" collapsed="false">
      <c r="A86" s="153" t="s">
        <v>1397</v>
      </c>
      <c r="B86" s="511" t="s">
        <v>1007</v>
      </c>
      <c r="C86" s="511" t="n">
        <f aca="false">IF(INT(C$6/$X85)*$X$7&gt;C84*($X$7+$Z85)*$Y85,C84*($X$7+$Z85)-SUM($B86:B86),INT(C$6/$X85)*$X$7-C84*($X$7+$Z85)*($Y85-1)-SUM($B86:B86))+IF($Y85&gt;1,IF(INT(C$6/$X85)&gt;0,$Z85-$AA85,0),-$AA85)</f>
        <v>0</v>
      </c>
      <c r="D86" s="511" t="n">
        <f aca="false">IF(INT(D$6/$X85)*$X$7&gt;D84*($X$7+$Z85)*$Y85,D84*($X$7+$Z85)-SUM($B86:C86),INT(D$6/$X85)*$X$7-D84*($X$7+$Z85)*($Y85-1)-SUM($B86:C86))+IF($Y85&gt;1,IF(INT(D$6/$X85)&gt;0,$Z85-$AA85,0),-$AA85)</f>
        <v>0</v>
      </c>
      <c r="E86" s="511" t="n">
        <f aca="false">IF(INT(E$6/$X85)*$X$7&gt;E84*($X$7+$Z85)*$Y85,E84*($X$7+$Z85)-SUM($B86:D86),INT(E$6/$X85)*$X$7-E84*($X$7+$Z85)*($Y85-1)-SUM($B86:D86))+IF($Y85&gt;1,IF(INT(E$6/$X85)&gt;0,$Z85-$AA85,0),-$AA85)</f>
        <v>0</v>
      </c>
      <c r="F86" s="511" t="n">
        <f aca="false">IF(INT(F$6/$X85)*$X$7&gt;F84*($X$7+$Z85)*$Y85,F84*($X$7+$Z85)-SUM($B86:E86),INT(F$6/$X85)*$X$7-F84*($X$7+$Z85)*($Y85-1)-SUM($B86:E86))+IF($Y85&gt;1,IF(INT(F$6/$X85)&gt;0,$Z85-$AA85,0),-$AA85)</f>
        <v>0</v>
      </c>
      <c r="G86" s="511" t="n">
        <f aca="false">IF(INT(G$6/$X85)*$X$7&gt;G84*($X$7+$Z85)*$Y85,G84*($X$7+$Z85)-SUM($B86:F86),INT(G$6/$X85)*$X$7-G84*($X$7+$Z85)*($Y85-1)-SUM($B86:F86))+IF($Y85&gt;1,IF(INT(G$6/$X85)&gt;0,$Z85-$AA85,0),-$AA85)</f>
        <v>0</v>
      </c>
      <c r="H86" s="511" t="n">
        <f aca="false">IF(INT(H$6/$X85)*$X$7&gt;H84*($X$7+$Z85)*$Y85,H84*($X$7+$Z85)-SUM($B86:G86),INT(H$6/$X85)*$X$7-H84*($X$7+$Z85)*($Y85-1)-SUM($B86:G86))+IF($Y85&gt;1,IF(INT(H$6/$X85)&gt;0,$Z85-$AA85,0),-$AA85)</f>
        <v>0</v>
      </c>
      <c r="I86" s="511" t="n">
        <f aca="false">IF(INT(I$6/$X85)*$X$7&gt;I84*($X$7+$Z85)*$Y85,I84*($X$7+$Z85)-SUM($B86:H86),INT(I$6/$X85)*$X$7-I84*($X$7+$Z85)*($Y85-1)-SUM($B86:H86))+IF($Y85&gt;1,IF(INT(I$6/$X85)&gt;0,$Z85-$AA85,0),-$AA85)</f>
        <v>0</v>
      </c>
      <c r="J86" s="511" t="n">
        <f aca="false">IF(INT(J$6/$X85)*$X$7&gt;J84*($X$7+$Z85)*$Y85,J84*($X$7+$Z85)-SUM($B86:I86),INT(J$6/$X85)*$X$7-J84*($X$7+$Z85)*($Y85-1)-SUM($B86:I86))+IF($Y85&gt;1,IF(INT(J$6/$X85)&gt;0,$Z85-$AA85,0),-$AA85)</f>
        <v>0</v>
      </c>
      <c r="K86" s="511" t="n">
        <f aca="false">IF(INT(K$6/$X85)*$X$7&gt;K84*($X$7+$Z85)*$Y85,K84*($X$7+$Z85)-SUM($B86:J86),INT(K$6/$X85)*$X$7-K84*($X$7+$Z85)*($Y85-1)-SUM($B86:J86))+IF($Y85&gt;1,IF(INT(K$6/$X85)&gt;0,$Z85-$AA85,0),-$AA85)</f>
        <v>0</v>
      </c>
      <c r="L86" s="511" t="n">
        <f aca="false">IF(INT(L$6/$X85)*$X$7&gt;L84*($X$7+$Z85)*$Y85,L84*($X$7+$Z85)-SUM($B86:K86),INT(L$6/$X85)*$X$7-L84*($X$7+$Z85)*($Y85-1)-SUM($B86:K86))+IF($Y85&gt;1,IF(INT(L$6/$X85)&gt;0,$Z85-$AA85,0),-$AA85)</f>
        <v>0</v>
      </c>
      <c r="M86" s="511" t="n">
        <f aca="false">IF(INT(M$6/$X85)*$X$7&gt;M84*($X$7+$Z85)*$Y85,M84*($X$7+$Z85)-SUM($B86:L86),INT(M$6/$X85)*$X$7-M84*($X$7+$Z85)*($Y85-1)-SUM($B86:L86))+IF($Y85&gt;1,IF(INT(M$6/$X85)&gt;0,$Z85-$AA85,0),-$AA85)</f>
        <v>0</v>
      </c>
      <c r="N86" s="511" t="n">
        <f aca="false">IF(INT(N$6/$X85)*$X$7&gt;N84*($X$7+$Z85)*$Y85,N84*($X$7+$Z85)-SUM($B86:M86),INT(N$6/$X85)*$X$7-N84*($X$7+$Z85)*($Y85-1)-SUM($B86:M86))+IF($Y85&gt;1,IF(INT(N$6/$X85)&gt;0,$Z85-$AA85,0),-$AA85)</f>
        <v>0</v>
      </c>
      <c r="O86" s="511" t="n">
        <f aca="false">IF(INT(O$6/$X85)*$X$7&gt;O84*($X$7+$Z85)*$Y85,O84*($X$7+$Z85)-SUM($B86:N86),INT(O$6/$X85)*$X$7-O84*($X$7+$Z85)*($Y85-1)-SUM($B86:N86))+IF($Y85&gt;1,IF(INT(O$6/$X85)&gt;0,$Z85-$AA85,0),-$AA85)</f>
        <v>0</v>
      </c>
      <c r="P86" s="511" t="n">
        <f aca="false">IF(INT(P$6/$X85)*$X$7&gt;P84*($X$7+$Z85)*$Y85,P84*($X$7+$Z85)-SUM($B86:O86),INT(P$6/$X85)*$X$7-P84*($X$7+$Z85)*($Y85-1)-SUM($B86:O86))+IF($Y85&gt;1,IF(INT(P$6/$X85)&gt;0,$Z85-$AA85,0),-$AA85)</f>
        <v>0</v>
      </c>
      <c r="Q86" s="511" t="n">
        <f aca="false">IF(INT(Q$6/$X85)*$X$7&gt;Q84*($X$7+$Z85)*$Y85,Q84*($X$7+$Z85)-SUM($B86:P86),INT(Q$6/$X85)*$X$7-Q84*($X$7+$Z85)*($Y85-1)-SUM($B86:P86))+IF($Y85&gt;1,IF(INT(Q$6/$X85)&gt;0,$Z85-$AA85,0),-$AA85)</f>
        <v>0</v>
      </c>
      <c r="R86" s="511" t="n">
        <f aca="false">IF(INT(R$6/$X85)*$X$7&gt;R84*($X$7+$Z85)*$Y85,R84*($X$7+$Z85)-SUM($B86:Q86),INT(R$6/$X85)*$X$7-R84*($X$7+$Z85)*($Y85-1)-SUM($B86:Q86))+IF($Y85&gt;1,IF(INT(R$6/$X85)&gt;0,$Z85-$AA85,0),-$AA85)</f>
        <v>0</v>
      </c>
      <c r="S86" s="511" t="n">
        <f aca="false">IF(INT(S$6/$X85)*$X$7&gt;S84*($X$7+$Z85)*$Y85,S84*($X$7+$Z85)-SUM($B86:R86),INT(S$6/$X85)*$X$7-S84*($X$7+$Z85)*($Y85-1)-SUM($B86:R86))+IF($Y85&gt;1,IF(INT(S$6/$X85)&gt;0,$Z85-$AA85,0),-$AA85)</f>
        <v>0</v>
      </c>
      <c r="T86" s="511" t="n">
        <f aca="false">IF(INT(T$6/$X85)*$X$7&gt;T84*($X$7+$Z85)*$Y85,T84*($X$7+$Z85)-SUM($B86:S86),INT(T$6/$X85)*$X$7-T84*($X$7+$Z85)*($Y85-1)-SUM($B86:S86))+IF($Y85&gt;1,IF(INT(T$6/$X85)&gt;0,$Z85-$AA85,0),-$AA85)</f>
        <v>0</v>
      </c>
      <c r="U86" s="511" t="n">
        <f aca="false">IF(INT(U$6/$X85)*$X$7&gt;U84*($X$7+$Z85)*$Y85,U84*($X$7+$Z85)-SUM($B86:T86),INT(U$6/$X85)*$X$7-U84*($X$7+$Z85)*($Y85-1)-SUM($B86:T86))+IF($Y85&gt;1,IF(INT(U$6/$X85)&gt;0,$Z85-$AA85,0),-$AA85)</f>
        <v>0</v>
      </c>
      <c r="V86" s="511" t="n">
        <f aca="false">IF(INT(V$6/$X85)*$X$7&gt;V84*($X$7+$Z85)*$Y85,V84*($X$7+$Z85)-SUM($B86:U86),INT(V$6/$X85)*$X$7-V84*($X$7+$Z85)*($Y85-1)-SUM($B86:U86))+IF($Y85&gt;1,IF(INT(V$6/$X85)&gt;0,$Z85-$AA85,0),-$AA85)</f>
        <v>0</v>
      </c>
      <c r="W86" s="803"/>
      <c r="Z86" s="157"/>
      <c r="AA86" s="157"/>
      <c r="AB86" s="157"/>
    </row>
    <row r="87" customFormat="false" ht="12.75" hidden="false" customHeight="false" outlineLevel="0" collapsed="false">
      <c r="A87" s="157"/>
      <c r="B87" s="518"/>
      <c r="C87" s="518"/>
      <c r="D87" s="518"/>
      <c r="E87" s="518"/>
      <c r="F87" s="518"/>
      <c r="G87" s="518"/>
      <c r="H87" s="518"/>
      <c r="I87" s="157"/>
      <c r="J87" s="518"/>
      <c r="K87" s="518"/>
      <c r="L87" s="518"/>
      <c r="M87" s="518"/>
      <c r="N87" s="157"/>
      <c r="O87" s="157"/>
      <c r="P87" s="157"/>
      <c r="Q87" s="157"/>
      <c r="R87" s="157"/>
      <c r="S87" s="157"/>
      <c r="T87" s="157"/>
      <c r="U87" s="157"/>
      <c r="V87" s="157"/>
      <c r="W87" s="785"/>
      <c r="X87" s="157"/>
      <c r="Y87" s="157"/>
      <c r="Z87" s="157"/>
      <c r="AA87" s="157"/>
      <c r="AB87" s="157"/>
    </row>
    <row r="88" customFormat="false" ht="12.75" hidden="true" customHeight="false" outlineLevel="0" collapsed="false">
      <c r="A88" s="153" t="s">
        <v>1395</v>
      </c>
      <c r="B88" s="511"/>
      <c r="C88" s="153" t="n">
        <f aca="false">INT((INT(C$6/$X89)*$X$7+$X$7+$Z89-1)/($X$7+$Z89)/$Y89)</f>
        <v>0</v>
      </c>
      <c r="D88" s="153" t="n">
        <f aca="false">INT((INT(D$6/$X89)*$X$7+$X$7+$Z89-1)/($X$7+$Z89)/$Y89)</f>
        <v>0</v>
      </c>
      <c r="E88" s="153" t="n">
        <f aca="false">INT((INT(E$6/$X89)*$X$7+$X$7+$Z89-1)/($X$7+$Z89)/$Y89)</f>
        <v>0</v>
      </c>
      <c r="F88" s="153" t="n">
        <f aca="false">INT((INT(F$6/$X89)*$X$7+$X$7+$Z89-1)/($X$7+$Z89)/$Y89)</f>
        <v>0</v>
      </c>
      <c r="G88" s="153" t="n">
        <f aca="false">INT((INT(G$6/$X89)*$X$7+$X$7+$Z89-1)/($X$7+$Z89)/$Y89)</f>
        <v>0</v>
      </c>
      <c r="H88" s="153" t="n">
        <f aca="false">INT((INT(H$6/$X89)*$X$7+$X$7+$Z89-1)/($X$7+$Z89)/$Y89)</f>
        <v>0</v>
      </c>
      <c r="I88" s="153" t="n">
        <f aca="false">INT((INT(I$6/$X89)*$X$7+$X$7+$Z89-1)/($X$7+$Z89)/$Y89)</f>
        <v>0</v>
      </c>
      <c r="J88" s="153" t="n">
        <f aca="false">INT((INT(J$6/$X89)*$X$7+$X$7+$Z89-1)/($X$7+$Z89)/$Y89)</f>
        <v>0</v>
      </c>
      <c r="K88" s="153" t="n">
        <f aca="false">INT((INT(K$6/$X89)*$X$7+$X$7+$Z89-1)/($X$7+$Z89)/$Y89)</f>
        <v>0</v>
      </c>
      <c r="L88" s="153" t="n">
        <f aca="false">INT((INT(L$6/$X89)*$X$7+$X$7+$Z89-1)/($X$7+$Z89)/$Y89)</f>
        <v>0</v>
      </c>
      <c r="M88" s="153" t="n">
        <f aca="false">INT((INT(M$6/$X89)*$X$7+$X$7+$Z89-1)/($X$7+$Z89)/$Y89)</f>
        <v>0</v>
      </c>
      <c r="N88" s="153" t="n">
        <f aca="false">INT((INT(N$6/$X89)*$X$7+$X$7+$Z89-1)/($X$7+$Z89)/$Y89)</f>
        <v>0</v>
      </c>
      <c r="O88" s="153" t="n">
        <f aca="false">INT((INT(O$6/$X89)*$X$7+$X$7+$Z89-1)/($X$7+$Z89)/$Y89)</f>
        <v>0</v>
      </c>
      <c r="P88" s="153" t="n">
        <f aca="false">INT((INT(P$6/$X89)*$X$7+$X$7+$Z89-1)/($X$7+$Z89)/$Y89)</f>
        <v>0</v>
      </c>
      <c r="Q88" s="153" t="n">
        <f aca="false">INT((INT(Q$6/$X89)*$X$7+$X$7+$Z89-1)/($X$7+$Z89)/$Y89)</f>
        <v>0</v>
      </c>
      <c r="R88" s="153" t="n">
        <f aca="false">INT((INT(R$6/$X89)*$X$7+$X$7+$Z89-1)/($X$7+$Z89)/$Y89)</f>
        <v>0</v>
      </c>
      <c r="S88" s="153" t="n">
        <f aca="false">INT((INT(S$6/$X89)*$X$7+$X$7+$Z89-1)/($X$7+$Z89)/$Y89)</f>
        <v>0</v>
      </c>
      <c r="T88" s="153" t="n">
        <f aca="false">INT((INT(T$6/$X89)*$X$7+$X$7+$Z89-1)/($X$7+$Z89)/$Y89)</f>
        <v>0</v>
      </c>
      <c r="U88" s="153" t="n">
        <f aca="false">INT((INT(U$6/$X89)*$X$7+$X$7+$Z89-1)/($X$7+$Z89)/$Y89)</f>
        <v>0</v>
      </c>
      <c r="V88" s="153" t="n">
        <f aca="false">INT((INT(V$6/$X89)*$X$7+$X$7+$Z89-1)/($X$7+$Z89)/$Y89)</f>
        <v>0</v>
      </c>
      <c r="W88" s="157"/>
      <c r="X88" s="157"/>
      <c r="Y88" s="157"/>
      <c r="Z88" s="157"/>
      <c r="AA88" s="157"/>
      <c r="AB88" s="157"/>
    </row>
    <row r="89" customFormat="false" ht="12.75" hidden="false" customHeight="false" outlineLevel="0" collapsed="false">
      <c r="A89" s="153" t="s">
        <v>1396</v>
      </c>
      <c r="B89" s="511" t="s">
        <v>1007</v>
      </c>
      <c r="C89" s="511" t="n">
        <f aca="false">IF($Y89=1,0,$X$7*(INT(C$6/$X89)-INT(B$6/$X89))-IF(SUM($B89:B89)&gt;0,C90,0))</f>
        <v>0</v>
      </c>
      <c r="D89" s="511" t="n">
        <f aca="false">IF($Y89=1,0,$X$7*(INT(D$6/$X89)-INT(C$6/$X89))-IF(SUM($B89:C89)&gt;0,D90,0))</f>
        <v>0</v>
      </c>
      <c r="E89" s="511" t="n">
        <f aca="false">IF($Y89=1,0,$X$7*(INT(E$6/$X89)-INT(D$6/$X89))-IF(SUM($B89:D89)&gt;0,E90,0))</f>
        <v>0</v>
      </c>
      <c r="F89" s="511" t="n">
        <f aca="false">IF($Y89=1,0,$X$7*(INT(F$6/$X89)-INT(E$6/$X89))-IF(SUM($B89:E89)&gt;0,F90,0))</f>
        <v>0</v>
      </c>
      <c r="G89" s="511" t="n">
        <f aca="false">IF($Y89=1,0,$X$7*(INT(G$6/$X89)-INT(F$6/$X89))-IF(SUM($B89:F89)&gt;0,G90,0))</f>
        <v>0</v>
      </c>
      <c r="H89" s="511" t="n">
        <f aca="false">IF($Y89=1,0,$X$7*(INT(H$6/$X89)-INT(G$6/$X89))-IF(SUM($B89:G89)&gt;0,H90,0))</f>
        <v>0</v>
      </c>
      <c r="I89" s="511" t="n">
        <f aca="false">IF($Y89=1,0,$X$7*(INT(I$6/$X89)-INT(H$6/$X89))-IF(SUM($B89:H89)&gt;0,I90,0))</f>
        <v>0</v>
      </c>
      <c r="J89" s="511" t="n">
        <f aca="false">IF($Y89=1,0,$X$7*(INT(J$6/$X89)-INT(I$6/$X89))-IF(SUM($B89:I89)&gt;0,J90,0))</f>
        <v>0</v>
      </c>
      <c r="K89" s="511" t="n">
        <f aca="false">IF($Y89=1,0,$X$7*(INT(K$6/$X89)-INT(J$6/$X89))-IF(SUM($B89:J89)&gt;0,K90,0))</f>
        <v>0</v>
      </c>
      <c r="L89" s="511" t="n">
        <f aca="false">IF($Y89=1,0,$X$7*(INT(L$6/$X89)-INT(K$6/$X89))-IF(SUM($B89:K89)&gt;0,L90,0))</f>
        <v>0</v>
      </c>
      <c r="M89" s="511" t="n">
        <f aca="false">IF($Y89=1,0,$X$7*(INT(M$6/$X89)-INT(L$6/$X89))-IF(SUM($B89:L89)&gt;0,M90,0))</f>
        <v>0</v>
      </c>
      <c r="N89" s="511" t="n">
        <f aca="false">IF($Y89=1,0,$X$7*(INT(N$6/$X89)-INT(M$6/$X89))-IF(SUM($B89:M89)&gt;0,N90,0))</f>
        <v>0</v>
      </c>
      <c r="O89" s="511" t="n">
        <f aca="false">IF($Y89=1,0,$X$7*(INT(O$6/$X89)-INT(N$6/$X89))-IF(SUM($B89:N89)&gt;0,O90,0))</f>
        <v>0</v>
      </c>
      <c r="P89" s="511" t="n">
        <f aca="false">IF($Y89=1,0,$X$7*(INT(P$6/$X89)-INT(O$6/$X89))-IF(SUM($B89:O89)&gt;0,P90,0))</f>
        <v>0</v>
      </c>
      <c r="Q89" s="511" t="n">
        <f aca="false">IF($Y89=1,0,$X$7*(INT(Q$6/$X89)-INT(P$6/$X89))-IF(SUM($B89:P89)&gt;0,Q90,0))</f>
        <v>0</v>
      </c>
      <c r="R89" s="511" t="n">
        <f aca="false">IF($Y89=1,0,$X$7*(INT(R$6/$X89)-INT(Q$6/$X89))-IF(SUM($B89:Q89)&gt;0,R90,0))</f>
        <v>0</v>
      </c>
      <c r="S89" s="511" t="n">
        <f aca="false">IF($Y89=1,0,$X$7*(INT(S$6/$X89)-INT(R$6/$X89))-IF(SUM($B89:R89)&gt;0,S90,0))</f>
        <v>0</v>
      </c>
      <c r="T89" s="511" t="n">
        <f aca="false">IF($Y89=1,0,$X$7*(INT(T$6/$X89)-INT(S$6/$X89))-IF(SUM($B89:S89)&gt;0,T90,0))</f>
        <v>0</v>
      </c>
      <c r="U89" s="511" t="n">
        <f aca="false">IF($Y89=1,0,$X$7*(INT(U$6/$X89)-INT(T$6/$X89))-IF(SUM($B89:T89)&gt;0,U90,0))</f>
        <v>0</v>
      </c>
      <c r="V89" s="511" t="n">
        <f aca="false">IF($Y89=1,0,$X$7*(INT(V$6/$X89)-INT(U$6/$X89))-IF(SUM($B89:U89)&gt;0,V90,0))</f>
        <v>0</v>
      </c>
      <c r="W89" s="808" t="str">
        <f aca="false">'GT schd cost(W501D5)'!A32</f>
        <v>Comp Diaphragms</v>
      </c>
      <c r="X89" s="800" t="n">
        <f aca="false">IF($AD$6=1,'GTDB(W501D5)'!B35,'GTDB(W501D5)'!G35)</f>
        <v>48000</v>
      </c>
      <c r="Y89" s="800" t="n">
        <f aca="false">IF($AD$6=1,'GTDB(W501D5)'!C35,'GTDB(W501D5)'!H35)</f>
        <v>2</v>
      </c>
      <c r="Z89" s="801" t="n">
        <v>1</v>
      </c>
      <c r="AA89" s="805" t="n">
        <f aca="false">'Initial_Spares(W501D5)'!$E$29</f>
        <v>0</v>
      </c>
      <c r="AB89" s="764" t="n">
        <f aca="false">'GT schd cost(W501D5)'!X32+'GT schd cost(W501D5)'!X58</f>
        <v>0</v>
      </c>
    </row>
    <row r="90" customFormat="false" ht="12.75" hidden="false" customHeight="false" outlineLevel="0" collapsed="false">
      <c r="A90" s="153" t="s">
        <v>1397</v>
      </c>
      <c r="B90" s="511" t="s">
        <v>1007</v>
      </c>
      <c r="C90" s="511" t="n">
        <f aca="false">IF(INT(C$6/$X89)*$X$7&gt;C88*($X$7+$Z89)*$Y89,C88*($X$7+$Z89)-SUM($B90:B90),INT(C$6/$X89)*$X$7-C88*($X$7+$Z89)*($Y89-1)-SUM($B90:B90))+IF($Y89&gt;1,IF(INT(C$6/$X89)&gt;0,$Z89-$AA89,0),-$AA89)</f>
        <v>0</v>
      </c>
      <c r="D90" s="511" t="n">
        <f aca="false">IF(INT(D$6/$X89)*$X$7&gt;D88*($X$7+$Z89)*$Y89,D88*($X$7+$Z89)-SUM($B90:C90),INT(D$6/$X89)*$X$7-D88*($X$7+$Z89)*($Y89-1)-SUM($B90:C90))+IF($Y89&gt;1,IF(INT(D$6/$X89)&gt;0,$Z89-$AA89,0),-$AA89)</f>
        <v>0</v>
      </c>
      <c r="E90" s="511" t="n">
        <f aca="false">IF(INT(E$6/$X89)*$X$7&gt;E88*($X$7+$Z89)*$Y89,E88*($X$7+$Z89)-SUM($B90:D90),INT(E$6/$X89)*$X$7-E88*($X$7+$Z89)*($Y89-1)-SUM($B90:D90))+IF($Y89&gt;1,IF(INT(E$6/$X89)&gt;0,$Z89-$AA89,0),-$AA89)</f>
        <v>0</v>
      </c>
      <c r="F90" s="511" t="n">
        <f aca="false">IF(INT(F$6/$X89)*$X$7&gt;F88*($X$7+$Z89)*$Y89,F88*($X$7+$Z89)-SUM($B90:E90),INT(F$6/$X89)*$X$7-F88*($X$7+$Z89)*($Y89-1)-SUM($B90:E90))+IF($Y89&gt;1,IF(INT(F$6/$X89)&gt;0,$Z89-$AA89,0),-$AA89)</f>
        <v>0</v>
      </c>
      <c r="G90" s="511" t="n">
        <f aca="false">IF(INT(G$6/$X89)*$X$7&gt;G88*($X$7+$Z89)*$Y89,G88*($X$7+$Z89)-SUM($B90:F90),INT(G$6/$X89)*$X$7-G88*($X$7+$Z89)*($Y89-1)-SUM($B90:F90))+IF($Y89&gt;1,IF(INT(G$6/$X89)&gt;0,$Z89-$AA89,0),-$AA89)</f>
        <v>0</v>
      </c>
      <c r="H90" s="511" t="n">
        <f aca="false">IF(INT(H$6/$X89)*$X$7&gt;H88*($X$7+$Z89)*$Y89,H88*($X$7+$Z89)-SUM($B90:G90),INT(H$6/$X89)*$X$7-H88*($X$7+$Z89)*($Y89-1)-SUM($B90:G90))+IF($Y89&gt;1,IF(INT(H$6/$X89)&gt;0,$Z89-$AA89,0),-$AA89)</f>
        <v>0</v>
      </c>
      <c r="I90" s="511" t="n">
        <f aca="false">IF(INT(I$6/$X89)*$X$7&gt;I88*($X$7+$Z89)*$Y89,I88*($X$7+$Z89)-SUM($B90:H90),INT(I$6/$X89)*$X$7-I88*($X$7+$Z89)*($Y89-1)-SUM($B90:H90))+IF($Y89&gt;1,IF(INT(I$6/$X89)&gt;0,$Z89-$AA89,0),-$AA89)</f>
        <v>0</v>
      </c>
      <c r="J90" s="511" t="n">
        <f aca="false">IF(INT(J$6/$X89)*$X$7&gt;J88*($X$7+$Z89)*$Y89,J88*($X$7+$Z89)-SUM($B90:I90),INT(J$6/$X89)*$X$7-J88*($X$7+$Z89)*($Y89-1)-SUM($B90:I90))+IF($Y89&gt;1,IF(INT(J$6/$X89)&gt;0,$Z89-$AA89,0),-$AA89)</f>
        <v>0</v>
      </c>
      <c r="K90" s="511" t="n">
        <f aca="false">IF(INT(K$6/$X89)*$X$7&gt;K88*($X$7+$Z89)*$Y89,K88*($X$7+$Z89)-SUM($B90:J90),INT(K$6/$X89)*$X$7-K88*($X$7+$Z89)*($Y89-1)-SUM($B90:J90))+IF($Y89&gt;1,IF(INT(K$6/$X89)&gt;0,$Z89-$AA89,0),-$AA89)</f>
        <v>0</v>
      </c>
      <c r="L90" s="511" t="n">
        <f aca="false">IF(INT(L$6/$X89)*$X$7&gt;L88*($X$7+$Z89)*$Y89,L88*($X$7+$Z89)-SUM($B90:K90),INT(L$6/$X89)*$X$7-L88*($X$7+$Z89)*($Y89-1)-SUM($B90:K90))+IF($Y89&gt;1,IF(INT(L$6/$X89)&gt;0,$Z89-$AA89,0),-$AA89)</f>
        <v>0</v>
      </c>
      <c r="M90" s="511" t="n">
        <f aca="false">IF(INT(M$6/$X89)*$X$7&gt;M88*($X$7+$Z89)*$Y89,M88*($X$7+$Z89)-SUM($B90:L90),INT(M$6/$X89)*$X$7-M88*($X$7+$Z89)*($Y89-1)-SUM($B90:L90))+IF($Y89&gt;1,IF(INT(M$6/$X89)&gt;0,$Z89-$AA89,0),-$AA89)</f>
        <v>0</v>
      </c>
      <c r="N90" s="511" t="n">
        <f aca="false">IF(INT(N$6/$X89)*$X$7&gt;N88*($X$7+$Z89)*$Y89,N88*($X$7+$Z89)-SUM($B90:M90),INT(N$6/$X89)*$X$7-N88*($X$7+$Z89)*($Y89-1)-SUM($B90:M90))+IF($Y89&gt;1,IF(INT(N$6/$X89)&gt;0,$Z89-$AA89,0),-$AA89)</f>
        <v>0</v>
      </c>
      <c r="O90" s="511" t="n">
        <f aca="false">IF(INT(O$6/$X89)*$X$7&gt;O88*($X$7+$Z89)*$Y89,O88*($X$7+$Z89)-SUM($B90:N90),INT(O$6/$X89)*$X$7-O88*($X$7+$Z89)*($Y89-1)-SUM($B90:N90))+IF($Y89&gt;1,IF(INT(O$6/$X89)&gt;0,$Z89-$AA89,0),-$AA89)</f>
        <v>0</v>
      </c>
      <c r="P90" s="511" t="n">
        <f aca="false">IF(INT(P$6/$X89)*$X$7&gt;P88*($X$7+$Z89)*$Y89,P88*($X$7+$Z89)-SUM($B90:O90),INT(P$6/$X89)*$X$7-P88*($X$7+$Z89)*($Y89-1)-SUM($B90:O90))+IF($Y89&gt;1,IF(INT(P$6/$X89)&gt;0,$Z89-$AA89,0),-$AA89)</f>
        <v>0</v>
      </c>
      <c r="Q90" s="511" t="n">
        <f aca="false">IF(INT(Q$6/$X89)*$X$7&gt;Q88*($X$7+$Z89)*$Y89,Q88*($X$7+$Z89)-SUM($B90:P90),INT(Q$6/$X89)*$X$7-Q88*($X$7+$Z89)*($Y89-1)-SUM($B90:P90))+IF($Y89&gt;1,IF(INT(Q$6/$X89)&gt;0,$Z89-$AA89,0),-$AA89)</f>
        <v>0</v>
      </c>
      <c r="R90" s="511" t="n">
        <f aca="false">IF(INT(R$6/$X89)*$X$7&gt;R88*($X$7+$Z89)*$Y89,R88*($X$7+$Z89)-SUM($B90:Q90),INT(R$6/$X89)*$X$7-R88*($X$7+$Z89)*($Y89-1)-SUM($B90:Q90))+IF($Y89&gt;1,IF(INT(R$6/$X89)&gt;0,$Z89-$AA89,0),-$AA89)</f>
        <v>0</v>
      </c>
      <c r="S90" s="511" t="n">
        <f aca="false">IF(INT(S$6/$X89)*$X$7&gt;S88*($X$7+$Z89)*$Y89,S88*($X$7+$Z89)-SUM($B90:R90),INT(S$6/$X89)*$X$7-S88*($X$7+$Z89)*($Y89-1)-SUM($B90:R90))+IF($Y89&gt;1,IF(INT(S$6/$X89)&gt;0,$Z89-$AA89,0),-$AA89)</f>
        <v>0</v>
      </c>
      <c r="T90" s="511" t="n">
        <f aca="false">IF(INT(T$6/$X89)*$X$7&gt;T88*($X$7+$Z89)*$Y89,T88*($X$7+$Z89)-SUM($B90:S90),INT(T$6/$X89)*$X$7-T88*($X$7+$Z89)*($Y89-1)-SUM($B90:S90))+IF($Y89&gt;1,IF(INT(T$6/$X89)&gt;0,$Z89-$AA89,0),-$AA89)</f>
        <v>0</v>
      </c>
      <c r="U90" s="511" t="n">
        <f aca="false">IF(INT(U$6/$X89)*$X$7&gt;U88*($X$7+$Z89)*$Y89,U88*($X$7+$Z89)-SUM($B90:T90),INT(U$6/$X89)*$X$7-U88*($X$7+$Z89)*($Y89-1)-SUM($B90:T90))+IF($Y89&gt;1,IF(INT(U$6/$X89)&gt;0,$Z89-$AA89,0),-$AA89)</f>
        <v>0</v>
      </c>
      <c r="V90" s="511" t="n">
        <f aca="false">IF(INT(V$6/$X89)*$X$7&gt;V88*($X$7+$Z89)*$Y89,V88*($X$7+$Z89)-SUM($B90:U90),INT(V$6/$X89)*$X$7-V88*($X$7+$Z89)*($Y89-1)-SUM($B90:U90))+IF($Y89&gt;1,IF(INT(V$6/$X89)&gt;0,$Z89-$AA89,0),-$AA89)</f>
        <v>0</v>
      </c>
      <c r="W90" s="108"/>
      <c r="Z90" s="157"/>
      <c r="AA90" s="157"/>
      <c r="AB90" s="157"/>
    </row>
    <row r="91" customFormat="false" ht="12.75" hidden="false" customHeight="false" outlineLevel="0" collapsed="false">
      <c r="A91" s="157"/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785"/>
      <c r="Y91" s="157"/>
      <c r="Z91" s="157"/>
      <c r="AA91" s="157"/>
      <c r="AB91" s="157"/>
    </row>
    <row r="92" customFormat="false" ht="12.75" hidden="true" customHeight="false" outlineLevel="0" collapsed="false">
      <c r="A92" s="153" t="s">
        <v>1395</v>
      </c>
      <c r="B92" s="511"/>
      <c r="C92" s="153" t="e">
        <f aca="false">INT((INT(C$6/#REF!)*$X$7+$X$7+#REF!-1)/($X$7+#REF!)/#REF!)</f>
        <v>#REF!</v>
      </c>
      <c r="D92" s="153" t="e">
        <f aca="false">INT((INT(D$6/#REF!)*$X$7+$X$7+#REF!-1)/($X$7+#REF!)/#REF!)</f>
        <v>#REF!</v>
      </c>
      <c r="E92" s="153" t="e">
        <f aca="false">INT((INT(E$6/#REF!)*$X$7+$X$7+#REF!-1)/($X$7+#REF!)/#REF!)</f>
        <v>#REF!</v>
      </c>
      <c r="F92" s="153" t="e">
        <f aca="false">INT((INT(F$6/#REF!)*$X$7+$X$7+#REF!-1)/($X$7+#REF!)/#REF!)</f>
        <v>#REF!</v>
      </c>
      <c r="G92" s="153" t="e">
        <f aca="false">INT((INT(G$6/#REF!)*$X$7+$X$7+#REF!-1)/($X$7+#REF!)/#REF!)</f>
        <v>#REF!</v>
      </c>
      <c r="H92" s="153" t="e">
        <f aca="false">INT((INT(H$6/#REF!)*$X$7+$X$7+#REF!-1)/($X$7+#REF!)/#REF!)</f>
        <v>#REF!</v>
      </c>
      <c r="I92" s="153" t="e">
        <f aca="false">INT((INT(I$6/#REF!)*$X$7+$X$7+#REF!-1)/($X$7+#REF!)/#REF!)</f>
        <v>#REF!</v>
      </c>
      <c r="J92" s="153" t="e">
        <f aca="false">INT((INT(J$6/#REF!)*$X$7+$X$7+#REF!-1)/($X$7+#REF!)/#REF!)</f>
        <v>#REF!</v>
      </c>
      <c r="K92" s="153" t="e">
        <f aca="false">INT((INT(K$6/#REF!)*$X$7+$X$7+#REF!-1)/($X$7+#REF!)/#REF!)</f>
        <v>#REF!</v>
      </c>
      <c r="L92" s="153" t="e">
        <f aca="false">INT((INT(L$6/#REF!)*$X$7+$X$7+#REF!-1)/($X$7+#REF!)/#REF!)</f>
        <v>#REF!</v>
      </c>
      <c r="M92" s="153" t="e">
        <f aca="false">INT((INT(M$6/#REF!)*$X$7+$X$7+#REF!-1)/($X$7+#REF!)/#REF!)</f>
        <v>#REF!</v>
      </c>
      <c r="N92" s="153" t="e">
        <f aca="false">INT((INT(N$6/#REF!)*$X$7+$X$7+#REF!-1)/($X$7+#REF!)/#REF!)</f>
        <v>#REF!</v>
      </c>
      <c r="O92" s="153" t="e">
        <f aca="false">INT((INT(O$6/#REF!)*$X$7+$X$7+#REF!-1)/($X$7+#REF!)/#REF!)</f>
        <v>#REF!</v>
      </c>
      <c r="P92" s="153" t="e">
        <f aca="false">INT((INT(P$6/#REF!)*$X$7+$X$7+#REF!-1)/($X$7+#REF!)/#REF!)</f>
        <v>#REF!</v>
      </c>
      <c r="Q92" s="153" t="e">
        <f aca="false">INT((INT(Q$6/#REF!)*$X$7+$X$7+#REF!-1)/($X$7+#REF!)/#REF!)</f>
        <v>#REF!</v>
      </c>
      <c r="R92" s="153" t="e">
        <f aca="false">INT((INT(R$6/#REF!)*$X$7+$X$7+#REF!-1)/($X$7+#REF!)/#REF!)</f>
        <v>#REF!</v>
      </c>
      <c r="S92" s="153" t="e">
        <f aca="false">INT((INT(S$6/#REF!)*$X$7+$X$7+#REF!-1)/($X$7+#REF!)/#REF!)</f>
        <v>#REF!</v>
      </c>
      <c r="T92" s="153" t="e">
        <f aca="false">INT((INT(T$6/#REF!)*$X$7+$X$7+#REF!-1)/($X$7+#REF!)/#REF!)</f>
        <v>#REF!</v>
      </c>
      <c r="U92" s="153" t="e">
        <f aca="false">INT((INT(U$6/#REF!)*$X$7+$X$7+#REF!-1)/($X$7+#REF!)/#REF!)</f>
        <v>#REF!</v>
      </c>
      <c r="V92" s="153" t="e">
        <f aca="false">INT((INT(V$6/#REF!)*$X$7+$X$7+#REF!-1)/($X$7+#REF!)/#REF!)</f>
        <v>#REF!</v>
      </c>
      <c r="W92" s="157"/>
      <c r="X92" s="157"/>
      <c r="Y92" s="157"/>
      <c r="Z92" s="157"/>
      <c r="AA92" s="157"/>
      <c r="AB92" s="1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rowBreaks count="1" manualBreakCount="1">
    <brk id="74" man="true" max="16383" min="0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9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selection pane="topLeft" activeCell="A46" activeCellId="0" sqref="A4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809" t="s">
        <v>1398</v>
      </c>
      <c r="B2" s="157"/>
      <c r="C2" s="157"/>
      <c r="D2" s="157"/>
      <c r="E2" s="157"/>
    </row>
    <row r="3" customFormat="false" ht="11.25" hidden="false" customHeight="true" outlineLevel="0" collapsed="false">
      <c r="A3" s="809"/>
      <c r="B3" s="157"/>
      <c r="C3" s="157"/>
      <c r="D3" s="157"/>
      <c r="E3" s="157"/>
    </row>
    <row r="4" customFormat="false" ht="12.75" hidden="false" customHeight="false" outlineLevel="0" collapsed="false">
      <c r="A4" s="518" t="s">
        <v>1399</v>
      </c>
      <c r="B4" s="810" t="s">
        <v>1142</v>
      </c>
      <c r="C4" s="810"/>
      <c r="D4" s="157"/>
      <c r="E4" s="157"/>
    </row>
    <row r="5" customFormat="false" ht="12.75" hidden="false" customHeight="false" outlineLevel="0" collapsed="false">
      <c r="A5" s="518" t="s">
        <v>1400</v>
      </c>
      <c r="B5" s="810" t="s">
        <v>1142</v>
      </c>
      <c r="C5" s="810"/>
      <c r="D5" s="157"/>
      <c r="E5" s="157" t="s">
        <v>1007</v>
      </c>
    </row>
    <row r="6" customFormat="false" ht="12.75" hidden="false" customHeight="false" outlineLevel="0" collapsed="false">
      <c r="A6" s="518" t="s">
        <v>1401</v>
      </c>
      <c r="B6" s="811" t="n">
        <v>36663</v>
      </c>
      <c r="C6" s="157"/>
      <c r="D6" s="157"/>
      <c r="E6" s="157" t="s">
        <v>1007</v>
      </c>
    </row>
    <row r="7" customFormat="false" ht="12.75" hidden="false" customHeight="false" outlineLevel="0" collapsed="false">
      <c r="A7" s="518" t="s">
        <v>1402</v>
      </c>
      <c r="B7" s="157" t="s">
        <v>1403</v>
      </c>
      <c r="C7" s="157"/>
      <c r="D7" s="157"/>
      <c r="E7" s="157"/>
    </row>
    <row r="8" customFormat="false" ht="12.75" hidden="false" customHeight="false" outlineLevel="0" collapsed="false">
      <c r="A8" s="518" t="s">
        <v>1007</v>
      </c>
      <c r="B8" s="157"/>
      <c r="C8" s="157"/>
      <c r="D8" s="157"/>
      <c r="E8" s="157"/>
    </row>
    <row r="9" customFormat="false" ht="12.75" hidden="false" customHeight="false" outlineLevel="0" collapsed="false">
      <c r="A9" s="518" t="s">
        <v>1007</v>
      </c>
      <c r="B9" s="157" t="s">
        <v>1007</v>
      </c>
      <c r="C9" s="157"/>
      <c r="D9" s="157"/>
      <c r="E9" s="157"/>
    </row>
    <row r="10" customFormat="false" ht="12.75" hidden="false" customHeight="false" outlineLevel="0" collapsed="false">
      <c r="A10" s="667"/>
      <c r="B10" s="667"/>
      <c r="C10" s="667"/>
      <c r="D10" s="667"/>
      <c r="E10" s="667"/>
      <c r="F10" s="667"/>
      <c r="G10" s="667"/>
    </row>
    <row r="11" customFormat="false" ht="26.25" hidden="false" customHeight="false" outlineLevel="0" collapsed="false">
      <c r="A11" s="812" t="s">
        <v>1007</v>
      </c>
      <c r="B11" s="812" t="s">
        <v>1404</v>
      </c>
      <c r="C11" s="812" t="s">
        <v>1405</v>
      </c>
      <c r="D11" s="812" t="s">
        <v>1406</v>
      </c>
      <c r="E11" s="667"/>
      <c r="F11" s="667"/>
      <c r="G11" s="812" t="s">
        <v>1407</v>
      </c>
    </row>
    <row r="12" customFormat="false" ht="12.75" hidden="false" customHeight="false" outlineLevel="0" collapsed="false">
      <c r="A12" s="813" t="s">
        <v>1408</v>
      </c>
      <c r="B12" s="814" t="n">
        <v>8000</v>
      </c>
      <c r="C12" s="815" t="n">
        <v>106</v>
      </c>
      <c r="D12" s="815" t="n">
        <v>90.1</v>
      </c>
      <c r="G12" s="814" t="n">
        <v>400</v>
      </c>
    </row>
    <row r="13" customFormat="false" ht="12.75" hidden="false" customHeight="false" outlineLevel="0" collapsed="false">
      <c r="A13" s="153" t="s">
        <v>1409</v>
      </c>
      <c r="B13" s="816" t="n">
        <v>24000</v>
      </c>
      <c r="C13" s="770" t="n">
        <v>212</v>
      </c>
      <c r="D13" s="770" t="n">
        <v>121.9</v>
      </c>
      <c r="G13" s="816" t="n">
        <v>800</v>
      </c>
    </row>
    <row r="14" customFormat="false" ht="12.75" hidden="false" customHeight="false" outlineLevel="0" collapsed="false">
      <c r="A14" s="153" t="s">
        <v>1410</v>
      </c>
      <c r="B14" s="816" t="n">
        <v>48000</v>
      </c>
      <c r="C14" s="770" t="n">
        <v>598.9</v>
      </c>
      <c r="D14" s="770" t="n">
        <v>174.9</v>
      </c>
      <c r="G14" s="816" t="n">
        <v>2400</v>
      </c>
      <c r="M14" s="792"/>
    </row>
    <row r="16" customFormat="false" ht="39" hidden="false" customHeight="false" outlineLevel="0" collapsed="false">
      <c r="A16" s="817" t="s">
        <v>1411</v>
      </c>
      <c r="B16" s="817" t="s">
        <v>1412</v>
      </c>
      <c r="C16" s="817" t="s">
        <v>1413</v>
      </c>
      <c r="D16" s="817" t="s">
        <v>1414</v>
      </c>
      <c r="E16" s="817" t="s">
        <v>1415</v>
      </c>
      <c r="F16" s="818"/>
      <c r="G16" s="812" t="s">
        <v>1416</v>
      </c>
      <c r="H16" s="812" t="s">
        <v>1417</v>
      </c>
    </row>
    <row r="17" customFormat="false" ht="12.75" hidden="false" customHeight="false" outlineLevel="0" collapsed="false">
      <c r="A17" s="819" t="s">
        <v>1418</v>
      </c>
      <c r="B17" s="820" t="n">
        <v>8000</v>
      </c>
      <c r="C17" s="820" t="n">
        <v>6</v>
      </c>
      <c r="D17" s="819" t="n">
        <v>57.96</v>
      </c>
      <c r="E17" s="819" t="n">
        <v>259.854</v>
      </c>
      <c r="F17" s="785"/>
      <c r="G17" s="821" t="n">
        <v>400</v>
      </c>
      <c r="H17" s="822" t="n">
        <v>4</v>
      </c>
      <c r="L17" s="792"/>
    </row>
    <row r="18" customFormat="false" ht="12.75" hidden="false" customHeight="false" outlineLevel="0" collapsed="false">
      <c r="A18" s="823" t="s">
        <v>1419</v>
      </c>
      <c r="B18" s="824" t="n">
        <v>8000</v>
      </c>
      <c r="C18" s="824" t="n">
        <v>6</v>
      </c>
      <c r="D18" s="823" t="n">
        <v>105.65</v>
      </c>
      <c r="E18" s="823" t="n">
        <v>335.468</v>
      </c>
      <c r="F18" s="785"/>
      <c r="G18" s="821" t="n">
        <v>400</v>
      </c>
      <c r="H18" s="825" t="n">
        <v>4</v>
      </c>
      <c r="P18" s="792"/>
    </row>
    <row r="19" customFormat="false" ht="12.75" hidden="false" customHeight="false" outlineLevel="0" collapsed="false">
      <c r="A19" s="823" t="s">
        <v>1420</v>
      </c>
      <c r="B19" s="824" t="n">
        <v>8000</v>
      </c>
      <c r="C19" s="824" t="n">
        <v>3</v>
      </c>
      <c r="D19" s="823" t="n">
        <v>15</v>
      </c>
      <c r="E19" s="823" t="n">
        <v>48.174</v>
      </c>
      <c r="F19" s="785"/>
      <c r="G19" s="821" t="n">
        <v>400</v>
      </c>
      <c r="H19" s="825" t="n">
        <v>2</v>
      </c>
    </row>
    <row r="20" customFormat="false" ht="12.75" hidden="false" customHeight="false" outlineLevel="0" collapsed="false">
      <c r="A20" s="823" t="s">
        <v>1421</v>
      </c>
      <c r="B20" s="824" t="n">
        <v>8000</v>
      </c>
      <c r="C20" s="824" t="n">
        <v>12</v>
      </c>
      <c r="D20" s="823" t="n">
        <v>92.3</v>
      </c>
      <c r="E20" s="823" t="n">
        <v>522.34</v>
      </c>
      <c r="F20" s="785"/>
      <c r="G20" s="821" t="n">
        <v>400</v>
      </c>
      <c r="H20" s="825" t="n">
        <v>8</v>
      </c>
    </row>
    <row r="21" customFormat="false" ht="12.75" hidden="false" customHeight="false" outlineLevel="0" collapsed="false">
      <c r="A21" s="823" t="s">
        <v>1422</v>
      </c>
      <c r="B21" s="824" t="n">
        <v>8000</v>
      </c>
      <c r="C21" s="824" t="n">
        <v>8</v>
      </c>
      <c r="D21" s="823" t="n">
        <v>14.7</v>
      </c>
      <c r="E21" s="823" t="n">
        <v>92.4</v>
      </c>
      <c r="F21" s="785"/>
      <c r="G21" s="821" t="n">
        <v>400</v>
      </c>
      <c r="H21" s="825" t="n">
        <v>5</v>
      </c>
    </row>
    <row r="22" customFormat="false" ht="12.75" hidden="false" customHeight="false" outlineLevel="0" collapsed="false">
      <c r="A22" s="826" t="s">
        <v>1423</v>
      </c>
      <c r="B22" s="827" t="n">
        <v>24000</v>
      </c>
      <c r="C22" s="827" t="n">
        <v>2</v>
      </c>
      <c r="D22" s="826" t="n">
        <v>73.5</v>
      </c>
      <c r="E22" s="826" t="n">
        <v>459.675</v>
      </c>
      <c r="F22" s="785"/>
      <c r="G22" s="828" t="n">
        <v>800</v>
      </c>
      <c r="H22" s="829" t="n">
        <v>2</v>
      </c>
    </row>
    <row r="23" customFormat="false" ht="12.75" hidden="false" customHeight="false" outlineLevel="0" collapsed="false">
      <c r="A23" s="826" t="s">
        <v>1424</v>
      </c>
      <c r="B23" s="827" t="n">
        <v>24000</v>
      </c>
      <c r="C23" s="827" t="n">
        <v>3</v>
      </c>
      <c r="D23" s="826" t="n">
        <v>68.4</v>
      </c>
      <c r="E23" s="826" t="n">
        <v>435.445</v>
      </c>
      <c r="F23" s="785"/>
      <c r="G23" s="828" t="n">
        <v>800</v>
      </c>
      <c r="H23" s="829" t="n">
        <v>3</v>
      </c>
      <c r="K23" s="792"/>
    </row>
    <row r="24" customFormat="false" ht="12.75" hidden="false" customHeight="false" outlineLevel="0" collapsed="false">
      <c r="A24" s="830" t="s">
        <v>1425</v>
      </c>
      <c r="B24" s="831" t="n">
        <v>48000</v>
      </c>
      <c r="C24" s="831" t="n">
        <v>2</v>
      </c>
      <c r="D24" s="830" t="n">
        <v>56.7</v>
      </c>
      <c r="E24" s="830" t="n">
        <v>506.66</v>
      </c>
      <c r="F24" s="785"/>
      <c r="G24" s="832" t="n">
        <v>1600</v>
      </c>
      <c r="H24" s="833" t="n">
        <v>2</v>
      </c>
    </row>
    <row r="25" customFormat="false" ht="12.75" hidden="false" customHeight="false" outlineLevel="0" collapsed="false">
      <c r="A25" s="830" t="s">
        <v>1426</v>
      </c>
      <c r="B25" s="831" t="n">
        <v>48000</v>
      </c>
      <c r="C25" s="831" t="n">
        <v>2</v>
      </c>
      <c r="D25" s="830" t="n">
        <v>79.17</v>
      </c>
      <c r="E25" s="830" t="n">
        <v>627.861</v>
      </c>
      <c r="F25" s="785"/>
      <c r="G25" s="832" t="n">
        <v>1600</v>
      </c>
      <c r="H25" s="833" t="n">
        <v>2</v>
      </c>
    </row>
    <row r="26" customFormat="false" ht="12.75" hidden="false" customHeight="false" outlineLevel="0" collapsed="false">
      <c r="A26" s="826" t="s">
        <v>1427</v>
      </c>
      <c r="B26" s="827" t="n">
        <v>24000</v>
      </c>
      <c r="C26" s="827" t="n">
        <v>2</v>
      </c>
      <c r="D26" s="826" t="n">
        <v>105.36</v>
      </c>
      <c r="E26" s="826" t="n">
        <v>785.952</v>
      </c>
      <c r="F26" s="785"/>
      <c r="G26" s="828" t="n">
        <v>800</v>
      </c>
      <c r="H26" s="829" t="n">
        <v>2</v>
      </c>
    </row>
    <row r="27" customFormat="false" ht="12.75" hidden="false" customHeight="false" outlineLevel="0" collapsed="false">
      <c r="A27" s="826" t="s">
        <v>1428</v>
      </c>
      <c r="B27" s="827" t="n">
        <v>24000</v>
      </c>
      <c r="C27" s="827" t="n">
        <v>3</v>
      </c>
      <c r="D27" s="826" t="n">
        <v>84.68</v>
      </c>
      <c r="E27" s="826" t="n">
        <v>568.976</v>
      </c>
      <c r="F27" s="785"/>
      <c r="G27" s="828" t="n">
        <v>800</v>
      </c>
      <c r="H27" s="829" t="n">
        <v>3</v>
      </c>
    </row>
    <row r="28" customFormat="false" ht="12.75" hidden="false" customHeight="false" outlineLevel="0" collapsed="false">
      <c r="A28" s="830" t="s">
        <v>1429</v>
      </c>
      <c r="B28" s="831" t="n">
        <v>48000</v>
      </c>
      <c r="C28" s="831" t="n">
        <v>2</v>
      </c>
      <c r="D28" s="830" t="n">
        <v>77.4</v>
      </c>
      <c r="E28" s="830" t="n">
        <v>619.22</v>
      </c>
      <c r="F28" s="785"/>
      <c r="G28" s="828" t="n">
        <v>800</v>
      </c>
      <c r="H28" s="829" t="n">
        <v>4</v>
      </c>
      <c r="K28" s="792"/>
    </row>
    <row r="29" customFormat="false" ht="12.75" hidden="false" customHeight="false" outlineLevel="0" collapsed="false">
      <c r="A29" s="830" t="s">
        <v>1430</v>
      </c>
      <c r="B29" s="831" t="n">
        <v>48000</v>
      </c>
      <c r="C29" s="831" t="n">
        <v>2</v>
      </c>
      <c r="D29" s="830" t="n">
        <v>70.95</v>
      </c>
      <c r="E29" s="830" t="n">
        <v>709.604</v>
      </c>
      <c r="F29" s="785"/>
      <c r="G29" s="832" t="n">
        <v>1600</v>
      </c>
      <c r="H29" s="833" t="n">
        <v>2</v>
      </c>
    </row>
    <row r="30" customFormat="false" ht="12.75" hidden="false" customHeight="false" outlineLevel="0" collapsed="false">
      <c r="A30" s="826" t="s">
        <v>1431</v>
      </c>
      <c r="B30" s="827" t="n">
        <v>24000</v>
      </c>
      <c r="C30" s="827" t="n">
        <v>2</v>
      </c>
      <c r="D30" s="826" t="n">
        <v>14.5</v>
      </c>
      <c r="E30" s="826" t="n">
        <v>106.368</v>
      </c>
      <c r="F30" s="785"/>
      <c r="G30" s="828" t="n">
        <v>800</v>
      </c>
      <c r="H30" s="829" t="n">
        <v>2</v>
      </c>
    </row>
    <row r="31" customFormat="false" ht="12.75" hidden="false" customHeight="false" outlineLevel="0" collapsed="false">
      <c r="A31" s="826" t="s">
        <v>1432</v>
      </c>
      <c r="B31" s="827" t="n">
        <v>24000</v>
      </c>
      <c r="C31" s="827" t="n">
        <v>2</v>
      </c>
      <c r="D31" s="826" t="n">
        <v>14.5</v>
      </c>
      <c r="E31" s="826" t="n">
        <v>108.624</v>
      </c>
      <c r="F31" s="785"/>
      <c r="G31" s="828" t="n">
        <v>800</v>
      </c>
      <c r="H31" s="829" t="n">
        <v>2</v>
      </c>
    </row>
    <row r="32" customFormat="false" ht="12.75" hidden="false" customHeight="false" outlineLevel="0" collapsed="false">
      <c r="A32" s="830" t="s">
        <v>1433</v>
      </c>
      <c r="B32" s="831" t="n">
        <v>48000</v>
      </c>
      <c r="C32" s="831" t="n">
        <v>1.5</v>
      </c>
      <c r="D32" s="830" t="n">
        <v>13</v>
      </c>
      <c r="E32" s="830" t="n">
        <v>64.74</v>
      </c>
      <c r="F32" s="785"/>
      <c r="G32" s="832" t="n">
        <v>1600</v>
      </c>
      <c r="H32" s="834" t="n">
        <v>1.5</v>
      </c>
    </row>
    <row r="33" customFormat="false" ht="12.75" hidden="false" customHeight="false" outlineLevel="0" collapsed="false">
      <c r="A33" s="830" t="s">
        <v>1434</v>
      </c>
      <c r="B33" s="831" t="n">
        <v>48000</v>
      </c>
      <c r="C33" s="831" t="n">
        <v>2</v>
      </c>
      <c r="D33" s="830" t="n">
        <v>13</v>
      </c>
      <c r="E33" s="830" t="n">
        <v>66.136</v>
      </c>
      <c r="F33" s="785"/>
      <c r="G33" s="832" t="n">
        <v>1600</v>
      </c>
      <c r="H33" s="834" t="n">
        <v>2</v>
      </c>
    </row>
    <row r="34" customFormat="false" ht="12.75" hidden="false" customHeight="false" outlineLevel="0" collapsed="false">
      <c r="A34" s="830" t="s">
        <v>1435</v>
      </c>
      <c r="B34" s="831" t="n">
        <v>48000</v>
      </c>
      <c r="C34" s="831" t="n">
        <v>2</v>
      </c>
      <c r="D34" s="830" t="n">
        <v>63</v>
      </c>
      <c r="E34" s="830" t="n">
        <v>606.922</v>
      </c>
      <c r="F34" s="785"/>
      <c r="G34" s="832" t="n">
        <v>1600</v>
      </c>
      <c r="H34" s="834" t="n">
        <v>2</v>
      </c>
    </row>
    <row r="35" customFormat="false" ht="12.75" hidden="false" customHeight="false" outlineLevel="0" collapsed="false">
      <c r="A35" s="830" t="s">
        <v>1436</v>
      </c>
      <c r="B35" s="831" t="n">
        <v>48000</v>
      </c>
      <c r="C35" s="831" t="n">
        <v>2</v>
      </c>
      <c r="D35" s="830" t="n">
        <v>63</v>
      </c>
      <c r="E35" s="830" t="n">
        <v>1725.86</v>
      </c>
      <c r="F35" s="785"/>
      <c r="G35" s="832" t="n">
        <v>1600</v>
      </c>
      <c r="H35" s="834" t="n">
        <v>2</v>
      </c>
    </row>
    <row r="36" customFormat="false" ht="12.75" hidden="true" customHeight="false" outlineLevel="0" collapsed="false">
      <c r="A36" s="763"/>
      <c r="B36" s="835"/>
      <c r="C36" s="835"/>
      <c r="D36" s="816"/>
      <c r="E36" s="763"/>
      <c r="F36" s="785"/>
      <c r="G36" s="816" t="n">
        <v>9999999</v>
      </c>
      <c r="H36" s="816" t="n">
        <v>999</v>
      </c>
    </row>
    <row r="37" customFormat="false" ht="12.75" hidden="true" customHeight="false" outlineLevel="0" collapsed="false">
      <c r="A37" s="763"/>
      <c r="B37" s="835"/>
      <c r="C37" s="835"/>
      <c r="D37" s="816"/>
      <c r="E37" s="763"/>
      <c r="F37" s="785"/>
      <c r="G37" s="816" t="n">
        <v>9999999</v>
      </c>
      <c r="H37" s="816" t="n">
        <v>999</v>
      </c>
    </row>
    <row r="38" customFormat="false" ht="12.75" hidden="true" customHeight="false" outlineLevel="0" collapsed="false">
      <c r="A38" s="836"/>
      <c r="B38" s="824"/>
      <c r="C38" s="824"/>
      <c r="D38" s="837"/>
      <c r="E38" s="823"/>
      <c r="F38" s="785"/>
      <c r="G38" s="837" t="n">
        <v>9999999</v>
      </c>
      <c r="H38" s="837" t="n">
        <v>999</v>
      </c>
    </row>
    <row r="39" customFormat="false" ht="12.75" hidden="true" customHeight="false" outlineLevel="0" collapsed="false">
      <c r="A39" s="836"/>
      <c r="B39" s="824"/>
      <c r="C39" s="824"/>
      <c r="D39" s="837"/>
      <c r="E39" s="837"/>
      <c r="F39" s="785"/>
      <c r="G39" s="837" t="n">
        <v>9999999</v>
      </c>
      <c r="H39" s="837" t="n">
        <v>999</v>
      </c>
    </row>
    <row r="40" customFormat="false" ht="12.75" hidden="true" customHeight="false" outlineLevel="0" collapsed="false">
      <c r="A40" s="837"/>
      <c r="B40" s="824"/>
      <c r="C40" s="824"/>
      <c r="D40" s="837"/>
      <c r="E40" s="837"/>
      <c r="F40" s="785"/>
      <c r="G40" s="837" t="n">
        <v>9999999</v>
      </c>
      <c r="H40" s="837" t="n">
        <v>999</v>
      </c>
    </row>
    <row r="41" customFormat="false" ht="12.75" hidden="true" customHeight="false" outlineLevel="0" collapsed="false">
      <c r="A41" s="826"/>
      <c r="B41" s="827"/>
      <c r="C41" s="827"/>
      <c r="D41" s="826"/>
      <c r="E41" s="826"/>
      <c r="F41" s="785"/>
      <c r="G41" s="838" t="n">
        <v>9999999</v>
      </c>
      <c r="H41" s="838" t="n">
        <v>999</v>
      </c>
    </row>
    <row r="42" customFormat="false" ht="12.75" hidden="true" customHeight="false" outlineLevel="0" collapsed="false">
      <c r="A42" s="826"/>
      <c r="B42" s="827"/>
      <c r="C42" s="827"/>
      <c r="D42" s="826"/>
      <c r="E42" s="826"/>
      <c r="F42" s="785"/>
      <c r="G42" s="838" t="n">
        <v>9999999</v>
      </c>
      <c r="H42" s="838" t="n">
        <v>999</v>
      </c>
    </row>
    <row r="43" customFormat="false" ht="12.75" hidden="true" customHeight="false" outlineLevel="0" collapsed="false">
      <c r="A43" s="826"/>
      <c r="B43" s="827"/>
      <c r="C43" s="827"/>
      <c r="D43" s="826"/>
      <c r="E43" s="826"/>
      <c r="F43" s="785"/>
      <c r="G43" s="838" t="n">
        <v>9999999</v>
      </c>
      <c r="H43" s="838" t="n">
        <v>999</v>
      </c>
    </row>
    <row r="45" customFormat="false" ht="12.75" hidden="false" customHeight="false" outlineLevel="0" collapsed="false">
      <c r="A45" s="839" t="s">
        <v>1437</v>
      </c>
      <c r="B45" s="840"/>
      <c r="C45" s="840"/>
      <c r="D45" s="840"/>
      <c r="E45" s="841"/>
    </row>
    <row r="46" customFormat="false" ht="12.75" hidden="false" customHeight="false" outlineLevel="0" collapsed="false">
      <c r="A46" s="395" t="s">
        <v>1438</v>
      </c>
      <c r="B46" s="157"/>
      <c r="C46" s="157"/>
      <c r="D46" s="157"/>
      <c r="E46" s="503"/>
    </row>
    <row r="47" customFormat="false" ht="12.75" hidden="false" customHeight="false" outlineLevel="0" collapsed="false">
      <c r="A47" s="395"/>
      <c r="B47" s="157"/>
      <c r="C47" s="157"/>
      <c r="D47" s="157"/>
      <c r="E47" s="503"/>
    </row>
    <row r="48" customFormat="false" ht="12.75" hidden="false" customHeight="false" outlineLevel="0" collapsed="false">
      <c r="A48" s="395"/>
      <c r="B48" s="157"/>
      <c r="C48" s="157"/>
      <c r="D48" s="157"/>
      <c r="E48" s="503"/>
    </row>
    <row r="49" customFormat="false" ht="12.75" hidden="false" customHeight="false" outlineLevel="0" collapsed="false">
      <c r="A49" s="842"/>
      <c r="B49" s="520"/>
      <c r="C49" s="520"/>
      <c r="D49" s="520"/>
      <c r="E49" s="52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76"/>
  <sheetViews>
    <sheetView showFormulas="false" showGridLines="true" showRowColHeaders="true" showZeros="true" rightToLeft="false" tabSelected="false" showOutlineSymbols="true" defaultGridColor="true" view="normal" topLeftCell="A28" colorId="64" zoomScale="75" zoomScaleNormal="75" zoomScalePageLayoutView="100" workbookViewId="0">
      <selection pane="topLeft" activeCell="D14" activeCellId="0" sqref="D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56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57" width="9.85"/>
  </cols>
  <sheetData>
    <row r="2" customFormat="false" ht="18" hidden="false" customHeight="false" outlineLevel="0" collapsed="false">
      <c r="A2" s="758" t="str">
        <f aca="false">CONCATENATE('rotation(W501D5A)'!X7,"x","W501D5A GT Scheduled Maintenance  Cost")</f>
        <v>0xW501D5A GT Scheduled Maintenance  Cost</v>
      </c>
      <c r="B2" s="11"/>
    </row>
    <row r="4" customFormat="false" ht="12.75" hidden="false" customHeight="false" outlineLevel="0" collapsed="false">
      <c r="A4" s="759" t="s">
        <v>1351</v>
      </c>
      <c r="B4" s="153"/>
      <c r="C4" s="153"/>
      <c r="D4" s="153" t="n">
        <v>1</v>
      </c>
      <c r="E4" s="153" t="n">
        <v>2</v>
      </c>
      <c r="F4" s="153" t="n">
        <v>3</v>
      </c>
      <c r="G4" s="153" t="n">
        <v>4</v>
      </c>
      <c r="H4" s="153" t="n">
        <v>5</v>
      </c>
      <c r="I4" s="153" t="n">
        <v>6</v>
      </c>
      <c r="J4" s="153" t="n">
        <v>7</v>
      </c>
      <c r="K4" s="153" t="n">
        <v>8</v>
      </c>
      <c r="L4" s="153" t="n">
        <v>9</v>
      </c>
      <c r="M4" s="153" t="n">
        <v>10</v>
      </c>
      <c r="N4" s="153" t="n">
        <v>11</v>
      </c>
      <c r="O4" s="153" t="n">
        <v>12</v>
      </c>
      <c r="P4" s="153" t="n">
        <v>13</v>
      </c>
      <c r="Q4" s="153" t="n">
        <v>14</v>
      </c>
      <c r="R4" s="153" t="n">
        <v>15</v>
      </c>
      <c r="S4" s="153" t="n">
        <v>16</v>
      </c>
      <c r="T4" s="153" t="n">
        <v>17</v>
      </c>
      <c r="U4" s="153" t="n">
        <v>18</v>
      </c>
      <c r="V4" s="153" t="n">
        <v>19</v>
      </c>
      <c r="W4" s="153" t="n">
        <v>20</v>
      </c>
      <c r="X4" s="757" t="s">
        <v>1352</v>
      </c>
    </row>
    <row r="5" customFormat="false" ht="12.75" hidden="false" customHeight="false" outlineLevel="0" collapsed="false">
      <c r="A5" s="759" t="s">
        <v>1353</v>
      </c>
      <c r="B5" s="153"/>
      <c r="C5" s="153"/>
      <c r="D5" s="742" t="str">
        <f aca="false">CONCATENATE('rotation(W501D5A)'!C$12,'rotation(W501D5A)'!C$13,'rotation(W501D5A)'!C$14)</f>
        <v>   </v>
      </c>
      <c r="E5" s="742" t="str">
        <f aca="false">CONCATENATE('rotation(W501D5A)'!D$12,'rotation(W501D5A)'!D$13,'rotation(W501D5A)'!D$14)</f>
        <v>   </v>
      </c>
      <c r="F5" s="742" t="str">
        <f aca="false">CONCATENATE('rotation(W501D5A)'!E$12,'rotation(W501D5A)'!E$13,'rotation(W501D5A)'!E$14)</f>
        <v>   </v>
      </c>
      <c r="G5" s="742" t="str">
        <f aca="false">CONCATENATE('rotation(W501D5A)'!F$12,'rotation(W501D5A)'!F$13,'rotation(W501D5A)'!F$14)</f>
        <v>   </v>
      </c>
      <c r="H5" s="742" t="str">
        <f aca="false">CONCATENATE('rotation(W501D5A)'!G$12,'rotation(W501D5A)'!G$13,'rotation(W501D5A)'!G$14)</f>
        <v>   </v>
      </c>
      <c r="I5" s="742" t="str">
        <f aca="false">CONCATENATE('rotation(W501D5A)'!H$12,'rotation(W501D5A)'!H$13,'rotation(W501D5A)'!H$14)</f>
        <v>   </v>
      </c>
      <c r="J5" s="742" t="str">
        <f aca="false">CONCATENATE('rotation(W501D5A)'!I$12,'rotation(W501D5A)'!I$13,'rotation(W501D5A)'!I$14)</f>
        <v>   </v>
      </c>
      <c r="K5" s="742" t="str">
        <f aca="false">CONCATENATE('rotation(W501D5A)'!J$12,'rotation(W501D5A)'!J$13,'rotation(W501D5A)'!J$14)</f>
        <v>   </v>
      </c>
      <c r="L5" s="742" t="str">
        <f aca="false">CONCATENATE('rotation(W501D5A)'!K$12,'rotation(W501D5A)'!K$13,'rotation(W501D5A)'!K$14)</f>
        <v>   </v>
      </c>
      <c r="M5" s="742" t="str">
        <f aca="false">CONCATENATE('rotation(W501D5A)'!L$12,'rotation(W501D5A)'!L$13,'rotation(W501D5A)'!L$14)</f>
        <v>   </v>
      </c>
      <c r="N5" s="742" t="str">
        <f aca="false">CONCATENATE('rotation(W501D5A)'!M$12,'rotation(W501D5A)'!M$13,'rotation(W501D5A)'!M$14)</f>
        <v>   </v>
      </c>
      <c r="O5" s="742" t="str">
        <f aca="false">CONCATENATE('rotation(W501D5A)'!N$12,'rotation(W501D5A)'!N$13,'rotation(W501D5A)'!N$14)</f>
        <v>   </v>
      </c>
      <c r="P5" s="742" t="str">
        <f aca="false">CONCATENATE('rotation(W501D5A)'!O$12,'rotation(W501D5A)'!O$13,'rotation(W501D5A)'!O$14)</f>
        <v>   </v>
      </c>
      <c r="Q5" s="742" t="str">
        <f aca="false">CONCATENATE('rotation(W501D5A)'!P$12,'rotation(W501D5A)'!P$13,'rotation(W501D5A)'!P$14)</f>
        <v>   </v>
      </c>
      <c r="R5" s="742" t="str">
        <f aca="false">CONCATENATE('rotation(W501D5A)'!Q$12,'rotation(W501D5A)'!Q$13,'rotation(W501D5A)'!Q$14)</f>
        <v>   </v>
      </c>
      <c r="S5" s="742" t="str">
        <f aca="false">CONCATENATE('rotation(W501D5A)'!R$12,'rotation(W501D5A)'!R$13,'rotation(W501D5A)'!R$14)</f>
        <v>   </v>
      </c>
      <c r="T5" s="742" t="str">
        <f aca="false">CONCATENATE('rotation(W501D5A)'!S$12,'rotation(W501D5A)'!S$13,'rotation(W501D5A)'!S$14)</f>
        <v>   </v>
      </c>
      <c r="U5" s="742" t="str">
        <f aca="false">CONCATENATE('rotation(W501D5A)'!T$12,'rotation(W501D5A)'!T$13,'rotation(W501D5A)'!T$14)</f>
        <v>   </v>
      </c>
      <c r="V5" s="742" t="str">
        <f aca="false">CONCATENATE('rotation(W501D5A)'!U$12,'rotation(W501D5A)'!U$13,'rotation(W501D5A)'!U$14)</f>
        <v>   </v>
      </c>
      <c r="W5" s="742" t="str">
        <f aca="false">CONCATENATE('rotation(W501D5A)'!V$12,'rotation(W501D5A)'!V$13,'rotation(W501D5A)'!V$14)</f>
        <v>   </v>
      </c>
    </row>
    <row r="6" customFormat="false" ht="12.75" hidden="false" customHeight="false" outlineLevel="0" collapsed="false">
      <c r="A6" s="759" t="s">
        <v>1354</v>
      </c>
      <c r="B6" s="153"/>
      <c r="C6" s="153"/>
      <c r="D6" s="742" t="str">
        <f aca="false">IF('rotation(W501D5A)'!$X$7&lt;2," ",CONCATENATE('rotation(W501D5A)'!C$12,'rotation(W501D5A)'!C$13,'rotation(W501D5A)'!C$14))</f>
        <v> </v>
      </c>
      <c r="E6" s="742" t="str">
        <f aca="false">IF('rotation(W501D5A)'!$X$7&lt;2," ",CONCATENATE('rotation(W501D5A)'!D$12,'rotation(W501D5A)'!D$13,'rotation(W501D5A)'!D$14))</f>
        <v> </v>
      </c>
      <c r="F6" s="742" t="str">
        <f aca="false">IF('rotation(W501D5A)'!$X$7&lt;2," ",CONCATENATE('rotation(W501D5A)'!E$12,'rotation(W501D5A)'!E$13,'rotation(W501D5A)'!E$14))</f>
        <v> </v>
      </c>
      <c r="G6" s="742" t="str">
        <f aca="false">IF('rotation(W501D5A)'!$X$7&lt;2," ",CONCATENATE('rotation(W501D5A)'!F$12,'rotation(W501D5A)'!F$13,'rotation(W501D5A)'!F$14))</f>
        <v> </v>
      </c>
      <c r="H6" s="742" t="str">
        <f aca="false">IF('rotation(W501D5A)'!$X$7&lt;2," ",CONCATENATE('rotation(W501D5A)'!G$12,'rotation(W501D5A)'!G$13,'rotation(W501D5A)'!G$14))</f>
        <v> </v>
      </c>
      <c r="I6" s="742" t="str">
        <f aca="false">IF('rotation(W501D5A)'!$X$7&lt;2," ",CONCATENATE('rotation(W501D5A)'!H$12,'rotation(W501D5A)'!H$13,'rotation(W501D5A)'!H$14))</f>
        <v> </v>
      </c>
      <c r="J6" s="742" t="str">
        <f aca="false">IF('rotation(W501D5A)'!$X$7&lt;2," ",CONCATENATE('rotation(W501D5A)'!I$12,'rotation(W501D5A)'!I$13,'rotation(W501D5A)'!I$14))</f>
        <v> </v>
      </c>
      <c r="K6" s="742" t="str">
        <f aca="false">IF('rotation(W501D5A)'!$X$7&lt;2," ",CONCATENATE('rotation(W501D5A)'!J$12,'rotation(W501D5A)'!J$13,'rotation(W501D5A)'!J$14))</f>
        <v> </v>
      </c>
      <c r="L6" s="742" t="str">
        <f aca="false">IF('rotation(W501D5A)'!$X$7&lt;2," ",CONCATENATE('rotation(W501D5A)'!K$12,'rotation(W501D5A)'!K$13,'rotation(W501D5A)'!K$14))</f>
        <v> </v>
      </c>
      <c r="M6" s="742" t="str">
        <f aca="false">IF('rotation(W501D5A)'!$X$7&lt;2," ",CONCATENATE('rotation(W501D5A)'!L$12,'rotation(W501D5A)'!L$13,'rotation(W501D5A)'!L$14))</f>
        <v> </v>
      </c>
      <c r="N6" s="742" t="str">
        <f aca="false">IF('rotation(W501D5A)'!$X$7&lt;2," ",CONCATENATE('rotation(W501D5A)'!M$12,'rotation(W501D5A)'!M$13,'rotation(W501D5A)'!M$14))</f>
        <v> </v>
      </c>
      <c r="O6" s="742" t="str">
        <f aca="false">IF('rotation(W501D5A)'!$X$7&lt;2," ",CONCATENATE('rotation(W501D5A)'!N$12,'rotation(W501D5A)'!N$13,'rotation(W501D5A)'!N$14))</f>
        <v> </v>
      </c>
      <c r="P6" s="742" t="str">
        <f aca="false">IF('rotation(W501D5A)'!$X$7&lt;2," ",CONCATENATE('rotation(W501D5A)'!O$12,'rotation(W501D5A)'!O$13,'rotation(W501D5A)'!O$14))</f>
        <v> </v>
      </c>
      <c r="Q6" s="742" t="str">
        <f aca="false">IF('rotation(W501D5A)'!$X$7&lt;2," ",CONCATENATE('rotation(W501D5A)'!P$12,'rotation(W501D5A)'!P$13,'rotation(W501D5A)'!P$14))</f>
        <v> </v>
      </c>
      <c r="R6" s="742" t="str">
        <f aca="false">IF('rotation(W501D5A)'!$X$7&lt;2," ",CONCATENATE('rotation(W501D5A)'!Q$12,'rotation(W501D5A)'!Q$13,'rotation(W501D5A)'!Q$14))</f>
        <v> </v>
      </c>
      <c r="S6" s="742" t="str">
        <f aca="false">IF('rotation(W501D5A)'!$X$7&lt;2," ",CONCATENATE('rotation(W501D5A)'!R$12,'rotation(W501D5A)'!R$13,'rotation(W501D5A)'!R$14))</f>
        <v> </v>
      </c>
      <c r="T6" s="742" t="str">
        <f aca="false">IF('rotation(W501D5A)'!$X$7&lt;2," ",CONCATENATE('rotation(W501D5A)'!S$12,'rotation(W501D5A)'!S$13,'rotation(W501D5A)'!S$14))</f>
        <v> </v>
      </c>
      <c r="U6" s="742" t="str">
        <f aca="false">IF('rotation(W501D5A)'!$X$7&lt;2," ",CONCATENATE('rotation(W501D5A)'!T$12,'rotation(W501D5A)'!T$13,'rotation(W501D5A)'!T$14))</f>
        <v> </v>
      </c>
      <c r="V6" s="742" t="str">
        <f aca="false">IF('rotation(W501D5A)'!$X$7&lt;2," ",CONCATENATE('rotation(W501D5A)'!U$12,'rotation(W501D5A)'!U$13,'rotation(W501D5A)'!U$14))</f>
        <v> </v>
      </c>
      <c r="W6" s="742" t="str">
        <f aca="false">IF('rotation(W501D5A)'!$X$7&lt;2," ",CONCATENATE('rotation(W501D5A)'!V$12,'rotation(W501D5A)'!V$13,'rotation(W501D5A)'!V$14))</f>
        <v> </v>
      </c>
    </row>
    <row r="7" customFormat="false" ht="12.75" hidden="false" customHeight="false" outlineLevel="0" collapsed="false">
      <c r="A7" s="759" t="s">
        <v>1355</v>
      </c>
      <c r="B7" s="153"/>
      <c r="C7" s="153"/>
      <c r="D7" s="742" t="str">
        <f aca="false">IF('rotation(W501D5A)'!$X$7&lt;3," ",CONCATENATE('rotation(W501D5A)'!C$12,'rotation(W501D5A)'!C$13,'rotation(W501D5A)'!C$14))</f>
        <v> </v>
      </c>
      <c r="E7" s="742" t="str">
        <f aca="false">IF('rotation(W501D5A)'!$X$7&lt;3," ",CONCATENATE('rotation(W501D5A)'!D$12,'rotation(W501D5A)'!D$13,'rotation(W501D5A)'!D$14))</f>
        <v> </v>
      </c>
      <c r="F7" s="742" t="str">
        <f aca="false">IF('rotation(W501D5A)'!$X$7&lt;3," ",CONCATENATE('rotation(W501D5A)'!E$12,'rotation(W501D5A)'!E$13,'rotation(W501D5A)'!E$14))</f>
        <v> </v>
      </c>
      <c r="G7" s="742" t="str">
        <f aca="false">IF('rotation(W501D5A)'!$X$7&lt;3," ",CONCATENATE('rotation(W501D5A)'!F$12,'rotation(W501D5A)'!F$13,'rotation(W501D5A)'!F$14))</f>
        <v> </v>
      </c>
      <c r="H7" s="742" t="str">
        <f aca="false">IF('rotation(W501D5A)'!$X$7&lt;3," ",CONCATENATE('rotation(W501D5A)'!G$12,'rotation(W501D5A)'!G$13,'rotation(W501D5A)'!G$14))</f>
        <v> </v>
      </c>
      <c r="I7" s="742" t="str">
        <f aca="false">IF('rotation(W501D5A)'!$X$7&lt;3," ",CONCATENATE('rotation(W501D5A)'!H$12,'rotation(W501D5A)'!H$13,'rotation(W501D5A)'!H$14))</f>
        <v> </v>
      </c>
      <c r="J7" s="742" t="str">
        <f aca="false">IF('rotation(W501D5A)'!$X$7&lt;3," ",CONCATENATE('rotation(W501D5A)'!I$12,'rotation(W501D5A)'!I$13,'rotation(W501D5A)'!I$14))</f>
        <v> </v>
      </c>
      <c r="K7" s="742" t="str">
        <f aca="false">IF('rotation(W501D5A)'!$X$7&lt;3," ",CONCATENATE('rotation(W501D5A)'!J$12,'rotation(W501D5A)'!J$13,'rotation(W501D5A)'!J$14))</f>
        <v> </v>
      </c>
      <c r="L7" s="742" t="str">
        <f aca="false">IF('rotation(W501D5A)'!$X$7&lt;3," ",CONCATENATE('rotation(W501D5A)'!K$12,'rotation(W501D5A)'!K$13,'rotation(W501D5A)'!K$14))</f>
        <v> </v>
      </c>
      <c r="M7" s="742" t="str">
        <f aca="false">IF('rotation(W501D5A)'!$X$7&lt;3," ",CONCATENATE('rotation(W501D5A)'!L$12,'rotation(W501D5A)'!L$13,'rotation(W501D5A)'!L$14))</f>
        <v> </v>
      </c>
      <c r="N7" s="742" t="str">
        <f aca="false">IF('rotation(W501D5A)'!$X$7&lt;3," ",CONCATENATE('rotation(W501D5A)'!M$12,'rotation(W501D5A)'!M$13,'rotation(W501D5A)'!M$14))</f>
        <v> </v>
      </c>
      <c r="O7" s="742" t="str">
        <f aca="false">IF('rotation(W501D5A)'!$X$7&lt;3," ",CONCATENATE('rotation(W501D5A)'!N$12,'rotation(W501D5A)'!N$13,'rotation(W501D5A)'!N$14))</f>
        <v> </v>
      </c>
      <c r="P7" s="742" t="str">
        <f aca="false">IF('rotation(W501D5A)'!$X$7&lt;3," ",CONCATENATE('rotation(W501D5A)'!O$12,'rotation(W501D5A)'!O$13,'rotation(W501D5A)'!O$14))</f>
        <v> </v>
      </c>
      <c r="Q7" s="742" t="str">
        <f aca="false">IF('rotation(W501D5A)'!$X$7&lt;3," ",CONCATENATE('rotation(W501D5A)'!P$12,'rotation(W501D5A)'!P$13,'rotation(W501D5A)'!P$14))</f>
        <v> </v>
      </c>
      <c r="R7" s="742" t="str">
        <f aca="false">IF('rotation(W501D5A)'!$X$7&lt;3," ",CONCATENATE('rotation(W501D5A)'!Q$12,'rotation(W501D5A)'!Q$13,'rotation(W501D5A)'!Q$14))</f>
        <v> </v>
      </c>
      <c r="S7" s="742" t="str">
        <f aca="false">IF('rotation(W501D5A)'!$X$7&lt;3," ",CONCATENATE('rotation(W501D5A)'!R$12,'rotation(W501D5A)'!R$13,'rotation(W501D5A)'!R$14))</f>
        <v> </v>
      </c>
      <c r="T7" s="742" t="str">
        <f aca="false">IF('rotation(W501D5A)'!$X$7&lt;3," ",CONCATENATE('rotation(W501D5A)'!S$12,'rotation(W501D5A)'!S$13,'rotation(W501D5A)'!S$14))</f>
        <v> </v>
      </c>
      <c r="U7" s="742" t="str">
        <f aca="false">IF('rotation(W501D5A)'!$X$7&lt;3," ",CONCATENATE('rotation(W501D5A)'!T$12,'rotation(W501D5A)'!T$13,'rotation(W501D5A)'!T$14))</f>
        <v> </v>
      </c>
      <c r="V7" s="742" t="str">
        <f aca="false">IF('rotation(W501D5A)'!$X$7&lt;3," ",CONCATENATE('rotation(W501D5A)'!U$12,'rotation(W501D5A)'!U$13,'rotation(W501D5A)'!U$14))</f>
        <v> </v>
      </c>
      <c r="W7" s="742" t="str">
        <f aca="false">IF('rotation(W501D5A)'!$X$7&lt;3," ",CONCATENATE('rotation(W501D5A)'!V$12,'rotation(W501D5A)'!V$13,'rotation(W501D5A)'!V$14))</f>
        <v> </v>
      </c>
    </row>
    <row r="8" customFormat="false" ht="12.75" hidden="false" customHeight="false" outlineLevel="0" collapsed="false">
      <c r="A8" s="759" t="s">
        <v>1356</v>
      </c>
      <c r="B8" s="153"/>
      <c r="C8" s="153"/>
      <c r="D8" s="742" t="str">
        <f aca="false">IF('rotation(W501D5A)'!$X$7&lt;4," ",CONCATENATE('rotation(W501D5A)'!C$12,'rotation(W501D5A)'!C$13,'rotation(W501D5A)'!C$14))</f>
        <v> </v>
      </c>
      <c r="E8" s="742" t="str">
        <f aca="false">IF('rotation(W501D5A)'!$X$7&lt;4," ",CONCATENATE('rotation(W501D5A)'!D$12,'rotation(W501D5A)'!D$13,'rotation(W501D5A)'!D$14))</f>
        <v> </v>
      </c>
      <c r="F8" s="742" t="str">
        <f aca="false">IF('rotation(W501D5A)'!$X$7&lt;4," ",CONCATENATE('rotation(W501D5A)'!E$12,'rotation(W501D5A)'!E$13,'rotation(W501D5A)'!E$14))</f>
        <v> </v>
      </c>
      <c r="G8" s="742" t="str">
        <f aca="false">IF('rotation(W501D5A)'!$X$7&lt;4," ",CONCATENATE('rotation(W501D5A)'!F$12,'rotation(W501D5A)'!F$13,'rotation(W501D5A)'!F$14))</f>
        <v> </v>
      </c>
      <c r="H8" s="742" t="str">
        <f aca="false">IF('rotation(W501D5A)'!$X$7&lt;4," ",CONCATENATE('rotation(W501D5A)'!G$12,'rotation(W501D5A)'!G$13,'rotation(W501D5A)'!G$14))</f>
        <v> </v>
      </c>
      <c r="I8" s="742" t="str">
        <f aca="false">IF('rotation(W501D5A)'!$X$7&lt;4," ",CONCATENATE('rotation(W501D5A)'!H$12,'rotation(W501D5A)'!H$13,'rotation(W501D5A)'!H$14))</f>
        <v> </v>
      </c>
      <c r="J8" s="742" t="str">
        <f aca="false">IF('rotation(W501D5A)'!$X$7&lt;4," ",CONCATENATE('rotation(W501D5A)'!I$12,'rotation(W501D5A)'!I$13,'rotation(W501D5A)'!I$14))</f>
        <v> </v>
      </c>
      <c r="K8" s="742" t="str">
        <f aca="false">IF('rotation(W501D5A)'!$X$7&lt;4," ",CONCATENATE('rotation(W501D5A)'!J$12,'rotation(W501D5A)'!J$13,'rotation(W501D5A)'!J$14))</f>
        <v> </v>
      </c>
      <c r="L8" s="742" t="str">
        <f aca="false">IF('rotation(W501D5A)'!$X$7&lt;4," ",CONCATENATE('rotation(W501D5A)'!K$12,'rotation(W501D5A)'!K$13,'rotation(W501D5A)'!K$14))</f>
        <v> </v>
      </c>
      <c r="M8" s="742" t="str">
        <f aca="false">IF('rotation(W501D5A)'!$X$7&lt;4," ",CONCATENATE('rotation(W501D5A)'!L$12,'rotation(W501D5A)'!L$13,'rotation(W501D5A)'!L$14))</f>
        <v> </v>
      </c>
      <c r="N8" s="742" t="str">
        <f aca="false">IF('rotation(W501D5A)'!$X$7&lt;4," ",CONCATENATE('rotation(W501D5A)'!M$12,'rotation(W501D5A)'!M$13,'rotation(W501D5A)'!M$14))</f>
        <v> </v>
      </c>
      <c r="O8" s="742" t="str">
        <f aca="false">IF('rotation(W501D5A)'!$X$7&lt;4," ",CONCATENATE('rotation(W501D5A)'!N$12,'rotation(W501D5A)'!N$13,'rotation(W501D5A)'!N$14))</f>
        <v> </v>
      </c>
      <c r="P8" s="742" t="str">
        <f aca="false">IF('rotation(W501D5A)'!$X$7&lt;4," ",CONCATENATE('rotation(W501D5A)'!O$12,'rotation(W501D5A)'!O$13,'rotation(W501D5A)'!O$14))</f>
        <v> </v>
      </c>
      <c r="Q8" s="742" t="str">
        <f aca="false">IF('rotation(W501D5A)'!$X$7&lt;4," ",CONCATENATE('rotation(W501D5A)'!P$12,'rotation(W501D5A)'!P$13,'rotation(W501D5A)'!P$14))</f>
        <v> </v>
      </c>
      <c r="R8" s="742" t="str">
        <f aca="false">IF('rotation(W501D5A)'!$X$7&lt;4," ",CONCATENATE('rotation(W501D5A)'!Q$12,'rotation(W501D5A)'!Q$13,'rotation(W501D5A)'!Q$14))</f>
        <v> </v>
      </c>
      <c r="S8" s="742" t="str">
        <f aca="false">IF('rotation(W501D5A)'!$X$7&lt;4," ",CONCATENATE('rotation(W501D5A)'!R$12,'rotation(W501D5A)'!R$13,'rotation(W501D5A)'!R$14))</f>
        <v> </v>
      </c>
      <c r="T8" s="742" t="str">
        <f aca="false">IF('rotation(W501D5A)'!$X$7&lt;4," ",CONCATENATE('rotation(W501D5A)'!S$12,'rotation(W501D5A)'!S$13,'rotation(W501D5A)'!S$14))</f>
        <v> </v>
      </c>
      <c r="U8" s="742" t="str">
        <f aca="false">IF('rotation(W501D5A)'!$X$7&lt;4," ",CONCATENATE('rotation(W501D5A)'!T$12,'rotation(W501D5A)'!T$13,'rotation(W501D5A)'!T$14))</f>
        <v> </v>
      </c>
      <c r="V8" s="742" t="str">
        <f aca="false">IF('rotation(W501D5A)'!$X$7&lt;4," ",CONCATENATE('rotation(W501D5A)'!U$12,'rotation(W501D5A)'!U$13,'rotation(W501D5A)'!U$14))</f>
        <v> </v>
      </c>
      <c r="W8" s="742" t="str">
        <f aca="false">IF('rotation(W501D5A)'!$X$7&lt;4," ",CONCATENATE('rotation(W501D5A)'!V$12,'rotation(W501D5A)'!V$13,'rotation(W501D5A)'!V$14))</f>
        <v> </v>
      </c>
    </row>
    <row r="10" customFormat="false" ht="12.75" hidden="false" customHeight="false" outlineLevel="0" collapsed="false">
      <c r="A10" s="759" t="s">
        <v>1357</v>
      </c>
      <c r="B10" s="760"/>
      <c r="C10" s="760"/>
      <c r="D10" s="760" t="n">
        <f aca="false">'rotation(W501D5A)'!C8*'GTDB(W501D5A)'!$C12+'rotation(W501D5A)'!C9*'GTDB(W501D5A)'!$C13+'rotation(W501D5A)'!C10*'GTDB(W501D5A)'!$C14</f>
        <v>0</v>
      </c>
      <c r="E10" s="760" t="n">
        <f aca="false">'rotation(W501D5A)'!D8*'GTDB(W501D5A)'!$C12+'rotation(W501D5A)'!D9*'GTDB(W501D5A)'!$C13+'rotation(W501D5A)'!D10*'GTDB(W501D5A)'!$C14</f>
        <v>0</v>
      </c>
      <c r="F10" s="760" t="n">
        <f aca="false">'rotation(W501D5A)'!E8*'GTDB(W501D5A)'!$C12+'rotation(W501D5A)'!E9*'GTDB(W501D5A)'!$C13+'rotation(W501D5A)'!E10*'GTDB(W501D5A)'!$C14</f>
        <v>0</v>
      </c>
      <c r="G10" s="760" t="n">
        <f aca="false">'rotation(W501D5A)'!F8*'GTDB(W501D5A)'!$C12+'rotation(W501D5A)'!F9*'GTDB(W501D5A)'!$C13+'rotation(W501D5A)'!F10*'GTDB(W501D5A)'!$C14</f>
        <v>0</v>
      </c>
      <c r="H10" s="760" t="n">
        <f aca="false">'rotation(W501D5A)'!G8*'GTDB(W501D5A)'!$C12+'rotation(W501D5A)'!G9*'GTDB(W501D5A)'!$C13+'rotation(W501D5A)'!G10*'GTDB(W501D5A)'!$C14</f>
        <v>0</v>
      </c>
      <c r="I10" s="760" t="n">
        <f aca="false">'rotation(W501D5A)'!H8*'GTDB(W501D5A)'!$C12+'rotation(W501D5A)'!H9*'GTDB(W501D5A)'!$C13+'rotation(W501D5A)'!H10*'GTDB(W501D5A)'!$C14</f>
        <v>0</v>
      </c>
      <c r="J10" s="760" t="n">
        <f aca="false">'rotation(W501D5A)'!I8*'GTDB(W501D5A)'!$C12+'rotation(W501D5A)'!I9*'GTDB(W501D5A)'!$C13+'rotation(W501D5A)'!I10*'GTDB(W501D5A)'!$C14</f>
        <v>0</v>
      </c>
      <c r="K10" s="760" t="n">
        <f aca="false">'rotation(W501D5A)'!J8*'GTDB(W501D5A)'!$C12+'rotation(W501D5A)'!J9*'GTDB(W501D5A)'!$C13+'rotation(W501D5A)'!J10*'GTDB(W501D5A)'!$C14</f>
        <v>0</v>
      </c>
      <c r="L10" s="760" t="n">
        <f aca="false">'rotation(W501D5A)'!K8*'GTDB(W501D5A)'!$C12+'rotation(W501D5A)'!K9*'GTDB(W501D5A)'!$C13+'rotation(W501D5A)'!K10*'GTDB(W501D5A)'!$C14</f>
        <v>0</v>
      </c>
      <c r="M10" s="760" t="n">
        <f aca="false">'rotation(W501D5A)'!L8*'GTDB(W501D5A)'!$C12+'rotation(W501D5A)'!L9*'GTDB(W501D5A)'!$C13+'rotation(W501D5A)'!L10*'GTDB(W501D5A)'!$C14</f>
        <v>0</v>
      </c>
      <c r="N10" s="760" t="n">
        <f aca="false">'rotation(W501D5A)'!M8*'GTDB(W501D5A)'!$C12+'rotation(W501D5A)'!M9*'GTDB(W501D5A)'!$C13+'rotation(W501D5A)'!M10*'GTDB(W501D5A)'!$C14</f>
        <v>0</v>
      </c>
      <c r="O10" s="760" t="n">
        <f aca="false">'rotation(W501D5A)'!N8*'GTDB(W501D5A)'!$C12+'rotation(W501D5A)'!N9*'GTDB(W501D5A)'!$C13+'rotation(W501D5A)'!N10*'GTDB(W501D5A)'!$C14</f>
        <v>0</v>
      </c>
      <c r="P10" s="760" t="n">
        <f aca="false">'rotation(W501D5A)'!O8*'GTDB(W501D5A)'!$C12+'rotation(W501D5A)'!O9*'GTDB(W501D5A)'!$C13+'rotation(W501D5A)'!O10*'GTDB(W501D5A)'!$C14</f>
        <v>0</v>
      </c>
      <c r="Q10" s="760" t="n">
        <f aca="false">'rotation(W501D5A)'!P8*'GTDB(W501D5A)'!$C12+'rotation(W501D5A)'!P9*'GTDB(W501D5A)'!$C13+'rotation(W501D5A)'!P10*'GTDB(W501D5A)'!$C14</f>
        <v>0</v>
      </c>
      <c r="R10" s="760" t="n">
        <f aca="false">'rotation(W501D5A)'!Q8*'GTDB(W501D5A)'!$C12+'rotation(W501D5A)'!Q9*'GTDB(W501D5A)'!$C13+'rotation(W501D5A)'!Q10*'GTDB(W501D5A)'!$C14</f>
        <v>0</v>
      </c>
      <c r="S10" s="760" t="n">
        <f aca="false">'rotation(W501D5A)'!R8*'GTDB(W501D5A)'!$C12+'rotation(W501D5A)'!R9*'GTDB(W501D5A)'!$C13+'rotation(W501D5A)'!R10*'GTDB(W501D5A)'!$C14</f>
        <v>0</v>
      </c>
      <c r="T10" s="760" t="n">
        <f aca="false">'rotation(W501D5A)'!S8*'GTDB(W501D5A)'!$C12+'rotation(W501D5A)'!S9*'GTDB(W501D5A)'!$C13+'rotation(W501D5A)'!S10*'GTDB(W501D5A)'!$C14</f>
        <v>0</v>
      </c>
      <c r="U10" s="760" t="n">
        <f aca="false">'rotation(W501D5A)'!T8*'GTDB(W501D5A)'!$C12+'rotation(W501D5A)'!T9*'GTDB(W501D5A)'!$C13+'rotation(W501D5A)'!T10*'GTDB(W501D5A)'!$C14</f>
        <v>0</v>
      </c>
      <c r="V10" s="760" t="n">
        <f aca="false">'rotation(W501D5A)'!U8*'GTDB(W501D5A)'!$C12+'rotation(W501D5A)'!U9*'GTDB(W501D5A)'!$C13+'rotation(W501D5A)'!U10*'GTDB(W501D5A)'!$C14</f>
        <v>0</v>
      </c>
      <c r="W10" s="760" t="n">
        <f aca="false">'rotation(W501D5A)'!V8*'GTDB(W501D5A)'!$C12+'rotation(W501D5A)'!V9*'GTDB(W501D5A)'!$C13+'rotation(W501D5A)'!V10*'GTDB(W501D5A)'!$C14</f>
        <v>0</v>
      </c>
      <c r="X10" s="762" t="n">
        <f aca="false">SUM(D10:W10)</f>
        <v>0</v>
      </c>
    </row>
    <row r="12" customFormat="false" ht="12.75" hidden="false" customHeight="false" outlineLevel="0" collapsed="false">
      <c r="A12" s="756" t="s">
        <v>1358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59" t="s">
        <v>1359</v>
      </c>
      <c r="B13" s="153" t="s">
        <v>1360</v>
      </c>
      <c r="C13" s="153" t="s">
        <v>1361</v>
      </c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</row>
    <row r="14" customFormat="false" ht="12.75" hidden="false" customHeight="false" outlineLevel="0" collapsed="false">
      <c r="A14" s="763" t="str">
        <f aca="false">'GTDB(W501D5A)'!A17</f>
        <v>Baskets</v>
      </c>
      <c r="B14" s="763" t="n">
        <f aca="false">'GTDB(W501D5A)'!E17</f>
        <v>490.588</v>
      </c>
      <c r="C14" s="763" t="str">
        <f aca="false">IF('rotation(W501D5A)'!AA17=0," ",B14*'rotation(W501D5A)'!AA17)</f>
        <v> </v>
      </c>
      <c r="D14" s="764" t="str">
        <f aca="false">IF('rotation(W501D5A)'!C18=0," ",$B14*'rotation(W501D5A)'!C18)</f>
        <v> </v>
      </c>
      <c r="E14" s="764" t="str">
        <f aca="false">IF('rotation(W501D5A)'!D18=0," ",$B14*'rotation(W501D5A)'!D18)</f>
        <v> </v>
      </c>
      <c r="F14" s="764" t="str">
        <f aca="false">IF('rotation(W501D5A)'!E18=0," ",$B14*'rotation(W501D5A)'!E18)</f>
        <v> </v>
      </c>
      <c r="G14" s="764" t="str">
        <f aca="false">IF('rotation(W501D5A)'!F18=0," ",$B14*'rotation(W501D5A)'!F18)</f>
        <v> </v>
      </c>
      <c r="H14" s="764" t="str">
        <f aca="false">IF('rotation(W501D5A)'!G18=0," ",$B14*'rotation(W501D5A)'!G18)</f>
        <v> </v>
      </c>
      <c r="I14" s="764" t="str">
        <f aca="false">IF('rotation(W501D5A)'!H18=0," ",$B14*'rotation(W501D5A)'!H18)</f>
        <v> </v>
      </c>
      <c r="J14" s="764" t="str">
        <f aca="false">IF('rotation(W501D5A)'!I18=0," ",$B14*'rotation(W501D5A)'!I18)</f>
        <v> </v>
      </c>
      <c r="K14" s="764" t="str">
        <f aca="false">IF('rotation(W501D5A)'!J18=0," ",$B14*'rotation(W501D5A)'!J18)</f>
        <v> </v>
      </c>
      <c r="L14" s="764" t="str">
        <f aca="false">IF('rotation(W501D5A)'!K18=0," ",$B14*'rotation(W501D5A)'!K18)</f>
        <v> </v>
      </c>
      <c r="M14" s="764" t="str">
        <f aca="false">IF('rotation(W501D5A)'!L18=0," ",$B14*'rotation(W501D5A)'!L18)</f>
        <v> </v>
      </c>
      <c r="N14" s="764" t="str">
        <f aca="false">IF('rotation(W501D5A)'!M18=0," ",$B14*'rotation(W501D5A)'!M18)</f>
        <v> </v>
      </c>
      <c r="O14" s="764" t="str">
        <f aca="false">IF('rotation(W501D5A)'!N18=0," ",$B14*'rotation(W501D5A)'!N18)</f>
        <v> </v>
      </c>
      <c r="P14" s="764" t="str">
        <f aca="false">IF('rotation(W501D5A)'!O18=0," ",$B14*'rotation(W501D5A)'!O18)</f>
        <v> </v>
      </c>
      <c r="Q14" s="764" t="str">
        <f aca="false">IF('rotation(W501D5A)'!P18=0," ",$B14*'rotation(W501D5A)'!P18)</f>
        <v> </v>
      </c>
      <c r="R14" s="764" t="str">
        <f aca="false">IF('rotation(W501D5A)'!Q18=0," ",$B14*'rotation(W501D5A)'!Q18)</f>
        <v> </v>
      </c>
      <c r="S14" s="764" t="str">
        <f aca="false">IF('rotation(W501D5A)'!R18=0," ",$B14*'rotation(W501D5A)'!R18)</f>
        <v> </v>
      </c>
      <c r="T14" s="764" t="str">
        <f aca="false">IF('rotation(W501D5A)'!S18=0," ",$B14*'rotation(W501D5A)'!S18)</f>
        <v> </v>
      </c>
      <c r="U14" s="764" t="str">
        <f aca="false">IF('rotation(W501D5A)'!T18=0," ",$B14*'rotation(W501D5A)'!T18)</f>
        <v> </v>
      </c>
      <c r="V14" s="764" t="str">
        <f aca="false">IF('rotation(W501D5A)'!U18=0," ",$B14*'rotation(W501D5A)'!U18)</f>
        <v> </v>
      </c>
      <c r="W14" s="764" t="str">
        <f aca="false">IF('rotation(W501D5A)'!V18=0," ",$B14*'rotation(W501D5A)'!V18)</f>
        <v> </v>
      </c>
      <c r="X14" s="666" t="n">
        <f aca="false">SUM(D14:W14)</f>
        <v>0</v>
      </c>
    </row>
    <row r="15" customFormat="false" ht="12.75" hidden="false" customHeight="false" outlineLevel="0" collapsed="false">
      <c r="A15" s="763" t="str">
        <f aca="false">'GTDB(W501D5A)'!A18</f>
        <v>Transition Pieces</v>
      </c>
      <c r="B15" s="763" t="n">
        <f aca="false">'GTDB(W501D5A)'!E18</f>
        <v>714</v>
      </c>
      <c r="C15" s="763" t="str">
        <f aca="false">IF('rotation(W501D5A)'!AA21=0," ",B15*'rotation(W501D5A)'!AA21)</f>
        <v> </v>
      </c>
      <c r="D15" s="764" t="str">
        <f aca="false">IF('rotation(W501D5A)'!C22=0," ",$B15*'rotation(W501D5A)'!C22)</f>
        <v> </v>
      </c>
      <c r="E15" s="764" t="str">
        <f aca="false">IF('rotation(W501D5A)'!D22=0," ",$B15*'rotation(W501D5A)'!D22)</f>
        <v> </v>
      </c>
      <c r="F15" s="764" t="str">
        <f aca="false">IF('rotation(W501D5A)'!E22=0," ",$B15*'rotation(W501D5A)'!E22)</f>
        <v> </v>
      </c>
      <c r="G15" s="764" t="str">
        <f aca="false">IF('rotation(W501D5A)'!F22=0," ",$B15*'rotation(W501D5A)'!F22)</f>
        <v> </v>
      </c>
      <c r="H15" s="764" t="str">
        <f aca="false">IF('rotation(W501D5A)'!G22=0," ",$B15*'rotation(W501D5A)'!G22)</f>
        <v> </v>
      </c>
      <c r="I15" s="764" t="str">
        <f aca="false">IF('rotation(W501D5A)'!H22=0," ",$B15*'rotation(W501D5A)'!H22)</f>
        <v> </v>
      </c>
      <c r="J15" s="764" t="str">
        <f aca="false">IF('rotation(W501D5A)'!I22=0," ",$B15*'rotation(W501D5A)'!I22)</f>
        <v> </v>
      </c>
      <c r="K15" s="764" t="str">
        <f aca="false">IF('rotation(W501D5A)'!J22=0," ",$B15*'rotation(W501D5A)'!J22)</f>
        <v> </v>
      </c>
      <c r="L15" s="764" t="str">
        <f aca="false">IF('rotation(W501D5A)'!K22=0," ",$B15*'rotation(W501D5A)'!K22)</f>
        <v> </v>
      </c>
      <c r="M15" s="764" t="str">
        <f aca="false">IF('rotation(W501D5A)'!L22=0," ",$B15*'rotation(W501D5A)'!L22)</f>
        <v> </v>
      </c>
      <c r="N15" s="764" t="str">
        <f aca="false">IF('rotation(W501D5A)'!M22=0," ",$B15*'rotation(W501D5A)'!M22)</f>
        <v> </v>
      </c>
      <c r="O15" s="764" t="str">
        <f aca="false">IF('rotation(W501D5A)'!N22=0," ",$B15*'rotation(W501D5A)'!N22)</f>
        <v> </v>
      </c>
      <c r="P15" s="764" t="str">
        <f aca="false">IF('rotation(W501D5A)'!O22=0," ",$B15*'rotation(W501D5A)'!O22)</f>
        <v> </v>
      </c>
      <c r="Q15" s="764" t="str">
        <f aca="false">IF('rotation(W501D5A)'!P22=0," ",$B15*'rotation(W501D5A)'!P22)</f>
        <v> </v>
      </c>
      <c r="R15" s="764" t="str">
        <f aca="false">IF('rotation(W501D5A)'!Q22=0," ",$B15*'rotation(W501D5A)'!Q22)</f>
        <v> </v>
      </c>
      <c r="S15" s="764" t="str">
        <f aca="false">IF('rotation(W501D5A)'!R22=0," ",$B15*'rotation(W501D5A)'!R22)</f>
        <v> </v>
      </c>
      <c r="T15" s="764" t="str">
        <f aca="false">IF('rotation(W501D5A)'!S22=0," ",$B15*'rotation(W501D5A)'!S22)</f>
        <v> </v>
      </c>
      <c r="U15" s="764" t="str">
        <f aca="false">IF('rotation(W501D5A)'!T22=0," ",$B15*'rotation(W501D5A)'!T22)</f>
        <v> </v>
      </c>
      <c r="V15" s="764" t="str">
        <f aca="false">IF('rotation(W501D5A)'!U22=0," ",$B15*'rotation(W501D5A)'!U22)</f>
        <v> </v>
      </c>
      <c r="W15" s="764" t="str">
        <f aca="false">IF('rotation(W501D5A)'!V22=0," ",$B15*'rotation(W501D5A)'!V22)</f>
        <v> </v>
      </c>
      <c r="X15" s="666" t="n">
        <f aca="false">SUM(D15:W15)</f>
        <v>0</v>
      </c>
    </row>
    <row r="16" customFormat="false" ht="12.75" hidden="false" customHeight="false" outlineLevel="0" collapsed="false">
      <c r="A16" s="763" t="str">
        <f aca="false">'GTDB(W501D5A)'!A19</f>
        <v>Transition Seals</v>
      </c>
      <c r="B16" s="763" t="n">
        <f aca="false">'GTDB(W501D5A)'!E19</f>
        <v>49.938</v>
      </c>
      <c r="C16" s="763" t="str">
        <f aca="false">IF('rotation(W501D5A)'!AA25=0," ",B16*'rotation(W501D5A)'!AA25)</f>
        <v> </v>
      </c>
      <c r="D16" s="764" t="str">
        <f aca="false">IF('rotation(W501D5A)'!C26=0," ",$B16*'rotation(W501D5A)'!C26)</f>
        <v> </v>
      </c>
      <c r="E16" s="764" t="str">
        <f aca="false">IF('rotation(W501D5A)'!D26=0," ",$B16*'rotation(W501D5A)'!D26)</f>
        <v> </v>
      </c>
      <c r="F16" s="764" t="str">
        <f aca="false">IF('rotation(W501D5A)'!E26=0," ",$B16*'rotation(W501D5A)'!E26)</f>
        <v> </v>
      </c>
      <c r="G16" s="764" t="str">
        <f aca="false">IF('rotation(W501D5A)'!F26=0," ",$B16*'rotation(W501D5A)'!F26)</f>
        <v> </v>
      </c>
      <c r="H16" s="764" t="str">
        <f aca="false">IF('rotation(W501D5A)'!G26=0," ",$B16*'rotation(W501D5A)'!G26)</f>
        <v> </v>
      </c>
      <c r="I16" s="764" t="str">
        <f aca="false">IF('rotation(W501D5A)'!H26=0," ",$B16*'rotation(W501D5A)'!H26)</f>
        <v> </v>
      </c>
      <c r="J16" s="764" t="str">
        <f aca="false">IF('rotation(W501D5A)'!I26=0," ",$B16*'rotation(W501D5A)'!I26)</f>
        <v> </v>
      </c>
      <c r="K16" s="764" t="str">
        <f aca="false">IF('rotation(W501D5A)'!J26=0," ",$B16*'rotation(W501D5A)'!J26)</f>
        <v> </v>
      </c>
      <c r="L16" s="764" t="str">
        <f aca="false">IF('rotation(W501D5A)'!K26=0," ",$B16*'rotation(W501D5A)'!K26)</f>
        <v> </v>
      </c>
      <c r="M16" s="764" t="str">
        <f aca="false">IF('rotation(W501D5A)'!L26=0," ",$B16*'rotation(W501D5A)'!L26)</f>
        <v> </v>
      </c>
      <c r="N16" s="764" t="str">
        <f aca="false">IF('rotation(W501D5A)'!M26=0," ",$B16*'rotation(W501D5A)'!M26)</f>
        <v> </v>
      </c>
      <c r="O16" s="764" t="str">
        <f aca="false">IF('rotation(W501D5A)'!N26=0," ",$B16*'rotation(W501D5A)'!N26)</f>
        <v> </v>
      </c>
      <c r="P16" s="764" t="str">
        <f aca="false">IF('rotation(W501D5A)'!O26=0," ",$B16*'rotation(W501D5A)'!O26)</f>
        <v> </v>
      </c>
      <c r="Q16" s="764" t="str">
        <f aca="false">IF('rotation(W501D5A)'!P26=0," ",$B16*'rotation(W501D5A)'!P26)</f>
        <v> </v>
      </c>
      <c r="R16" s="764" t="str">
        <f aca="false">IF('rotation(W501D5A)'!Q26=0," ",$B16*'rotation(W501D5A)'!Q26)</f>
        <v> </v>
      </c>
      <c r="S16" s="764" t="str">
        <f aca="false">IF('rotation(W501D5A)'!R26=0," ",$B16*'rotation(W501D5A)'!R26)</f>
        <v> </v>
      </c>
      <c r="T16" s="764" t="str">
        <f aca="false">IF('rotation(W501D5A)'!S26=0," ",$B16*'rotation(W501D5A)'!S26)</f>
        <v> </v>
      </c>
      <c r="U16" s="764" t="str">
        <f aca="false">IF('rotation(W501D5A)'!T26=0," ",$B16*'rotation(W501D5A)'!T26)</f>
        <v> </v>
      </c>
      <c r="V16" s="764" t="str">
        <f aca="false">IF('rotation(W501D5A)'!U26=0," ",$B16*'rotation(W501D5A)'!U26)</f>
        <v> </v>
      </c>
      <c r="W16" s="764" t="str">
        <f aca="false">IF('rotation(W501D5A)'!V26=0," ",$B16*'rotation(W501D5A)'!V26)</f>
        <v> </v>
      </c>
      <c r="X16" s="666" t="n">
        <f aca="false">SUM(D16:W16)</f>
        <v>0</v>
      </c>
    </row>
    <row r="17" customFormat="false" ht="12.75" hidden="false" customHeight="false" outlineLevel="0" collapsed="false">
      <c r="A17" s="763" t="str">
        <f aca="false">'GTDB(W501D5A)'!A20</f>
        <v>Fuel Nozzles</v>
      </c>
      <c r="B17" s="763" t="n">
        <f aca="false">'GTDB(W501D5A)'!E20</f>
        <v>521.64</v>
      </c>
      <c r="C17" s="763" t="str">
        <f aca="false">IF('rotation(W501D5A)'!AA29=0," ",B17*'rotation(W501D5A)'!AA29)</f>
        <v> </v>
      </c>
      <c r="D17" s="764" t="str">
        <f aca="false">IF('rotation(W501D5A)'!C30=0," ",$B17*'rotation(W501D5A)'!C30)</f>
        <v> </v>
      </c>
      <c r="E17" s="764" t="str">
        <f aca="false">IF('rotation(W501D5A)'!D30=0," ",$B17*'rotation(W501D5A)'!D30)</f>
        <v> </v>
      </c>
      <c r="F17" s="764" t="str">
        <f aca="false">IF('rotation(W501D5A)'!E30=0," ",$B17*'rotation(W501D5A)'!E30)</f>
        <v> </v>
      </c>
      <c r="G17" s="764" t="str">
        <f aca="false">IF('rotation(W501D5A)'!F30=0," ",$B17*'rotation(W501D5A)'!F30)</f>
        <v> </v>
      </c>
      <c r="H17" s="764" t="str">
        <f aca="false">IF('rotation(W501D5A)'!G30=0," ",$B17*'rotation(W501D5A)'!G30)</f>
        <v> </v>
      </c>
      <c r="I17" s="764" t="str">
        <f aca="false">IF('rotation(W501D5A)'!H30=0," ",$B17*'rotation(W501D5A)'!H30)</f>
        <v> </v>
      </c>
      <c r="J17" s="764" t="str">
        <f aca="false">IF('rotation(W501D5A)'!I30=0," ",$B17*'rotation(W501D5A)'!I30)</f>
        <v> </v>
      </c>
      <c r="K17" s="764" t="str">
        <f aca="false">IF('rotation(W501D5A)'!J30=0," ",$B17*'rotation(W501D5A)'!J30)</f>
        <v> </v>
      </c>
      <c r="L17" s="764" t="str">
        <f aca="false">IF('rotation(W501D5A)'!K30=0," ",$B17*'rotation(W501D5A)'!K30)</f>
        <v> </v>
      </c>
      <c r="M17" s="764" t="str">
        <f aca="false">IF('rotation(W501D5A)'!L30=0," ",$B17*'rotation(W501D5A)'!L30)</f>
        <v> </v>
      </c>
      <c r="N17" s="764" t="str">
        <f aca="false">IF('rotation(W501D5A)'!M30=0," ",$B17*'rotation(W501D5A)'!M30)</f>
        <v> </v>
      </c>
      <c r="O17" s="764" t="str">
        <f aca="false">IF('rotation(W501D5A)'!N30=0," ",$B17*'rotation(W501D5A)'!N30)</f>
        <v> </v>
      </c>
      <c r="P17" s="764" t="str">
        <f aca="false">IF('rotation(W501D5A)'!O30=0," ",$B17*'rotation(W501D5A)'!O30)</f>
        <v> </v>
      </c>
      <c r="Q17" s="764" t="str">
        <f aca="false">IF('rotation(W501D5A)'!P30=0," ",$B17*'rotation(W501D5A)'!P30)</f>
        <v> </v>
      </c>
      <c r="R17" s="764" t="str">
        <f aca="false">IF('rotation(W501D5A)'!Q30=0," ",$B17*'rotation(W501D5A)'!Q30)</f>
        <v> </v>
      </c>
      <c r="S17" s="764" t="str">
        <f aca="false">IF('rotation(W501D5A)'!R30=0," ",$B17*'rotation(W501D5A)'!R30)</f>
        <v> </v>
      </c>
      <c r="T17" s="764" t="str">
        <f aca="false">IF('rotation(W501D5A)'!S30=0," ",$B17*'rotation(W501D5A)'!S30)</f>
        <v> </v>
      </c>
      <c r="U17" s="764" t="str">
        <f aca="false">IF('rotation(W501D5A)'!T30=0," ",$B17*'rotation(W501D5A)'!T30)</f>
        <v> </v>
      </c>
      <c r="V17" s="764" t="str">
        <f aca="false">IF('rotation(W501D5A)'!U30=0," ",$B17*'rotation(W501D5A)'!U30)</f>
        <v> </v>
      </c>
      <c r="W17" s="764" t="str">
        <f aca="false">IF('rotation(W501D5A)'!V30=0," ",$B17*'rotation(W501D5A)'!V30)</f>
        <v> </v>
      </c>
      <c r="X17" s="666" t="n">
        <f aca="false">SUM(D17:W17)</f>
        <v>0</v>
      </c>
    </row>
    <row r="18" customFormat="false" ht="12.75" hidden="false" customHeight="false" outlineLevel="0" collapsed="false">
      <c r="A18" s="763" t="str">
        <f aca="false">'GTDB(W501D5A)'!A21</f>
        <v>Clamshells</v>
      </c>
      <c r="B18" s="763" t="n">
        <f aca="false">'GTDB(W501D5A)'!E21</f>
        <v>81.9</v>
      </c>
      <c r="C18" s="763" t="str">
        <f aca="false">IF('rotation(W501D5A)'!AA33=0," ",B18*'rotation(W501D5A)'!AA33)</f>
        <v> </v>
      </c>
      <c r="D18" s="764" t="str">
        <f aca="false">IF('rotation(W501D5A)'!C34=0," ",$B18*'rotation(W501D5A)'!C34)</f>
        <v> </v>
      </c>
      <c r="E18" s="764" t="str">
        <f aca="false">IF('rotation(W501D5A)'!D34=0," ",$B18*'rotation(W501D5A)'!D34)</f>
        <v> </v>
      </c>
      <c r="F18" s="764" t="str">
        <f aca="false">IF('rotation(W501D5A)'!E34=0," ",$B18*'rotation(W501D5A)'!E34)</f>
        <v> </v>
      </c>
      <c r="G18" s="764" t="str">
        <f aca="false">IF('rotation(W501D5A)'!F34=0," ",$B18*'rotation(W501D5A)'!F34)</f>
        <v> </v>
      </c>
      <c r="H18" s="764" t="str">
        <f aca="false">IF('rotation(W501D5A)'!G34=0," ",$B18*'rotation(W501D5A)'!G34)</f>
        <v> </v>
      </c>
      <c r="I18" s="764" t="str">
        <f aca="false">IF('rotation(W501D5A)'!H34=0," ",$B18*'rotation(W501D5A)'!H34)</f>
        <v> </v>
      </c>
      <c r="J18" s="764" t="str">
        <f aca="false">IF('rotation(W501D5A)'!I34=0," ",$B18*'rotation(W501D5A)'!I34)</f>
        <v> </v>
      </c>
      <c r="K18" s="764" t="str">
        <f aca="false">IF('rotation(W501D5A)'!J34=0," ",$B18*'rotation(W501D5A)'!J34)</f>
        <v> </v>
      </c>
      <c r="L18" s="764" t="str">
        <f aca="false">IF('rotation(W501D5A)'!K34=0," ",$B18*'rotation(W501D5A)'!K34)</f>
        <v> </v>
      </c>
      <c r="M18" s="764" t="str">
        <f aca="false">IF('rotation(W501D5A)'!L34=0," ",$B18*'rotation(W501D5A)'!L34)</f>
        <v> </v>
      </c>
      <c r="N18" s="764" t="str">
        <f aca="false">IF('rotation(W501D5A)'!M34=0," ",$B18*'rotation(W501D5A)'!M34)</f>
        <v> </v>
      </c>
      <c r="O18" s="764" t="str">
        <f aca="false">IF('rotation(W501D5A)'!N34=0," ",$B18*'rotation(W501D5A)'!N34)</f>
        <v> </v>
      </c>
      <c r="P18" s="764" t="str">
        <f aca="false">IF('rotation(W501D5A)'!O34=0," ",$B18*'rotation(W501D5A)'!O34)</f>
        <v> </v>
      </c>
      <c r="Q18" s="764" t="str">
        <f aca="false">IF('rotation(W501D5A)'!P34=0," ",$B18*'rotation(W501D5A)'!P34)</f>
        <v> </v>
      </c>
      <c r="R18" s="764" t="str">
        <f aca="false">IF('rotation(W501D5A)'!Q34=0," ",$B18*'rotation(W501D5A)'!Q34)</f>
        <v> </v>
      </c>
      <c r="S18" s="764" t="str">
        <f aca="false">IF('rotation(W501D5A)'!R34=0," ",$B18*'rotation(W501D5A)'!R34)</f>
        <v> </v>
      </c>
      <c r="T18" s="764" t="str">
        <f aca="false">IF('rotation(W501D5A)'!S34=0," ",$B18*'rotation(W501D5A)'!S34)</f>
        <v> </v>
      </c>
      <c r="U18" s="764" t="str">
        <f aca="false">IF('rotation(W501D5A)'!T34=0," ",$B18*'rotation(W501D5A)'!T34)</f>
        <v> </v>
      </c>
      <c r="V18" s="764" t="str">
        <f aca="false">IF('rotation(W501D5A)'!U34=0," ",$B18*'rotation(W501D5A)'!U34)</f>
        <v> </v>
      </c>
      <c r="W18" s="764" t="str">
        <f aca="false">IF('rotation(W501D5A)'!V34=0," ",$B18*'rotation(W501D5A)'!V34)</f>
        <v> </v>
      </c>
      <c r="X18" s="666" t="n">
        <f aca="false">SUM(D18:W18)</f>
        <v>0</v>
      </c>
    </row>
    <row r="19" customFormat="false" ht="12.75" hidden="false" customHeight="false" outlineLevel="0" collapsed="false">
      <c r="A19" s="763" t="str">
        <f aca="false">'GTDB(W501D5A)'!A22</f>
        <v>Row 1 Blades</v>
      </c>
      <c r="B19" s="763" t="n">
        <f aca="false">'GTDB(W501D5A)'!E22</f>
        <v>560.115</v>
      </c>
      <c r="C19" s="763" t="str">
        <f aca="false">IF('rotation(W501D5A)'!AA37=0," ",B19*'rotation(W501D5A)'!AA37)</f>
        <v> </v>
      </c>
      <c r="D19" s="764" t="str">
        <f aca="false">IF('rotation(W501D5A)'!C38=0," ",$B19*'rotation(W501D5A)'!C38)</f>
        <v> </v>
      </c>
      <c r="E19" s="764" t="str">
        <f aca="false">IF('rotation(W501D5A)'!D38=0," ",$B19*'rotation(W501D5A)'!D38)</f>
        <v> </v>
      </c>
      <c r="F19" s="764" t="str">
        <f aca="false">IF('rotation(W501D5A)'!E38=0," ",$B19*'rotation(W501D5A)'!E38)</f>
        <v> </v>
      </c>
      <c r="G19" s="764" t="str">
        <f aca="false">IF('rotation(W501D5A)'!F38=0," ",$B19*'rotation(W501D5A)'!F38)</f>
        <v> </v>
      </c>
      <c r="H19" s="764" t="str">
        <f aca="false">IF('rotation(W501D5A)'!G38=0," ",$B19*'rotation(W501D5A)'!G38)</f>
        <v> </v>
      </c>
      <c r="I19" s="764" t="str">
        <f aca="false">IF('rotation(W501D5A)'!H38=0," ",$B19*'rotation(W501D5A)'!H38)</f>
        <v> </v>
      </c>
      <c r="J19" s="764" t="str">
        <f aca="false">IF('rotation(W501D5A)'!I38=0," ",$B19*'rotation(W501D5A)'!I38)</f>
        <v> </v>
      </c>
      <c r="K19" s="764" t="str">
        <f aca="false">IF('rotation(W501D5A)'!J38=0," ",$B19*'rotation(W501D5A)'!J38)</f>
        <v> </v>
      </c>
      <c r="L19" s="764" t="str">
        <f aca="false">IF('rotation(W501D5A)'!K38=0," ",$B19*'rotation(W501D5A)'!K38)</f>
        <v> </v>
      </c>
      <c r="M19" s="764" t="str">
        <f aca="false">IF('rotation(W501D5A)'!L38=0," ",$B19*'rotation(W501D5A)'!L38)</f>
        <v> </v>
      </c>
      <c r="N19" s="764" t="str">
        <f aca="false">IF('rotation(W501D5A)'!M38=0," ",$B19*'rotation(W501D5A)'!M38)</f>
        <v> </v>
      </c>
      <c r="O19" s="764" t="str">
        <f aca="false">IF('rotation(W501D5A)'!N38=0," ",$B19*'rotation(W501D5A)'!N38)</f>
        <v> </v>
      </c>
      <c r="P19" s="764" t="str">
        <f aca="false">IF('rotation(W501D5A)'!O38=0," ",$B19*'rotation(W501D5A)'!O38)</f>
        <v> </v>
      </c>
      <c r="Q19" s="764" t="str">
        <f aca="false">IF('rotation(W501D5A)'!P38=0," ",$B19*'rotation(W501D5A)'!P38)</f>
        <v> </v>
      </c>
      <c r="R19" s="764" t="str">
        <f aca="false">IF('rotation(W501D5A)'!Q38=0," ",$B19*'rotation(W501D5A)'!Q38)</f>
        <v> </v>
      </c>
      <c r="S19" s="764" t="str">
        <f aca="false">IF('rotation(W501D5A)'!R38=0," ",$B19*'rotation(W501D5A)'!R38)</f>
        <v> </v>
      </c>
      <c r="T19" s="764" t="str">
        <f aca="false">IF('rotation(W501D5A)'!S38=0," ",$B19*'rotation(W501D5A)'!S38)</f>
        <v> </v>
      </c>
      <c r="U19" s="764" t="str">
        <f aca="false">IF('rotation(W501D5A)'!T38=0," ",$B19*'rotation(W501D5A)'!T38)</f>
        <v> </v>
      </c>
      <c r="V19" s="764" t="str">
        <f aca="false">IF('rotation(W501D5A)'!U38=0," ",$B19*'rotation(W501D5A)'!U38)</f>
        <v> </v>
      </c>
      <c r="W19" s="764" t="str">
        <f aca="false">IF('rotation(W501D5A)'!V38=0," ",$B19*'rotation(W501D5A)'!V38)</f>
        <v> </v>
      </c>
      <c r="X19" s="666" t="n">
        <f aca="false">SUM(D19:W19)</f>
        <v>0</v>
      </c>
    </row>
    <row r="20" customFormat="false" ht="12.75" hidden="false" customHeight="false" outlineLevel="0" collapsed="false">
      <c r="A20" s="763" t="str">
        <f aca="false">'GTDB(W501D5A)'!A23</f>
        <v>Row 2 Blades</v>
      </c>
      <c r="B20" s="763" t="n">
        <f aca="false">'GTDB(W501D5A)'!E23</f>
        <v>470.12</v>
      </c>
      <c r="C20" s="763" t="str">
        <f aca="false">IF('rotation(W501D5A)'!AA41=0," ",B20*'rotation(W501D5A)'!AA41)</f>
        <v> </v>
      </c>
      <c r="D20" s="764" t="str">
        <f aca="false">IF('rotation(W501D5A)'!C42=0," ",$B20*'rotation(W501D5A)'!C42)</f>
        <v> </v>
      </c>
      <c r="E20" s="764" t="str">
        <f aca="false">IF('rotation(W501D5A)'!D42=0," ",$B20*'rotation(W501D5A)'!D42)</f>
        <v> </v>
      </c>
      <c r="F20" s="764" t="str">
        <f aca="false">IF('rotation(W501D5A)'!E42=0," ",$B20*'rotation(W501D5A)'!E42)</f>
        <v> </v>
      </c>
      <c r="G20" s="764" t="str">
        <f aca="false">IF('rotation(W501D5A)'!F42=0," ",$B20*'rotation(W501D5A)'!F42)</f>
        <v> </v>
      </c>
      <c r="H20" s="764" t="str">
        <f aca="false">IF('rotation(W501D5A)'!G42=0," ",$B20*'rotation(W501D5A)'!G42)</f>
        <v> </v>
      </c>
      <c r="I20" s="764" t="str">
        <f aca="false">IF('rotation(W501D5A)'!H42=0," ",$B20*'rotation(W501D5A)'!H42)</f>
        <v> </v>
      </c>
      <c r="J20" s="764" t="str">
        <f aca="false">IF('rotation(W501D5A)'!I42=0," ",$B20*'rotation(W501D5A)'!I42)</f>
        <v> </v>
      </c>
      <c r="K20" s="764" t="str">
        <f aca="false">IF('rotation(W501D5A)'!J42=0," ",$B20*'rotation(W501D5A)'!J42)</f>
        <v> </v>
      </c>
      <c r="L20" s="764" t="str">
        <f aca="false">IF('rotation(W501D5A)'!K42=0," ",$B20*'rotation(W501D5A)'!K42)</f>
        <v> </v>
      </c>
      <c r="M20" s="764" t="str">
        <f aca="false">IF('rotation(W501D5A)'!L42=0," ",$B20*'rotation(W501D5A)'!L42)</f>
        <v> </v>
      </c>
      <c r="N20" s="764" t="str">
        <f aca="false">IF('rotation(W501D5A)'!M42=0," ",$B20*'rotation(W501D5A)'!M42)</f>
        <v> </v>
      </c>
      <c r="O20" s="764" t="str">
        <f aca="false">IF('rotation(W501D5A)'!N42=0," ",$B20*'rotation(W501D5A)'!N42)</f>
        <v> </v>
      </c>
      <c r="P20" s="764" t="str">
        <f aca="false">IF('rotation(W501D5A)'!O42=0," ",$B20*'rotation(W501D5A)'!O42)</f>
        <v> </v>
      </c>
      <c r="Q20" s="764" t="str">
        <f aca="false">IF('rotation(W501D5A)'!P42=0," ",$B20*'rotation(W501D5A)'!P42)</f>
        <v> </v>
      </c>
      <c r="R20" s="764" t="str">
        <f aca="false">IF('rotation(W501D5A)'!Q42=0," ",$B20*'rotation(W501D5A)'!Q42)</f>
        <v> </v>
      </c>
      <c r="S20" s="764" t="str">
        <f aca="false">IF('rotation(W501D5A)'!R42=0," ",$B20*'rotation(W501D5A)'!R42)</f>
        <v> </v>
      </c>
      <c r="T20" s="764" t="str">
        <f aca="false">IF('rotation(W501D5A)'!S42=0," ",$B20*'rotation(W501D5A)'!S42)</f>
        <v> </v>
      </c>
      <c r="U20" s="764" t="str">
        <f aca="false">IF('rotation(W501D5A)'!T42=0," ",$B20*'rotation(W501D5A)'!T42)</f>
        <v> </v>
      </c>
      <c r="V20" s="764" t="str">
        <f aca="false">IF('rotation(W501D5A)'!U42=0," ",$B20*'rotation(W501D5A)'!U42)</f>
        <v> </v>
      </c>
      <c r="W20" s="764" t="str">
        <f aca="false">IF('rotation(W501D5A)'!V42=0," ",$B20*'rotation(W501D5A)'!V42)</f>
        <v> </v>
      </c>
      <c r="X20" s="666" t="n">
        <f aca="false">SUM(D20:W20)</f>
        <v>0</v>
      </c>
    </row>
    <row r="21" customFormat="false" ht="12.75" hidden="false" customHeight="false" outlineLevel="0" collapsed="false">
      <c r="A21" s="763" t="str">
        <f aca="false">'GTDB(W501D5A)'!A24</f>
        <v>Row 3 Blades</v>
      </c>
      <c r="B21" s="763" t="n">
        <f aca="false">'GTDB(W501D5A)'!E24</f>
        <v>491.92</v>
      </c>
      <c r="C21" s="763" t="str">
        <f aca="false">IF('rotation(W501D5A)'!AA45=0," ",B21*'rotation(W501D5A)'!AA45)</f>
        <v> </v>
      </c>
      <c r="D21" s="764" t="str">
        <f aca="false">IF('rotation(W501D5A)'!C46=0," ",$B21*'rotation(W501D5A)'!C46)</f>
        <v> </v>
      </c>
      <c r="E21" s="764" t="str">
        <f aca="false">IF('rotation(W501D5A)'!D46=0," ",$B21*'rotation(W501D5A)'!D46)</f>
        <v> </v>
      </c>
      <c r="F21" s="764" t="str">
        <f aca="false">IF('rotation(W501D5A)'!E46=0," ",$B21*'rotation(W501D5A)'!E46)</f>
        <v> </v>
      </c>
      <c r="G21" s="764" t="str">
        <f aca="false">IF('rotation(W501D5A)'!F46=0," ",$B21*'rotation(W501D5A)'!F46)</f>
        <v> </v>
      </c>
      <c r="H21" s="764" t="str">
        <f aca="false">IF('rotation(W501D5A)'!G46=0," ",$B21*'rotation(W501D5A)'!G46)</f>
        <v> </v>
      </c>
      <c r="I21" s="764" t="str">
        <f aca="false">IF('rotation(W501D5A)'!H46=0," ",$B21*'rotation(W501D5A)'!H46)</f>
        <v> </v>
      </c>
      <c r="J21" s="764" t="str">
        <f aca="false">IF('rotation(W501D5A)'!I46=0," ",$B21*'rotation(W501D5A)'!I46)</f>
        <v> </v>
      </c>
      <c r="K21" s="764" t="str">
        <f aca="false">IF('rotation(W501D5A)'!J46=0," ",$B21*'rotation(W501D5A)'!J46)</f>
        <v> </v>
      </c>
      <c r="L21" s="764" t="str">
        <f aca="false">IF('rotation(W501D5A)'!K46=0," ",$B21*'rotation(W501D5A)'!K46)</f>
        <v> </v>
      </c>
      <c r="M21" s="764" t="str">
        <f aca="false">IF('rotation(W501D5A)'!L46=0," ",$B21*'rotation(W501D5A)'!L46)</f>
        <v> </v>
      </c>
      <c r="N21" s="764" t="str">
        <f aca="false">IF('rotation(W501D5A)'!M46=0," ",$B21*'rotation(W501D5A)'!M46)</f>
        <v> </v>
      </c>
      <c r="O21" s="764" t="str">
        <f aca="false">IF('rotation(W501D5A)'!N46=0," ",$B21*'rotation(W501D5A)'!N46)</f>
        <v> </v>
      </c>
      <c r="P21" s="764" t="str">
        <f aca="false">IF('rotation(W501D5A)'!O46=0," ",$B21*'rotation(W501D5A)'!O46)</f>
        <v> </v>
      </c>
      <c r="Q21" s="764" t="str">
        <f aca="false">IF('rotation(W501D5A)'!P46=0," ",$B21*'rotation(W501D5A)'!P46)</f>
        <v> </v>
      </c>
      <c r="R21" s="764" t="str">
        <f aca="false">IF('rotation(W501D5A)'!Q46=0," ",$B21*'rotation(W501D5A)'!Q46)</f>
        <v> </v>
      </c>
      <c r="S21" s="764" t="str">
        <f aca="false">IF('rotation(W501D5A)'!R46=0," ",$B21*'rotation(W501D5A)'!R46)</f>
        <v> </v>
      </c>
      <c r="T21" s="764" t="str">
        <f aca="false">IF('rotation(W501D5A)'!S46=0," ",$B21*'rotation(W501D5A)'!S46)</f>
        <v> </v>
      </c>
      <c r="U21" s="764" t="str">
        <f aca="false">IF('rotation(W501D5A)'!T46=0," ",$B21*'rotation(W501D5A)'!T46)</f>
        <v> </v>
      </c>
      <c r="V21" s="764" t="str">
        <f aca="false">IF('rotation(W501D5A)'!U46=0," ",$B21*'rotation(W501D5A)'!U46)</f>
        <v> </v>
      </c>
      <c r="W21" s="764" t="str">
        <f aca="false">IF('rotation(W501D5A)'!V46=0," ",$B21*'rotation(W501D5A)'!V46)</f>
        <v> </v>
      </c>
      <c r="X21" s="666" t="n">
        <f aca="false">SUM(D21:W21)</f>
        <v>0</v>
      </c>
    </row>
    <row r="22" customFormat="false" ht="12.75" hidden="false" customHeight="false" outlineLevel="0" collapsed="false">
      <c r="A22" s="763" t="str">
        <f aca="false">'GTDB(W501D5A)'!A25</f>
        <v>Row 4 Blades</v>
      </c>
      <c r="B22" s="763" t="n">
        <f aca="false">'GTDB(W501D5A)'!E25</f>
        <v>984.656</v>
      </c>
      <c r="C22" s="763" t="str">
        <f aca="false">IF('rotation(W501D5A)'!AA49=0," ",B22*'rotation(W501D5A)'!AA49)</f>
        <v> </v>
      </c>
      <c r="D22" s="764" t="str">
        <f aca="false">IF('rotation(W501D5A)'!C50=0," ",$B22*'rotation(W501D5A)'!C50)</f>
        <v> </v>
      </c>
      <c r="E22" s="764" t="str">
        <f aca="false">IF('rotation(W501D5A)'!D50=0," ",$B22*'rotation(W501D5A)'!D50)</f>
        <v> </v>
      </c>
      <c r="F22" s="764" t="str">
        <f aca="false">IF('rotation(W501D5A)'!E50=0," ",$B22*'rotation(W501D5A)'!E50)</f>
        <v> </v>
      </c>
      <c r="G22" s="764" t="str">
        <f aca="false">IF('rotation(W501D5A)'!F50=0," ",$B22*'rotation(W501D5A)'!F50)</f>
        <v> </v>
      </c>
      <c r="H22" s="764" t="str">
        <f aca="false">IF('rotation(W501D5A)'!G50=0," ",$B22*'rotation(W501D5A)'!G50)</f>
        <v> </v>
      </c>
      <c r="I22" s="764" t="str">
        <f aca="false">IF('rotation(W501D5A)'!H50=0," ",$B22*'rotation(W501D5A)'!H50)</f>
        <v> </v>
      </c>
      <c r="J22" s="764" t="str">
        <f aca="false">IF('rotation(W501D5A)'!I50=0," ",$B22*'rotation(W501D5A)'!I50)</f>
        <v> </v>
      </c>
      <c r="K22" s="764" t="str">
        <f aca="false">IF('rotation(W501D5A)'!J50=0," ",$B22*'rotation(W501D5A)'!J50)</f>
        <v> </v>
      </c>
      <c r="L22" s="764" t="str">
        <f aca="false">IF('rotation(W501D5A)'!K50=0," ",$B22*'rotation(W501D5A)'!K50)</f>
        <v> </v>
      </c>
      <c r="M22" s="764" t="str">
        <f aca="false">IF('rotation(W501D5A)'!L50=0," ",$B22*'rotation(W501D5A)'!L50)</f>
        <v> </v>
      </c>
      <c r="N22" s="764" t="str">
        <f aca="false">IF('rotation(W501D5A)'!M50=0," ",$B22*'rotation(W501D5A)'!M50)</f>
        <v> </v>
      </c>
      <c r="O22" s="764" t="str">
        <f aca="false">IF('rotation(W501D5A)'!N50=0," ",$B22*'rotation(W501D5A)'!N50)</f>
        <v> </v>
      </c>
      <c r="P22" s="764" t="str">
        <f aca="false">IF('rotation(W501D5A)'!O50=0," ",$B22*'rotation(W501D5A)'!O50)</f>
        <v> </v>
      </c>
      <c r="Q22" s="764" t="str">
        <f aca="false">IF('rotation(W501D5A)'!P50=0," ",$B22*'rotation(W501D5A)'!P50)</f>
        <v> </v>
      </c>
      <c r="R22" s="764" t="str">
        <f aca="false">IF('rotation(W501D5A)'!Q50=0," ",$B22*'rotation(W501D5A)'!Q50)</f>
        <v> </v>
      </c>
      <c r="S22" s="764" t="str">
        <f aca="false">IF('rotation(W501D5A)'!R50=0," ",$B22*'rotation(W501D5A)'!R50)</f>
        <v> </v>
      </c>
      <c r="T22" s="764" t="str">
        <f aca="false">IF('rotation(W501D5A)'!S50=0," ",$B22*'rotation(W501D5A)'!S50)</f>
        <v> </v>
      </c>
      <c r="U22" s="764" t="str">
        <f aca="false">IF('rotation(W501D5A)'!T50=0," ",$B22*'rotation(W501D5A)'!T50)</f>
        <v> </v>
      </c>
      <c r="V22" s="764" t="str">
        <f aca="false">IF('rotation(W501D5A)'!U50=0," ",$B22*'rotation(W501D5A)'!U50)</f>
        <v> </v>
      </c>
      <c r="W22" s="764" t="str">
        <f aca="false">IF('rotation(W501D5A)'!V50=0," ",$B22*'rotation(W501D5A)'!V50)</f>
        <v> </v>
      </c>
      <c r="X22" s="666" t="n">
        <f aca="false">SUM(D22:W22)</f>
        <v>0</v>
      </c>
    </row>
    <row r="23" customFormat="false" ht="12.75" hidden="false" customHeight="false" outlineLevel="0" collapsed="false">
      <c r="A23" s="763" t="str">
        <f aca="false">'GTDB(W501D5A)'!A26</f>
        <v>Row 1 Vanes </v>
      </c>
      <c r="B23" s="763" t="n">
        <f aca="false">'GTDB(W501D5A)'!E26</f>
        <v>900.336</v>
      </c>
      <c r="C23" s="763" t="str">
        <f aca="false">IF('rotation(W501D5A)'!AA53=0," ",B23*'rotation(W501D5A)'!AA53)</f>
        <v> </v>
      </c>
      <c r="D23" s="764" t="str">
        <f aca="false">IF('rotation(W501D5A)'!C54=0," ",$B23*'rotation(W501D5A)'!C54)</f>
        <v> </v>
      </c>
      <c r="E23" s="764" t="str">
        <f aca="false">IF('rotation(W501D5A)'!D54=0," ",$B23*'rotation(W501D5A)'!D54)</f>
        <v> </v>
      </c>
      <c r="F23" s="764" t="str">
        <f aca="false">IF('rotation(W501D5A)'!E54=0," ",$B23*'rotation(W501D5A)'!E54)</f>
        <v> </v>
      </c>
      <c r="G23" s="764" t="str">
        <f aca="false">IF('rotation(W501D5A)'!F54=0," ",$B23*'rotation(W501D5A)'!F54)</f>
        <v> </v>
      </c>
      <c r="H23" s="764" t="str">
        <f aca="false">IF('rotation(W501D5A)'!G54=0," ",$B23*'rotation(W501D5A)'!G54)</f>
        <v> </v>
      </c>
      <c r="I23" s="764" t="str">
        <f aca="false">IF('rotation(W501D5A)'!H54=0," ",$B23*'rotation(W501D5A)'!H54)</f>
        <v> </v>
      </c>
      <c r="J23" s="764" t="str">
        <f aca="false">IF('rotation(W501D5A)'!I54=0," ",$B23*'rotation(W501D5A)'!I54)</f>
        <v> </v>
      </c>
      <c r="K23" s="764" t="str">
        <f aca="false">IF('rotation(W501D5A)'!J54=0," ",$B23*'rotation(W501D5A)'!J54)</f>
        <v> </v>
      </c>
      <c r="L23" s="764" t="str">
        <f aca="false">IF('rotation(W501D5A)'!K54=0," ",$B23*'rotation(W501D5A)'!K54)</f>
        <v> </v>
      </c>
      <c r="M23" s="764" t="str">
        <f aca="false">IF('rotation(W501D5A)'!L54=0," ",$B23*'rotation(W501D5A)'!L54)</f>
        <v> </v>
      </c>
      <c r="N23" s="764" t="str">
        <f aca="false">IF('rotation(W501D5A)'!M54=0," ",$B23*'rotation(W501D5A)'!M54)</f>
        <v> </v>
      </c>
      <c r="O23" s="764" t="str">
        <f aca="false">IF('rotation(W501D5A)'!N54=0," ",$B23*'rotation(W501D5A)'!N54)</f>
        <v> </v>
      </c>
      <c r="P23" s="764" t="str">
        <f aca="false">IF('rotation(W501D5A)'!O54=0," ",$B23*'rotation(W501D5A)'!O54)</f>
        <v> </v>
      </c>
      <c r="Q23" s="764" t="str">
        <f aca="false">IF('rotation(W501D5A)'!P54=0," ",$B23*'rotation(W501D5A)'!P54)</f>
        <v> </v>
      </c>
      <c r="R23" s="764" t="str">
        <f aca="false">IF('rotation(W501D5A)'!Q54=0," ",$B23*'rotation(W501D5A)'!Q54)</f>
        <v> </v>
      </c>
      <c r="S23" s="764" t="str">
        <f aca="false">IF('rotation(W501D5A)'!R54=0," ",$B23*'rotation(W501D5A)'!R54)</f>
        <v> </v>
      </c>
      <c r="T23" s="764" t="str">
        <f aca="false">IF('rotation(W501D5A)'!S54=0," ",$B23*'rotation(W501D5A)'!S54)</f>
        <v> </v>
      </c>
      <c r="U23" s="764" t="str">
        <f aca="false">IF('rotation(W501D5A)'!T54=0," ",$B23*'rotation(W501D5A)'!T54)</f>
        <v> </v>
      </c>
      <c r="V23" s="764" t="str">
        <f aca="false">IF('rotation(W501D5A)'!U54=0," ",$B23*'rotation(W501D5A)'!U54)</f>
        <v> </v>
      </c>
      <c r="W23" s="764" t="str">
        <f aca="false">IF('rotation(W501D5A)'!V54=0," ",$B23*'rotation(W501D5A)'!V54)</f>
        <v> </v>
      </c>
      <c r="X23" s="666" t="n">
        <f aca="false">SUM(D23:W23)</f>
        <v>0</v>
      </c>
    </row>
    <row r="24" customFormat="false" ht="12.75" hidden="false" customHeight="false" outlineLevel="0" collapsed="false">
      <c r="A24" s="763" t="str">
        <f aca="false">'GTDB(W501D5A)'!A27</f>
        <v>Row 2 Vanes</v>
      </c>
      <c r="B24" s="763" t="n">
        <f aca="false">'GTDB(W501D5A)'!E27</f>
        <v>617.056</v>
      </c>
      <c r="C24" s="763" t="str">
        <f aca="false">IF('rotation(W501D5A)'!AA57=0," ",B24*'rotation(W501D5A)'!AA57)</f>
        <v> </v>
      </c>
      <c r="D24" s="764" t="str">
        <f aca="false">IF('rotation(W501D5A)'!C58=0," ",$B24*'rotation(W501D5A)'!C58)</f>
        <v> </v>
      </c>
      <c r="E24" s="764" t="str">
        <f aca="false">IF('rotation(W501D5A)'!D58=0," ",$B24*'rotation(W501D5A)'!D58)</f>
        <v> </v>
      </c>
      <c r="F24" s="764" t="str">
        <f aca="false">IF('rotation(W501D5A)'!E58=0," ",$B24*'rotation(W501D5A)'!E58)</f>
        <v> </v>
      </c>
      <c r="G24" s="764" t="str">
        <f aca="false">IF('rotation(W501D5A)'!F58=0," ",$B24*'rotation(W501D5A)'!F58)</f>
        <v> </v>
      </c>
      <c r="H24" s="764" t="str">
        <f aca="false">IF('rotation(W501D5A)'!G58=0," ",$B24*'rotation(W501D5A)'!G58)</f>
        <v> </v>
      </c>
      <c r="I24" s="764" t="str">
        <f aca="false">IF('rotation(W501D5A)'!H58=0," ",$B24*'rotation(W501D5A)'!H58)</f>
        <v> </v>
      </c>
      <c r="J24" s="764" t="str">
        <f aca="false">IF('rotation(W501D5A)'!I58=0," ",$B24*'rotation(W501D5A)'!I58)</f>
        <v> </v>
      </c>
      <c r="K24" s="764" t="str">
        <f aca="false">IF('rotation(W501D5A)'!J58=0," ",$B24*'rotation(W501D5A)'!J58)</f>
        <v> </v>
      </c>
      <c r="L24" s="764" t="str">
        <f aca="false">IF('rotation(W501D5A)'!K58=0," ",$B24*'rotation(W501D5A)'!K58)</f>
        <v> </v>
      </c>
      <c r="M24" s="764" t="str">
        <f aca="false">IF('rotation(W501D5A)'!L58=0," ",$B24*'rotation(W501D5A)'!L58)</f>
        <v> </v>
      </c>
      <c r="N24" s="764" t="str">
        <f aca="false">IF('rotation(W501D5A)'!M58=0," ",$B24*'rotation(W501D5A)'!M58)</f>
        <v> </v>
      </c>
      <c r="O24" s="764" t="str">
        <f aca="false">IF('rotation(W501D5A)'!N58=0," ",$B24*'rotation(W501D5A)'!N58)</f>
        <v> </v>
      </c>
      <c r="P24" s="764" t="str">
        <f aca="false">IF('rotation(W501D5A)'!O58=0," ",$B24*'rotation(W501D5A)'!O58)</f>
        <v> </v>
      </c>
      <c r="Q24" s="764" t="str">
        <f aca="false">IF('rotation(W501D5A)'!P58=0," ",$B24*'rotation(W501D5A)'!P58)</f>
        <v> </v>
      </c>
      <c r="R24" s="764" t="str">
        <f aca="false">IF('rotation(W501D5A)'!Q58=0," ",$B24*'rotation(W501D5A)'!Q58)</f>
        <v> </v>
      </c>
      <c r="S24" s="764" t="str">
        <f aca="false">IF('rotation(W501D5A)'!R58=0," ",$B24*'rotation(W501D5A)'!R58)</f>
        <v> </v>
      </c>
      <c r="T24" s="764" t="str">
        <f aca="false">IF('rotation(W501D5A)'!S58=0," ",$B24*'rotation(W501D5A)'!S58)</f>
        <v> </v>
      </c>
      <c r="U24" s="764" t="str">
        <f aca="false">IF('rotation(W501D5A)'!T58=0," ",$B24*'rotation(W501D5A)'!T58)</f>
        <v> </v>
      </c>
      <c r="V24" s="764" t="str">
        <f aca="false">IF('rotation(W501D5A)'!U58=0," ",$B24*'rotation(W501D5A)'!U58)</f>
        <v> </v>
      </c>
      <c r="W24" s="764" t="str">
        <f aca="false">IF('rotation(W501D5A)'!V58=0," ",$B24*'rotation(W501D5A)'!V58)</f>
        <v> </v>
      </c>
      <c r="X24" s="666" t="n">
        <f aca="false">SUM(D24:W24)</f>
        <v>0</v>
      </c>
    </row>
    <row r="25" customFormat="false" ht="12.75" hidden="false" customHeight="false" outlineLevel="0" collapsed="false">
      <c r="A25" s="763" t="str">
        <f aca="false">'GTDB(W501D5A)'!A28</f>
        <v>Row 3 Vanes</v>
      </c>
      <c r="B25" s="763" t="n">
        <f aca="false">'GTDB(W501D5A)'!E28</f>
        <v>660.002</v>
      </c>
      <c r="C25" s="763" t="str">
        <f aca="false">IF('rotation(W501D5A)'!AA61=0," ",B25*'rotation(W501D5A)'!AA61)</f>
        <v> </v>
      </c>
      <c r="D25" s="764" t="str">
        <f aca="false">IF('rotation(W501D5A)'!C62=0," ",$B25*'rotation(W501D5A)'!C62)</f>
        <v> </v>
      </c>
      <c r="E25" s="764" t="str">
        <f aca="false">IF('rotation(W501D5A)'!D62=0," ",$B25*'rotation(W501D5A)'!D62)</f>
        <v> </v>
      </c>
      <c r="F25" s="764" t="str">
        <f aca="false">IF('rotation(W501D5A)'!E62=0," ",$B25*'rotation(W501D5A)'!E62)</f>
        <v> </v>
      </c>
      <c r="G25" s="764" t="str">
        <f aca="false">IF('rotation(W501D5A)'!F62=0," ",$B25*'rotation(W501D5A)'!F62)</f>
        <v> </v>
      </c>
      <c r="H25" s="764" t="str">
        <f aca="false">IF('rotation(W501D5A)'!G62=0," ",$B25*'rotation(W501D5A)'!G62)</f>
        <v> </v>
      </c>
      <c r="I25" s="764" t="str">
        <f aca="false">IF('rotation(W501D5A)'!H62=0," ",$B25*'rotation(W501D5A)'!H62)</f>
        <v> </v>
      </c>
      <c r="J25" s="764" t="str">
        <f aca="false">IF('rotation(W501D5A)'!I62=0," ",$B25*'rotation(W501D5A)'!I62)</f>
        <v> </v>
      </c>
      <c r="K25" s="764" t="str">
        <f aca="false">IF('rotation(W501D5A)'!J62=0," ",$B25*'rotation(W501D5A)'!J62)</f>
        <v> </v>
      </c>
      <c r="L25" s="764" t="str">
        <f aca="false">IF('rotation(W501D5A)'!K62=0," ",$B25*'rotation(W501D5A)'!K62)</f>
        <v> </v>
      </c>
      <c r="M25" s="764" t="str">
        <f aca="false">IF('rotation(W501D5A)'!L62=0," ",$B25*'rotation(W501D5A)'!L62)</f>
        <v> </v>
      </c>
      <c r="N25" s="764" t="str">
        <f aca="false">IF('rotation(W501D5A)'!M62=0," ",$B25*'rotation(W501D5A)'!M62)</f>
        <v> </v>
      </c>
      <c r="O25" s="764" t="str">
        <f aca="false">IF('rotation(W501D5A)'!N62=0," ",$B25*'rotation(W501D5A)'!N62)</f>
        <v> </v>
      </c>
      <c r="P25" s="764" t="str">
        <f aca="false">IF('rotation(W501D5A)'!O62=0," ",$B25*'rotation(W501D5A)'!O62)</f>
        <v> </v>
      </c>
      <c r="Q25" s="764" t="str">
        <f aca="false">IF('rotation(W501D5A)'!P62=0," ",$B25*'rotation(W501D5A)'!P62)</f>
        <v> </v>
      </c>
      <c r="R25" s="764" t="str">
        <f aca="false">IF('rotation(W501D5A)'!Q62=0," ",$B25*'rotation(W501D5A)'!Q62)</f>
        <v> </v>
      </c>
      <c r="S25" s="764" t="str">
        <f aca="false">IF('rotation(W501D5A)'!R62=0," ",$B25*'rotation(W501D5A)'!R62)</f>
        <v> </v>
      </c>
      <c r="T25" s="764" t="str">
        <f aca="false">IF('rotation(W501D5A)'!S62=0," ",$B25*'rotation(W501D5A)'!S62)</f>
        <v> </v>
      </c>
      <c r="U25" s="764" t="str">
        <f aca="false">IF('rotation(W501D5A)'!T62=0," ",$B25*'rotation(W501D5A)'!T62)</f>
        <v> </v>
      </c>
      <c r="V25" s="764" t="str">
        <f aca="false">IF('rotation(W501D5A)'!U62=0," ",$B25*'rotation(W501D5A)'!U62)</f>
        <v> </v>
      </c>
      <c r="W25" s="764" t="str">
        <f aca="false">IF('rotation(W501D5A)'!V62=0," ",$B25*'rotation(W501D5A)'!V62)</f>
        <v> </v>
      </c>
      <c r="X25" s="666" t="n">
        <f aca="false">SUM(D25:W25)</f>
        <v>0</v>
      </c>
    </row>
    <row r="26" customFormat="false" ht="12.75" hidden="false" customHeight="false" outlineLevel="0" collapsed="false">
      <c r="A26" s="763" t="str">
        <f aca="false">'GTDB(W501D5A)'!A29</f>
        <v>Row 4 Vanes</v>
      </c>
      <c r="B26" s="763" t="n">
        <f aca="false">'GTDB(W501D5A)'!E29</f>
        <v>709.604</v>
      </c>
      <c r="C26" s="763" t="str">
        <f aca="false">IF('rotation(W501D5A)'!AA65=0," ",B26*'rotation(W501D5A)'!AA65)</f>
        <v> </v>
      </c>
      <c r="D26" s="764" t="str">
        <f aca="false">IF('rotation(W501D5A)'!C66=0," ",$B26*'rotation(W501D5A)'!C66)</f>
        <v> </v>
      </c>
      <c r="E26" s="764" t="str">
        <f aca="false">IF('rotation(W501D5A)'!D66=0," ",$B26*'rotation(W501D5A)'!D66)</f>
        <v> </v>
      </c>
      <c r="F26" s="764" t="str">
        <f aca="false">IF('rotation(W501D5A)'!E66=0," ",$B26*'rotation(W501D5A)'!E66)</f>
        <v> </v>
      </c>
      <c r="G26" s="764" t="str">
        <f aca="false">IF('rotation(W501D5A)'!F66=0," ",$B26*'rotation(W501D5A)'!F66)</f>
        <v> </v>
      </c>
      <c r="H26" s="764" t="str">
        <f aca="false">IF('rotation(W501D5A)'!G66=0," ",$B26*'rotation(W501D5A)'!G66)</f>
        <v> </v>
      </c>
      <c r="I26" s="764" t="str">
        <f aca="false">IF('rotation(W501D5A)'!H66=0," ",$B26*'rotation(W501D5A)'!H66)</f>
        <v> </v>
      </c>
      <c r="J26" s="764" t="str">
        <f aca="false">IF('rotation(W501D5A)'!I66=0," ",$B26*'rotation(W501D5A)'!I66)</f>
        <v> </v>
      </c>
      <c r="K26" s="764" t="str">
        <f aca="false">IF('rotation(W501D5A)'!J66=0," ",$B26*'rotation(W501D5A)'!J66)</f>
        <v> </v>
      </c>
      <c r="L26" s="764" t="str">
        <f aca="false">IF('rotation(W501D5A)'!K66=0," ",$B26*'rotation(W501D5A)'!K66)</f>
        <v> </v>
      </c>
      <c r="M26" s="764" t="str">
        <f aca="false">IF('rotation(W501D5A)'!L66=0," ",$B26*'rotation(W501D5A)'!L66)</f>
        <v> </v>
      </c>
      <c r="N26" s="764" t="str">
        <f aca="false">IF('rotation(W501D5A)'!M66=0," ",$B26*'rotation(W501D5A)'!M66)</f>
        <v> </v>
      </c>
      <c r="O26" s="764" t="str">
        <f aca="false">IF('rotation(W501D5A)'!N66=0," ",$B26*'rotation(W501D5A)'!N66)</f>
        <v> </v>
      </c>
      <c r="P26" s="764" t="str">
        <f aca="false">IF('rotation(W501D5A)'!O66=0," ",$B26*'rotation(W501D5A)'!O66)</f>
        <v> </v>
      </c>
      <c r="Q26" s="764" t="str">
        <f aca="false">IF('rotation(W501D5A)'!P66=0," ",$B26*'rotation(W501D5A)'!P66)</f>
        <v> </v>
      </c>
      <c r="R26" s="764" t="str">
        <f aca="false">IF('rotation(W501D5A)'!Q66=0," ",$B26*'rotation(W501D5A)'!Q66)</f>
        <v> </v>
      </c>
      <c r="S26" s="764" t="str">
        <f aca="false">IF('rotation(W501D5A)'!R66=0," ",$B26*'rotation(W501D5A)'!R66)</f>
        <v> </v>
      </c>
      <c r="T26" s="764" t="str">
        <f aca="false">IF('rotation(W501D5A)'!S66=0," ",$B26*'rotation(W501D5A)'!S66)</f>
        <v> </v>
      </c>
      <c r="U26" s="764" t="str">
        <f aca="false">IF('rotation(W501D5A)'!T66=0," ",$B26*'rotation(W501D5A)'!T66)</f>
        <v> </v>
      </c>
      <c r="V26" s="764" t="str">
        <f aca="false">IF('rotation(W501D5A)'!U66=0," ",$B26*'rotation(W501D5A)'!U66)</f>
        <v> </v>
      </c>
      <c r="W26" s="764" t="str">
        <f aca="false">IF('rotation(W501D5A)'!V66=0," ",$B26*'rotation(W501D5A)'!V66)</f>
        <v> </v>
      </c>
      <c r="X26" s="666" t="n">
        <f aca="false">SUM(D26:W26)</f>
        <v>0</v>
      </c>
    </row>
    <row r="27" customFormat="false" ht="12.75" hidden="false" customHeight="false" outlineLevel="0" collapsed="false">
      <c r="A27" s="763" t="str">
        <f aca="false">'GTDB(W501D5A)'!A30</f>
        <v>Row 1 ring segments</v>
      </c>
      <c r="B27" s="763" t="n">
        <f aca="false">'GTDB(W501D5A)'!E30</f>
        <v>128.88</v>
      </c>
      <c r="C27" s="763" t="str">
        <f aca="false">IF('rotation(W501D5A)'!AA69=0," ",B27*'rotation(W501D5A)'!AA69)</f>
        <v> </v>
      </c>
      <c r="D27" s="764" t="str">
        <f aca="false">IF('rotation(W501D5A)'!C70=0," ",$B27*'rotation(W501D5A)'!C70)</f>
        <v> </v>
      </c>
      <c r="E27" s="764" t="str">
        <f aca="false">IF('rotation(W501D5A)'!D70=0," ",$B27*'rotation(W501D5A)'!D70)</f>
        <v> </v>
      </c>
      <c r="F27" s="764" t="str">
        <f aca="false">IF('rotation(W501D5A)'!E70=0," ",$B27*'rotation(W501D5A)'!E70)</f>
        <v> </v>
      </c>
      <c r="G27" s="764" t="str">
        <f aca="false">IF('rotation(W501D5A)'!F70=0," ",$B27*'rotation(W501D5A)'!F70)</f>
        <v> </v>
      </c>
      <c r="H27" s="764" t="str">
        <f aca="false">IF('rotation(W501D5A)'!G70=0," ",$B27*'rotation(W501D5A)'!G70)</f>
        <v> </v>
      </c>
      <c r="I27" s="764" t="str">
        <f aca="false">IF('rotation(W501D5A)'!H70=0," ",$B27*'rotation(W501D5A)'!H70)</f>
        <v> </v>
      </c>
      <c r="J27" s="764" t="str">
        <f aca="false">IF('rotation(W501D5A)'!I70=0," ",$B27*'rotation(W501D5A)'!I70)</f>
        <v> </v>
      </c>
      <c r="K27" s="764" t="str">
        <f aca="false">IF('rotation(W501D5A)'!J70=0," ",$B27*'rotation(W501D5A)'!J70)</f>
        <v> </v>
      </c>
      <c r="L27" s="764" t="str">
        <f aca="false">IF('rotation(W501D5A)'!K70=0," ",$B27*'rotation(W501D5A)'!K70)</f>
        <v> </v>
      </c>
      <c r="M27" s="764" t="str">
        <f aca="false">IF('rotation(W501D5A)'!L70=0," ",$B27*'rotation(W501D5A)'!L70)</f>
        <v> </v>
      </c>
      <c r="N27" s="764" t="str">
        <f aca="false">IF('rotation(W501D5A)'!M70=0," ",$B27*'rotation(W501D5A)'!M70)</f>
        <v> </v>
      </c>
      <c r="O27" s="764" t="str">
        <f aca="false">IF('rotation(W501D5A)'!N70=0," ",$B27*'rotation(W501D5A)'!N70)</f>
        <v> </v>
      </c>
      <c r="P27" s="764" t="str">
        <f aca="false">IF('rotation(W501D5A)'!O70=0," ",$B27*'rotation(W501D5A)'!O70)</f>
        <v> </v>
      </c>
      <c r="Q27" s="764" t="str">
        <f aca="false">IF('rotation(W501D5A)'!P70=0," ",$B27*'rotation(W501D5A)'!P70)</f>
        <v> </v>
      </c>
      <c r="R27" s="764" t="str">
        <f aca="false">IF('rotation(W501D5A)'!Q70=0," ",$B27*'rotation(W501D5A)'!Q70)</f>
        <v> </v>
      </c>
      <c r="S27" s="764" t="str">
        <f aca="false">IF('rotation(W501D5A)'!R70=0," ",$B27*'rotation(W501D5A)'!R70)</f>
        <v> </v>
      </c>
      <c r="T27" s="764" t="str">
        <f aca="false">IF('rotation(W501D5A)'!S70=0," ",$B27*'rotation(W501D5A)'!S70)</f>
        <v> </v>
      </c>
      <c r="U27" s="764" t="str">
        <f aca="false">IF('rotation(W501D5A)'!T70=0," ",$B27*'rotation(W501D5A)'!T70)</f>
        <v> </v>
      </c>
      <c r="V27" s="764" t="str">
        <f aca="false">IF('rotation(W501D5A)'!U70=0," ",$B27*'rotation(W501D5A)'!U70)</f>
        <v> </v>
      </c>
      <c r="W27" s="764" t="str">
        <f aca="false">IF('rotation(W501D5A)'!V70=0," ",$B27*'rotation(W501D5A)'!V70)</f>
        <v> </v>
      </c>
      <c r="X27" s="666" t="n">
        <f aca="false">SUM(D27:W27)</f>
        <v>0</v>
      </c>
    </row>
    <row r="28" customFormat="false" ht="12.75" hidden="false" customHeight="false" outlineLevel="0" collapsed="false">
      <c r="A28" s="763" t="str">
        <f aca="false">'GTDB(W501D5A)'!A31</f>
        <v>Row 2 ring segments</v>
      </c>
      <c r="B28" s="763" t="n">
        <f aca="false">'GTDB(W501D5A)'!E31</f>
        <v>117.504</v>
      </c>
      <c r="C28" s="763" t="str">
        <f aca="false">IF('rotation(W501D5A)'!AA73=0," ",B28*'rotation(W501D5A)'!AA73)</f>
        <v> </v>
      </c>
      <c r="D28" s="764" t="str">
        <f aca="false">IF('rotation(W501D5A)'!C74=0," ",$B28*'rotation(W501D5A)'!C74)</f>
        <v> </v>
      </c>
      <c r="E28" s="764" t="str">
        <f aca="false">IF('rotation(W501D5A)'!D74=0," ",$B28*'rotation(W501D5A)'!D74)</f>
        <v> </v>
      </c>
      <c r="F28" s="764" t="str">
        <f aca="false">IF('rotation(W501D5A)'!E74=0," ",$B28*'rotation(W501D5A)'!E74)</f>
        <v> </v>
      </c>
      <c r="G28" s="764" t="str">
        <f aca="false">IF('rotation(W501D5A)'!F74=0," ",$B28*'rotation(W501D5A)'!F74)</f>
        <v> </v>
      </c>
      <c r="H28" s="764" t="str">
        <f aca="false">IF('rotation(W501D5A)'!G74=0," ",$B28*'rotation(W501D5A)'!G74)</f>
        <v> </v>
      </c>
      <c r="I28" s="764" t="str">
        <f aca="false">IF('rotation(W501D5A)'!H74=0," ",$B28*'rotation(W501D5A)'!H74)</f>
        <v> </v>
      </c>
      <c r="J28" s="764" t="str">
        <f aca="false">IF('rotation(W501D5A)'!I74=0," ",$B28*'rotation(W501D5A)'!I74)</f>
        <v> </v>
      </c>
      <c r="K28" s="764" t="str">
        <f aca="false">IF('rotation(W501D5A)'!J74=0," ",$B28*'rotation(W501D5A)'!J74)</f>
        <v> </v>
      </c>
      <c r="L28" s="764" t="str">
        <f aca="false">IF('rotation(W501D5A)'!K74=0," ",$B28*'rotation(W501D5A)'!K74)</f>
        <v> </v>
      </c>
      <c r="M28" s="764" t="str">
        <f aca="false">IF('rotation(W501D5A)'!L74=0," ",$B28*'rotation(W501D5A)'!L74)</f>
        <v> </v>
      </c>
      <c r="N28" s="764" t="str">
        <f aca="false">IF('rotation(W501D5A)'!M74=0," ",$B28*'rotation(W501D5A)'!M74)</f>
        <v> </v>
      </c>
      <c r="O28" s="764" t="str">
        <f aca="false">IF('rotation(W501D5A)'!N74=0," ",$B28*'rotation(W501D5A)'!N74)</f>
        <v> </v>
      </c>
      <c r="P28" s="764" t="str">
        <f aca="false">IF('rotation(W501D5A)'!O74=0," ",$B28*'rotation(W501D5A)'!O74)</f>
        <v> </v>
      </c>
      <c r="Q28" s="764" t="str">
        <f aca="false">IF('rotation(W501D5A)'!P74=0," ",$B28*'rotation(W501D5A)'!P74)</f>
        <v> </v>
      </c>
      <c r="R28" s="764" t="str">
        <f aca="false">IF('rotation(W501D5A)'!Q74=0," ",$B28*'rotation(W501D5A)'!Q74)</f>
        <v> </v>
      </c>
      <c r="S28" s="764" t="str">
        <f aca="false">IF('rotation(W501D5A)'!R74=0," ",$B28*'rotation(W501D5A)'!R74)</f>
        <v> </v>
      </c>
      <c r="T28" s="764" t="str">
        <f aca="false">IF('rotation(W501D5A)'!S74=0," ",$B28*'rotation(W501D5A)'!S74)</f>
        <v> </v>
      </c>
      <c r="U28" s="764" t="str">
        <f aca="false">IF('rotation(W501D5A)'!T74=0," ",$B28*'rotation(W501D5A)'!T74)</f>
        <v> </v>
      </c>
      <c r="V28" s="764" t="str">
        <f aca="false">IF('rotation(W501D5A)'!U74=0," ",$B28*'rotation(W501D5A)'!U74)</f>
        <v> </v>
      </c>
      <c r="W28" s="764" t="str">
        <f aca="false">IF('rotation(W501D5A)'!V74=0," ",$B28*'rotation(W501D5A)'!V74)</f>
        <v> </v>
      </c>
      <c r="X28" s="666" t="n">
        <f aca="false">SUM(D28:W28)</f>
        <v>0</v>
      </c>
    </row>
    <row r="29" customFormat="false" ht="12.75" hidden="false" customHeight="false" outlineLevel="0" collapsed="false">
      <c r="A29" s="763" t="str">
        <f aca="false">'GTDB(W501D5A)'!A32</f>
        <v>Row 3 rings segments</v>
      </c>
      <c r="B29" s="763" t="n">
        <f aca="false">'GTDB(W501D5A)'!E32</f>
        <v>64.74</v>
      </c>
      <c r="C29" s="763" t="str">
        <f aca="false">IF('rotation(W501D5A)'!AA77=0," ",B29*'rotation(W501D5A)'!AA77)</f>
        <v> </v>
      </c>
      <c r="D29" s="764" t="str">
        <f aca="false">IF('rotation(W501D5A)'!C78=0," ",$B29*'rotation(W501D5A)'!C78)</f>
        <v> </v>
      </c>
      <c r="E29" s="764" t="str">
        <f aca="false">IF('rotation(W501D5A)'!D78=0," ",$B29*'rotation(W501D5A)'!D78)</f>
        <v> </v>
      </c>
      <c r="F29" s="764" t="str">
        <f aca="false">IF('rotation(W501D5A)'!E78=0," ",$B29*'rotation(W501D5A)'!E78)</f>
        <v> </v>
      </c>
      <c r="G29" s="764" t="str">
        <f aca="false">IF('rotation(W501D5A)'!F78=0," ",$B29*'rotation(W501D5A)'!F78)</f>
        <v> </v>
      </c>
      <c r="H29" s="764" t="str">
        <f aca="false">IF('rotation(W501D5A)'!G78=0," ",$B29*'rotation(W501D5A)'!G78)</f>
        <v> </v>
      </c>
      <c r="I29" s="764" t="str">
        <f aca="false">IF('rotation(W501D5A)'!H78=0," ",$B29*'rotation(W501D5A)'!H78)</f>
        <v> </v>
      </c>
      <c r="J29" s="764" t="str">
        <f aca="false">IF('rotation(W501D5A)'!I78=0," ",$B29*'rotation(W501D5A)'!I78)</f>
        <v> </v>
      </c>
      <c r="K29" s="764" t="str">
        <f aca="false">IF('rotation(W501D5A)'!J78=0," ",$B29*'rotation(W501D5A)'!J78)</f>
        <v> </v>
      </c>
      <c r="L29" s="764" t="str">
        <f aca="false">IF('rotation(W501D5A)'!K78=0," ",$B29*'rotation(W501D5A)'!K78)</f>
        <v> </v>
      </c>
      <c r="M29" s="764" t="str">
        <f aca="false">IF('rotation(W501D5A)'!L78=0," ",$B29*'rotation(W501D5A)'!L78)</f>
        <v> </v>
      </c>
      <c r="N29" s="764" t="str">
        <f aca="false">IF('rotation(W501D5A)'!M78=0," ",$B29*'rotation(W501D5A)'!M78)</f>
        <v> </v>
      </c>
      <c r="O29" s="764" t="str">
        <f aca="false">IF('rotation(W501D5A)'!N78=0," ",$B29*'rotation(W501D5A)'!N78)</f>
        <v> </v>
      </c>
      <c r="P29" s="764" t="str">
        <f aca="false">IF('rotation(W501D5A)'!O78=0," ",$B29*'rotation(W501D5A)'!O78)</f>
        <v> </v>
      </c>
      <c r="Q29" s="764" t="str">
        <f aca="false">IF('rotation(W501D5A)'!P78=0," ",$B29*'rotation(W501D5A)'!P78)</f>
        <v> </v>
      </c>
      <c r="R29" s="764" t="str">
        <f aca="false">IF('rotation(W501D5A)'!Q78=0," ",$B29*'rotation(W501D5A)'!Q78)</f>
        <v> </v>
      </c>
      <c r="S29" s="764" t="str">
        <f aca="false">IF('rotation(W501D5A)'!R78=0," ",$B29*'rotation(W501D5A)'!R78)</f>
        <v> </v>
      </c>
      <c r="T29" s="764" t="str">
        <f aca="false">IF('rotation(W501D5A)'!S78=0," ",$B29*'rotation(W501D5A)'!S78)</f>
        <v> </v>
      </c>
      <c r="U29" s="764" t="str">
        <f aca="false">IF('rotation(W501D5A)'!T78=0," ",$B29*'rotation(W501D5A)'!T78)</f>
        <v> </v>
      </c>
      <c r="V29" s="764" t="str">
        <f aca="false">IF('rotation(W501D5A)'!U78=0," ",$B29*'rotation(W501D5A)'!U78)</f>
        <v> </v>
      </c>
      <c r="W29" s="764" t="str">
        <f aca="false">IF('rotation(W501D5A)'!V78=0," ",$B29*'rotation(W501D5A)'!V78)</f>
        <v> </v>
      </c>
      <c r="X29" s="666" t="n">
        <f aca="false">SUM(D29:W29)</f>
        <v>0</v>
      </c>
    </row>
    <row r="30" customFormat="false" ht="12.75" hidden="false" customHeight="false" outlineLevel="0" collapsed="false">
      <c r="A30" s="763" t="str">
        <f aca="false">'GTDB(W501D5A)'!A33</f>
        <v>Row 4 rings segments</v>
      </c>
      <c r="B30" s="763" t="n">
        <f aca="false">'GTDB(W501D5A)'!E33</f>
        <v>125.075</v>
      </c>
      <c r="C30" s="763" t="str">
        <f aca="false">IF('rotation(W501D5A)'!AA81=0," ",B30*'rotation(W501D5A)'!AA81)</f>
        <v> </v>
      </c>
      <c r="D30" s="764" t="str">
        <f aca="false">IF('rotation(W501D5A)'!C82=0," ",$B30*'rotation(W501D5A)'!C82)</f>
        <v> </v>
      </c>
      <c r="E30" s="764" t="str">
        <f aca="false">IF('rotation(W501D5A)'!D82=0," ",$B30*'rotation(W501D5A)'!D82)</f>
        <v> </v>
      </c>
      <c r="F30" s="764" t="str">
        <f aca="false">IF('rotation(W501D5A)'!E82=0," ",$B30*'rotation(W501D5A)'!E82)</f>
        <v> </v>
      </c>
      <c r="G30" s="764" t="str">
        <f aca="false">IF('rotation(W501D5A)'!F82=0," ",$B30*'rotation(W501D5A)'!F82)</f>
        <v> </v>
      </c>
      <c r="H30" s="764" t="str">
        <f aca="false">IF('rotation(W501D5A)'!G82=0," ",$B30*'rotation(W501D5A)'!G82)</f>
        <v> </v>
      </c>
      <c r="I30" s="764" t="str">
        <f aca="false">IF('rotation(W501D5A)'!H82=0," ",$B30*'rotation(W501D5A)'!H82)</f>
        <v> </v>
      </c>
      <c r="J30" s="764" t="str">
        <f aca="false">IF('rotation(W501D5A)'!I82=0," ",$B30*'rotation(W501D5A)'!I82)</f>
        <v> </v>
      </c>
      <c r="K30" s="764" t="str">
        <f aca="false">IF('rotation(W501D5A)'!J82=0," ",$B30*'rotation(W501D5A)'!J82)</f>
        <v> </v>
      </c>
      <c r="L30" s="764" t="str">
        <f aca="false">IF('rotation(W501D5A)'!K82=0," ",$B30*'rotation(W501D5A)'!K82)</f>
        <v> </v>
      </c>
      <c r="M30" s="764" t="str">
        <f aca="false">IF('rotation(W501D5A)'!L82=0," ",$B30*'rotation(W501D5A)'!L82)</f>
        <v> </v>
      </c>
      <c r="N30" s="764" t="str">
        <f aca="false">IF('rotation(W501D5A)'!M82=0," ",$B30*'rotation(W501D5A)'!M82)</f>
        <v> </v>
      </c>
      <c r="O30" s="764" t="str">
        <f aca="false">IF('rotation(W501D5A)'!N82=0," ",$B30*'rotation(W501D5A)'!N82)</f>
        <v> </v>
      </c>
      <c r="P30" s="764" t="str">
        <f aca="false">IF('rotation(W501D5A)'!O82=0," ",$B30*'rotation(W501D5A)'!O82)</f>
        <v> </v>
      </c>
      <c r="Q30" s="764" t="str">
        <f aca="false">IF('rotation(W501D5A)'!P82=0," ",$B30*'rotation(W501D5A)'!P82)</f>
        <v> </v>
      </c>
      <c r="R30" s="764" t="str">
        <f aca="false">IF('rotation(W501D5A)'!Q82=0," ",$B30*'rotation(W501D5A)'!Q82)</f>
        <v> </v>
      </c>
      <c r="S30" s="764" t="str">
        <f aca="false">IF('rotation(W501D5A)'!R82=0," ",$B30*'rotation(W501D5A)'!R82)</f>
        <v> </v>
      </c>
      <c r="T30" s="764" t="str">
        <f aca="false">IF('rotation(W501D5A)'!S82=0," ",$B30*'rotation(W501D5A)'!S82)</f>
        <v> </v>
      </c>
      <c r="U30" s="764" t="str">
        <f aca="false">IF('rotation(W501D5A)'!T82=0," ",$B30*'rotation(W501D5A)'!T82)</f>
        <v> </v>
      </c>
      <c r="V30" s="764" t="str">
        <f aca="false">IF('rotation(W501D5A)'!U82=0," ",$B30*'rotation(W501D5A)'!U82)</f>
        <v> </v>
      </c>
      <c r="W30" s="764" t="str">
        <f aca="false">IF('rotation(W501D5A)'!V82=0," ",$B30*'rotation(W501D5A)'!V82)</f>
        <v> </v>
      </c>
      <c r="X30" s="666" t="n">
        <f aca="false">SUM(D30:W30)</f>
        <v>0</v>
      </c>
    </row>
    <row r="31" customFormat="false" ht="12.75" hidden="false" customHeight="false" outlineLevel="0" collapsed="false">
      <c r="A31" s="763" t="str">
        <f aca="false">'GTDB(W501D5A)'!A34</f>
        <v>Comp Rotor Blades</v>
      </c>
      <c r="B31" s="763" t="n">
        <f aca="false">'GTDB(W501D5A)'!E34</f>
        <v>654.335</v>
      </c>
      <c r="C31" s="763" t="str">
        <f aca="false">IF('rotation(W501D5A)'!AA85=0," ",B31*'rotation(W501D5A)'!AA85)</f>
        <v> </v>
      </c>
      <c r="D31" s="764" t="str">
        <f aca="false">IF('rotation(W501D5A)'!C86=0," ",$B31*'rotation(W501D5A)'!C86)</f>
        <v> </v>
      </c>
      <c r="E31" s="764" t="str">
        <f aca="false">IF('rotation(W501D5A)'!D86=0," ",$B31*'rotation(W501D5A)'!D86)</f>
        <v> </v>
      </c>
      <c r="F31" s="764" t="str">
        <f aca="false">IF('rotation(W501D5A)'!E86=0," ",$B31*'rotation(W501D5A)'!E86)</f>
        <v> </v>
      </c>
      <c r="G31" s="764" t="str">
        <f aca="false">IF('rotation(W501D5A)'!F86=0," ",$B31*'rotation(W501D5A)'!F86)</f>
        <v> </v>
      </c>
      <c r="H31" s="764" t="str">
        <f aca="false">IF('rotation(W501D5A)'!G86=0," ",$B31*'rotation(W501D5A)'!G86)</f>
        <v> </v>
      </c>
      <c r="I31" s="764" t="str">
        <f aca="false">IF('rotation(W501D5A)'!H86=0," ",$B31*'rotation(W501D5A)'!H86)</f>
        <v> </v>
      </c>
      <c r="J31" s="764" t="str">
        <f aca="false">IF('rotation(W501D5A)'!I86=0," ",$B31*'rotation(W501D5A)'!I86)</f>
        <v> </v>
      </c>
      <c r="K31" s="764" t="str">
        <f aca="false">IF('rotation(W501D5A)'!J86=0," ",$B31*'rotation(W501D5A)'!J86)</f>
        <v> </v>
      </c>
      <c r="L31" s="764" t="str">
        <f aca="false">IF('rotation(W501D5A)'!K86=0," ",$B31*'rotation(W501D5A)'!K86)</f>
        <v> </v>
      </c>
      <c r="M31" s="764" t="str">
        <f aca="false">IF('rotation(W501D5A)'!L86=0," ",$B31*'rotation(W501D5A)'!L86)</f>
        <v> </v>
      </c>
      <c r="N31" s="764" t="str">
        <f aca="false">IF('rotation(W501D5A)'!M86=0," ",$B31*'rotation(W501D5A)'!M86)</f>
        <v> </v>
      </c>
      <c r="O31" s="764" t="str">
        <f aca="false">IF('rotation(W501D5A)'!N86=0," ",$B31*'rotation(W501D5A)'!N86)</f>
        <v> </v>
      </c>
      <c r="P31" s="764" t="str">
        <f aca="false">IF('rotation(W501D5A)'!O86=0," ",$B31*'rotation(W501D5A)'!O86)</f>
        <v> </v>
      </c>
      <c r="Q31" s="764" t="str">
        <f aca="false">IF('rotation(W501D5A)'!P86=0," ",$B31*'rotation(W501D5A)'!P86)</f>
        <v> </v>
      </c>
      <c r="R31" s="764" t="str">
        <f aca="false">IF('rotation(W501D5A)'!Q86=0," ",$B31*'rotation(W501D5A)'!Q86)</f>
        <v> </v>
      </c>
      <c r="S31" s="764" t="str">
        <f aca="false">IF('rotation(W501D5A)'!R86=0," ",$B31*'rotation(W501D5A)'!R86)</f>
        <v> </v>
      </c>
      <c r="T31" s="764" t="str">
        <f aca="false">IF('rotation(W501D5A)'!S86=0," ",$B31*'rotation(W501D5A)'!S86)</f>
        <v> </v>
      </c>
      <c r="U31" s="764" t="str">
        <f aca="false">IF('rotation(W501D5A)'!T86=0," ",$B31*'rotation(W501D5A)'!T86)</f>
        <v> </v>
      </c>
      <c r="V31" s="764" t="str">
        <f aca="false">IF('rotation(W501D5A)'!U86=0," ",$B31*'rotation(W501D5A)'!U86)</f>
        <v> </v>
      </c>
      <c r="W31" s="764" t="str">
        <f aca="false">IF('rotation(W501D5A)'!V86=0," ",$B31*'rotation(W501D5A)'!V86)</f>
        <v> </v>
      </c>
      <c r="X31" s="666" t="n">
        <f aca="false">SUM(D31:W31)</f>
        <v>0</v>
      </c>
    </row>
    <row r="32" customFormat="false" ht="12.75" hidden="false" customHeight="false" outlineLevel="0" collapsed="false">
      <c r="A32" s="763" t="str">
        <f aca="false">'GTDB(W501D5A)'!A35</f>
        <v>Comp Diaphragms</v>
      </c>
      <c r="B32" s="763" t="n">
        <f aca="false">'GTDB(W501D5A)'!E35</f>
        <v>1817.532</v>
      </c>
      <c r="C32" s="763" t="str">
        <f aca="false">IF('rotation(W501D5A)'!AA89=0," ",B32*'rotation(W501D5A)'!AA89)</f>
        <v> </v>
      </c>
      <c r="D32" s="764" t="str">
        <f aca="false">IF('rotation(W501D5A)'!C90=0," ",$B32*'rotation(W501D5A)'!C90)</f>
        <v> </v>
      </c>
      <c r="E32" s="764" t="str">
        <f aca="false">IF('rotation(W501D5A)'!D90=0," ",$B32*'rotation(W501D5A)'!D90)</f>
        <v> </v>
      </c>
      <c r="F32" s="764" t="str">
        <f aca="false">IF('rotation(W501D5A)'!E90=0," ",$B32*'rotation(W501D5A)'!E90)</f>
        <v> </v>
      </c>
      <c r="G32" s="764" t="str">
        <f aca="false">IF('rotation(W501D5A)'!F90=0," ",$B32*'rotation(W501D5A)'!F90)</f>
        <v> </v>
      </c>
      <c r="H32" s="764" t="str">
        <f aca="false">IF('rotation(W501D5A)'!G90=0," ",$B32*'rotation(W501D5A)'!G90)</f>
        <v> </v>
      </c>
      <c r="I32" s="764" t="str">
        <f aca="false">IF('rotation(W501D5A)'!H90=0," ",$B32*'rotation(W501D5A)'!H90)</f>
        <v> </v>
      </c>
      <c r="J32" s="764" t="str">
        <f aca="false">IF('rotation(W501D5A)'!I90=0," ",$B32*'rotation(W501D5A)'!I90)</f>
        <v> </v>
      </c>
      <c r="K32" s="764" t="str">
        <f aca="false">IF('rotation(W501D5A)'!J90=0," ",$B32*'rotation(W501D5A)'!J90)</f>
        <v> </v>
      </c>
      <c r="L32" s="764" t="str">
        <f aca="false">IF('rotation(W501D5A)'!K90=0," ",$B32*'rotation(W501D5A)'!K90)</f>
        <v> </v>
      </c>
      <c r="M32" s="764" t="str">
        <f aca="false">IF('rotation(W501D5A)'!L90=0," ",$B32*'rotation(W501D5A)'!L90)</f>
        <v> </v>
      </c>
      <c r="N32" s="764" t="str">
        <f aca="false">IF('rotation(W501D5A)'!M90=0," ",$B32*'rotation(W501D5A)'!M90)</f>
        <v> </v>
      </c>
      <c r="O32" s="764" t="str">
        <f aca="false">IF('rotation(W501D5A)'!N90=0," ",$B32*'rotation(W501D5A)'!N90)</f>
        <v> </v>
      </c>
      <c r="P32" s="764" t="str">
        <f aca="false">IF('rotation(W501D5A)'!O90=0," ",$B32*'rotation(W501D5A)'!O90)</f>
        <v> </v>
      </c>
      <c r="Q32" s="764" t="str">
        <f aca="false">IF('rotation(W501D5A)'!P90=0," ",$B32*'rotation(W501D5A)'!P90)</f>
        <v> </v>
      </c>
      <c r="R32" s="764" t="str">
        <f aca="false">IF('rotation(W501D5A)'!Q90=0," ",$B32*'rotation(W501D5A)'!Q90)</f>
        <v> </v>
      </c>
      <c r="S32" s="764" t="str">
        <f aca="false">IF('rotation(W501D5A)'!R90=0," ",$B32*'rotation(W501D5A)'!R90)</f>
        <v> </v>
      </c>
      <c r="T32" s="764" t="str">
        <f aca="false">IF('rotation(W501D5A)'!S90=0," ",$B32*'rotation(W501D5A)'!S90)</f>
        <v> </v>
      </c>
      <c r="U32" s="764" t="str">
        <f aca="false">IF('rotation(W501D5A)'!T90=0," ",$B32*'rotation(W501D5A)'!T90)</f>
        <v> </v>
      </c>
      <c r="V32" s="764" t="str">
        <f aca="false">IF('rotation(W501D5A)'!U90=0," ",$B32*'rotation(W501D5A)'!U90)</f>
        <v> </v>
      </c>
      <c r="W32" s="764" t="str">
        <f aca="false">IF('rotation(W501D5A)'!V90=0," ",$B32*'rotation(W501D5A)'!V90)</f>
        <v> </v>
      </c>
      <c r="X32" s="666" t="n">
        <f aca="false">SUM(D32:W32)</f>
        <v>0</v>
      </c>
    </row>
    <row r="33" customFormat="false" ht="15.75" hidden="false" customHeight="true" outlineLevel="0" collapsed="false">
      <c r="A33" s="756" t="s">
        <v>1365</v>
      </c>
      <c r="B33" s="666"/>
      <c r="C33" s="666" t="n">
        <f aca="false">SUM(C14:C32)</f>
        <v>0</v>
      </c>
      <c r="D33" s="666" t="n">
        <f aca="false">SUM(D14:D32)</f>
        <v>0</v>
      </c>
      <c r="E33" s="666" t="n">
        <f aca="false">SUM(E14:E32)</f>
        <v>0</v>
      </c>
      <c r="F33" s="666" t="n">
        <f aca="false">SUM(F14:F32)</f>
        <v>0</v>
      </c>
      <c r="G33" s="666" t="n">
        <f aca="false">SUM(G14:G32)</f>
        <v>0</v>
      </c>
      <c r="H33" s="666" t="n">
        <f aca="false">SUM(H14:H32)</f>
        <v>0</v>
      </c>
      <c r="I33" s="666" t="n">
        <f aca="false">SUM(I14:I32)</f>
        <v>0</v>
      </c>
      <c r="J33" s="666" t="n">
        <f aca="false">SUM(J14:J32)</f>
        <v>0</v>
      </c>
      <c r="K33" s="666" t="n">
        <f aca="false">SUM(K14:K32)</f>
        <v>0</v>
      </c>
      <c r="L33" s="666" t="n">
        <f aca="false">SUM(L14:L32)</f>
        <v>0</v>
      </c>
      <c r="M33" s="666" t="n">
        <f aca="false">SUM(M14:M32)</f>
        <v>0</v>
      </c>
      <c r="N33" s="666" t="n">
        <f aca="false">SUM(N14:N32)</f>
        <v>0</v>
      </c>
      <c r="O33" s="666" t="n">
        <f aca="false">SUM(O14:O32)</f>
        <v>0</v>
      </c>
      <c r="P33" s="666" t="n">
        <f aca="false">SUM(P14:P32)</f>
        <v>0</v>
      </c>
      <c r="Q33" s="666" t="n">
        <f aca="false">SUM(Q14:Q32)</f>
        <v>0</v>
      </c>
      <c r="R33" s="666" t="n">
        <f aca="false">SUM(R14:R32)</f>
        <v>0</v>
      </c>
      <c r="S33" s="666" t="n">
        <f aca="false">SUM(S14:S32)</f>
        <v>0</v>
      </c>
      <c r="T33" s="666" t="n">
        <f aca="false">SUM(T14:T32)</f>
        <v>0</v>
      </c>
      <c r="U33" s="666" t="n">
        <f aca="false">SUM(U14:U32)</f>
        <v>0</v>
      </c>
      <c r="V33" s="666" t="n">
        <f aca="false">SUM(V14:V32)</f>
        <v>0</v>
      </c>
      <c r="W33" s="666" t="n">
        <f aca="false">SUM(W14:W32)</f>
        <v>0</v>
      </c>
      <c r="X33" s="666" t="n">
        <f aca="false">SUM(D33:W33)</f>
        <v>0</v>
      </c>
    </row>
    <row r="34" customFormat="false" ht="16.5" hidden="false" customHeight="true" outlineLevel="0" collapsed="false">
      <c r="A34" s="756" t="s">
        <v>1373</v>
      </c>
      <c r="B34" s="765" t="n">
        <v>0.1</v>
      </c>
      <c r="C34" s="666" t="n">
        <f aca="false">C33*(1-$B34)</f>
        <v>0</v>
      </c>
      <c r="D34" s="666" t="n">
        <f aca="false">D33*(1-$B34)</f>
        <v>0</v>
      </c>
      <c r="E34" s="666" t="n">
        <f aca="false">E33*(1-$B34)</f>
        <v>0</v>
      </c>
      <c r="F34" s="666" t="n">
        <f aca="false">F33*(1-$B34)</f>
        <v>0</v>
      </c>
      <c r="G34" s="666" t="n">
        <f aca="false">G33*(1-$B34)</f>
        <v>0</v>
      </c>
      <c r="H34" s="666" t="n">
        <f aca="false">H33*(1-$B34)</f>
        <v>0</v>
      </c>
      <c r="I34" s="666" t="n">
        <f aca="false">I33*(1-$B34)</f>
        <v>0</v>
      </c>
      <c r="J34" s="666" t="n">
        <f aca="false">J33*(1-$B34)</f>
        <v>0</v>
      </c>
      <c r="K34" s="666" t="n">
        <f aca="false">K33*(1-$B34)</f>
        <v>0</v>
      </c>
      <c r="L34" s="666" t="n">
        <f aca="false">L33*(1-$B34)</f>
        <v>0</v>
      </c>
      <c r="M34" s="666" t="n">
        <f aca="false">M33*(1-$B34)</f>
        <v>0</v>
      </c>
      <c r="N34" s="666" t="n">
        <f aca="false">N33*(1-$B34)</f>
        <v>0</v>
      </c>
      <c r="O34" s="666" t="n">
        <f aca="false">O33*(1-$B34)</f>
        <v>0</v>
      </c>
      <c r="P34" s="666" t="n">
        <f aca="false">P33*(1-$B34)</f>
        <v>0</v>
      </c>
      <c r="Q34" s="666" t="n">
        <f aca="false">Q33*(1-$B34)</f>
        <v>0</v>
      </c>
      <c r="R34" s="666" t="n">
        <f aca="false">R33*(1-$B34)</f>
        <v>0</v>
      </c>
      <c r="S34" s="666" t="n">
        <f aca="false">S33*(1-$B34)</f>
        <v>0</v>
      </c>
      <c r="T34" s="666" t="n">
        <f aca="false">T33*(1-$B34)</f>
        <v>0</v>
      </c>
      <c r="U34" s="666" t="n">
        <f aca="false">U33*(1-$B34)</f>
        <v>0</v>
      </c>
      <c r="V34" s="666" t="n">
        <f aca="false">V33*(1-$B34)</f>
        <v>0</v>
      </c>
      <c r="W34" s="666" t="n">
        <f aca="false">W33*(1-$B34)</f>
        <v>0</v>
      </c>
      <c r="X34" s="666" t="n">
        <f aca="false">SUM(D34:W34)</f>
        <v>0</v>
      </c>
    </row>
    <row r="35" customFormat="false" ht="12.75" hidden="false" customHeight="true" outlineLevel="0" collapsed="false">
      <c r="A35" s="756" t="s">
        <v>1367</v>
      </c>
      <c r="B35" s="765" t="n">
        <v>0.03</v>
      </c>
      <c r="C35" s="666" t="n">
        <f aca="false">C34*(1+$B35)</f>
        <v>0</v>
      </c>
      <c r="D35" s="666" t="n">
        <f aca="false">D34*(1+$B35)</f>
        <v>0</v>
      </c>
      <c r="E35" s="666" t="n">
        <f aca="false">E34*(1+$B35)</f>
        <v>0</v>
      </c>
      <c r="F35" s="666" t="n">
        <f aca="false">F34*(1+$B35)</f>
        <v>0</v>
      </c>
      <c r="G35" s="666" t="n">
        <f aca="false">G34*(1+$B35)</f>
        <v>0</v>
      </c>
      <c r="H35" s="666" t="n">
        <f aca="false">H34*(1+$B35)</f>
        <v>0</v>
      </c>
      <c r="I35" s="666" t="n">
        <f aca="false">I34*(1+$B35)</f>
        <v>0</v>
      </c>
      <c r="J35" s="666" t="n">
        <f aca="false">J34*(1+$B35)</f>
        <v>0</v>
      </c>
      <c r="K35" s="666" t="n">
        <f aca="false">K34*(1+$B35)</f>
        <v>0</v>
      </c>
      <c r="L35" s="666" t="n">
        <f aca="false">L34*(1+$B35)</f>
        <v>0</v>
      </c>
      <c r="M35" s="666" t="n">
        <f aca="false">M34*(1+$B35)</f>
        <v>0</v>
      </c>
      <c r="N35" s="666" t="n">
        <f aca="false">N34*(1+$B35)</f>
        <v>0</v>
      </c>
      <c r="O35" s="666" t="n">
        <f aca="false">O34*(1+$B35)</f>
        <v>0</v>
      </c>
      <c r="P35" s="666" t="n">
        <f aca="false">P34*(1+$B35)</f>
        <v>0</v>
      </c>
      <c r="Q35" s="666" t="n">
        <f aca="false">Q34*(1+$B35)</f>
        <v>0</v>
      </c>
      <c r="R35" s="666" t="n">
        <f aca="false">R34*(1+$B35)</f>
        <v>0</v>
      </c>
      <c r="S35" s="666" t="n">
        <f aca="false">S34*(1+$B35)</f>
        <v>0</v>
      </c>
      <c r="T35" s="666" t="n">
        <f aca="false">T34*(1+$B35)</f>
        <v>0</v>
      </c>
      <c r="U35" s="666" t="n">
        <f aca="false">U34*(1+$B35)</f>
        <v>0</v>
      </c>
      <c r="V35" s="666" t="n">
        <f aca="false">V34*(1+$B35)</f>
        <v>0</v>
      </c>
      <c r="W35" s="666" t="n">
        <f aca="false">W34*(1+$B35)</f>
        <v>0</v>
      </c>
      <c r="X35" s="766" t="n">
        <f aca="false">SUM(D35:W35)</f>
        <v>0</v>
      </c>
    </row>
    <row r="36" customFormat="false" ht="12.75" hidden="false" customHeight="false" outlineLevel="0" collapsed="false">
      <c r="B36" s="666"/>
      <c r="C36" s="666"/>
      <c r="D36" s="666"/>
      <c r="E36" s="666"/>
      <c r="F36" s="666"/>
      <c r="G36" s="666"/>
      <c r="H36" s="666"/>
      <c r="I36" s="666"/>
      <c r="J36" s="666"/>
      <c r="K36" s="666"/>
      <c r="L36" s="666"/>
      <c r="M36" s="666"/>
      <c r="N36" s="666"/>
      <c r="O36" s="666"/>
      <c r="P36" s="666"/>
      <c r="Q36" s="666"/>
      <c r="R36" s="666"/>
      <c r="S36" s="666"/>
      <c r="T36" s="666"/>
      <c r="U36" s="666"/>
      <c r="V36" s="666"/>
      <c r="W36" s="666"/>
      <c r="X36" s="666"/>
    </row>
    <row r="37" customFormat="false" ht="12.75" hidden="false" customHeight="false" outlineLevel="0" collapsed="false">
      <c r="B37" s="666"/>
      <c r="C37" s="666"/>
      <c r="D37" s="666"/>
      <c r="E37" s="666"/>
      <c r="F37" s="666"/>
      <c r="G37" s="666"/>
      <c r="H37" s="666"/>
      <c r="I37" s="666"/>
      <c r="J37" s="666"/>
      <c r="K37" s="666"/>
      <c r="L37" s="666"/>
      <c r="M37" s="666"/>
      <c r="N37" s="666"/>
      <c r="O37" s="666"/>
      <c r="P37" s="666"/>
      <c r="Q37" s="666"/>
      <c r="R37" s="666"/>
      <c r="S37" s="666"/>
      <c r="T37" s="666"/>
      <c r="U37" s="666"/>
      <c r="V37" s="666"/>
      <c r="W37" s="666"/>
      <c r="X37" s="666"/>
    </row>
    <row r="38" customFormat="false" ht="12.75" hidden="false" customHeight="false" outlineLevel="0" collapsed="false">
      <c r="A38" s="767" t="s">
        <v>1368</v>
      </c>
      <c r="B38" s="666"/>
      <c r="C38" s="666"/>
      <c r="D38" s="666" t="n">
        <v>1</v>
      </c>
      <c r="E38" s="666" t="n">
        <v>2</v>
      </c>
      <c r="F38" s="666" t="n">
        <v>3</v>
      </c>
      <c r="G38" s="666" t="n">
        <v>4</v>
      </c>
      <c r="H38" s="666" t="n">
        <v>5</v>
      </c>
      <c r="I38" s="666" t="n">
        <v>6</v>
      </c>
      <c r="J38" s="666" t="n">
        <v>7</v>
      </c>
      <c r="K38" s="666" t="n">
        <v>8</v>
      </c>
      <c r="L38" s="666" t="n">
        <v>9</v>
      </c>
      <c r="M38" s="666" t="n">
        <v>10</v>
      </c>
      <c r="N38" s="666" t="n">
        <v>11</v>
      </c>
      <c r="O38" s="666" t="n">
        <v>12</v>
      </c>
      <c r="P38" s="666" t="n">
        <v>13</v>
      </c>
      <c r="Q38" s="666" t="n">
        <v>14</v>
      </c>
      <c r="R38" s="666" t="n">
        <v>15</v>
      </c>
      <c r="S38" s="666" t="n">
        <v>16</v>
      </c>
      <c r="T38" s="666" t="n">
        <v>17</v>
      </c>
      <c r="U38" s="666" t="n">
        <v>18</v>
      </c>
      <c r="V38" s="666" t="n">
        <v>19</v>
      </c>
      <c r="W38" s="666" t="n">
        <v>20</v>
      </c>
      <c r="X38" s="666"/>
    </row>
    <row r="39" customFormat="false" ht="12.75" hidden="false" customHeight="false" outlineLevel="0" collapsed="false">
      <c r="A39" s="768" t="s">
        <v>1359</v>
      </c>
      <c r="B39" s="769" t="s">
        <v>1369</v>
      </c>
      <c r="C39" s="764"/>
      <c r="D39" s="764"/>
      <c r="E39" s="764"/>
      <c r="F39" s="764"/>
      <c r="G39" s="764"/>
      <c r="H39" s="764"/>
      <c r="I39" s="764"/>
      <c r="J39" s="764"/>
      <c r="K39" s="764"/>
      <c r="L39" s="764"/>
      <c r="M39" s="764"/>
      <c r="N39" s="764"/>
      <c r="O39" s="764"/>
      <c r="P39" s="764"/>
      <c r="Q39" s="764"/>
      <c r="R39" s="764"/>
      <c r="S39" s="764"/>
      <c r="T39" s="764"/>
      <c r="U39" s="764"/>
      <c r="V39" s="764"/>
      <c r="W39" s="764"/>
      <c r="X39" s="666"/>
    </row>
    <row r="40" customFormat="false" ht="12.75" hidden="false" customHeight="false" outlineLevel="0" collapsed="false">
      <c r="A40" s="770" t="str">
        <f aca="false">'GTDB(W501D5A)'!A17</f>
        <v>Baskets</v>
      </c>
      <c r="B40" s="763" t="n">
        <f aca="false">'GTDB(W501D5A)'!D17</f>
        <v>117.6</v>
      </c>
      <c r="C40" s="764" t="n">
        <v>0</v>
      </c>
      <c r="D40" s="764" t="str">
        <f aca="false">IF('rotation(W501D5A)'!C17=0," ",$B40*'rotation(W501D5A)'!C17)</f>
        <v> </v>
      </c>
      <c r="E40" s="764" t="str">
        <f aca="false">IF('rotation(W501D5A)'!D17=0," ",$B40*'rotation(W501D5A)'!D17)</f>
        <v> </v>
      </c>
      <c r="F40" s="764" t="str">
        <f aca="false">IF('rotation(W501D5A)'!E17=0," ",$B40*'rotation(W501D5A)'!E17)</f>
        <v> </v>
      </c>
      <c r="G40" s="764" t="str">
        <f aca="false">IF('rotation(W501D5A)'!F17=0," ",$B40*'rotation(W501D5A)'!F17)</f>
        <v> </v>
      </c>
      <c r="H40" s="764" t="str">
        <f aca="false">IF('rotation(W501D5A)'!G17=0," ",$B40*'rotation(W501D5A)'!G17)</f>
        <v> </v>
      </c>
      <c r="I40" s="764" t="str">
        <f aca="false">IF('rotation(W501D5A)'!H17=0," ",$B40*'rotation(W501D5A)'!H17)</f>
        <v> </v>
      </c>
      <c r="J40" s="764" t="str">
        <f aca="false">IF('rotation(W501D5A)'!I17=0," ",$B40*'rotation(W501D5A)'!I17)</f>
        <v> </v>
      </c>
      <c r="K40" s="764" t="str">
        <f aca="false">IF('rotation(W501D5A)'!J17=0," ",$B40*'rotation(W501D5A)'!J17)</f>
        <v> </v>
      </c>
      <c r="L40" s="764" t="str">
        <f aca="false">IF('rotation(W501D5A)'!K17=0," ",$B40*'rotation(W501D5A)'!K17)</f>
        <v> </v>
      </c>
      <c r="M40" s="764" t="str">
        <f aca="false">IF('rotation(W501D5A)'!L17=0," ",$B40*'rotation(W501D5A)'!L17)</f>
        <v> </v>
      </c>
      <c r="N40" s="764" t="str">
        <f aca="false">IF('rotation(W501D5A)'!M17=0," ",$B40*'rotation(W501D5A)'!M17)</f>
        <v> </v>
      </c>
      <c r="O40" s="764" t="str">
        <f aca="false">IF('rotation(W501D5A)'!N17=0," ",$B40*'rotation(W501D5A)'!N17)</f>
        <v> </v>
      </c>
      <c r="P40" s="764" t="str">
        <f aca="false">IF('rotation(W501D5A)'!O17=0," ",$B40*'rotation(W501D5A)'!O17)</f>
        <v> </v>
      </c>
      <c r="Q40" s="764" t="str">
        <f aca="false">IF('rotation(W501D5A)'!P17=0," ",$B40*'rotation(W501D5A)'!P17)</f>
        <v> </v>
      </c>
      <c r="R40" s="764" t="str">
        <f aca="false">IF('rotation(W501D5A)'!Q17=0," ",$B40*'rotation(W501D5A)'!Q17)</f>
        <v> </v>
      </c>
      <c r="S40" s="764" t="str">
        <f aca="false">IF('rotation(W501D5A)'!R17=0," ",$B40*'rotation(W501D5A)'!R17)</f>
        <v> </v>
      </c>
      <c r="T40" s="764" t="str">
        <f aca="false">IF('rotation(W501D5A)'!S17=0," ",$B40*'rotation(W501D5A)'!S17)</f>
        <v> </v>
      </c>
      <c r="U40" s="764" t="str">
        <f aca="false">IF('rotation(W501D5A)'!T17=0," ",$B40*'rotation(W501D5A)'!T17)</f>
        <v> </v>
      </c>
      <c r="V40" s="764" t="str">
        <f aca="false">IF('rotation(W501D5A)'!U17=0," ",$B40*'rotation(W501D5A)'!U17)</f>
        <v> </v>
      </c>
      <c r="W40" s="764" t="str">
        <f aca="false">IF('rotation(W501D5A)'!V17=0," ",$B40*'rotation(W501D5A)'!V17)</f>
        <v> </v>
      </c>
      <c r="X40" s="666" t="n">
        <f aca="false">SUM(D40:W40)</f>
        <v>0</v>
      </c>
    </row>
    <row r="41" customFormat="false" ht="12.75" hidden="false" customHeight="false" outlineLevel="0" collapsed="false">
      <c r="A41" s="770" t="str">
        <f aca="false">'GTDB(W501D5A)'!A18</f>
        <v>Transition Pieces</v>
      </c>
      <c r="B41" s="763" t="n">
        <f aca="false">'GTDB(W501D5A)'!D18</f>
        <v>98.2</v>
      </c>
      <c r="C41" s="764"/>
      <c r="D41" s="764" t="str">
        <f aca="false">IF('rotation(W501D5A)'!C21=0," ",$B41*'rotation(W501D5A)'!C21)</f>
        <v> </v>
      </c>
      <c r="E41" s="764" t="str">
        <f aca="false">IF('rotation(W501D5A)'!D21=0," ",$B41*'rotation(W501D5A)'!D21)</f>
        <v> </v>
      </c>
      <c r="F41" s="764" t="str">
        <f aca="false">IF('rotation(W501D5A)'!E21=0," ",$B41*'rotation(W501D5A)'!E21)</f>
        <v> </v>
      </c>
      <c r="G41" s="764" t="str">
        <f aca="false">IF('rotation(W501D5A)'!F21=0," ",$B41*'rotation(W501D5A)'!F21)</f>
        <v> </v>
      </c>
      <c r="H41" s="764" t="str">
        <f aca="false">IF('rotation(W501D5A)'!G21=0," ",$B41*'rotation(W501D5A)'!G21)</f>
        <v> </v>
      </c>
      <c r="I41" s="764" t="str">
        <f aca="false">IF('rotation(W501D5A)'!H21=0," ",$B41*'rotation(W501D5A)'!H21)</f>
        <v> </v>
      </c>
      <c r="J41" s="764" t="str">
        <f aca="false">IF('rotation(W501D5A)'!I21=0," ",$B41*'rotation(W501D5A)'!I21)</f>
        <v> </v>
      </c>
      <c r="K41" s="764" t="str">
        <f aca="false">IF('rotation(W501D5A)'!J21=0," ",$B41*'rotation(W501D5A)'!J21)</f>
        <v> </v>
      </c>
      <c r="L41" s="764" t="str">
        <f aca="false">IF('rotation(W501D5A)'!K21=0," ",$B41*'rotation(W501D5A)'!K21)</f>
        <v> </v>
      </c>
      <c r="M41" s="764" t="str">
        <f aca="false">IF('rotation(W501D5A)'!L21=0," ",$B41*'rotation(W501D5A)'!L21)</f>
        <v> </v>
      </c>
      <c r="N41" s="764" t="str">
        <f aca="false">IF('rotation(W501D5A)'!M21=0," ",$B41*'rotation(W501D5A)'!M21)</f>
        <v> </v>
      </c>
      <c r="O41" s="764" t="str">
        <f aca="false">IF('rotation(W501D5A)'!N21=0," ",$B41*'rotation(W501D5A)'!N21)</f>
        <v> </v>
      </c>
      <c r="P41" s="764" t="str">
        <f aca="false">IF('rotation(W501D5A)'!O21=0," ",$B41*'rotation(W501D5A)'!O21)</f>
        <v> </v>
      </c>
      <c r="Q41" s="764" t="str">
        <f aca="false">IF('rotation(W501D5A)'!P21=0," ",$B41*'rotation(W501D5A)'!P21)</f>
        <v> </v>
      </c>
      <c r="R41" s="764" t="str">
        <f aca="false">IF('rotation(W501D5A)'!Q21=0," ",$B41*'rotation(W501D5A)'!Q21)</f>
        <v> </v>
      </c>
      <c r="S41" s="764" t="str">
        <f aca="false">IF('rotation(W501D5A)'!R21=0," ",$B41*'rotation(W501D5A)'!R21)</f>
        <v> </v>
      </c>
      <c r="T41" s="764" t="str">
        <f aca="false">IF('rotation(W501D5A)'!S21=0," ",$B41*'rotation(W501D5A)'!S21)</f>
        <v> </v>
      </c>
      <c r="U41" s="764" t="str">
        <f aca="false">IF('rotation(W501D5A)'!T21=0," ",$B41*'rotation(W501D5A)'!T21)</f>
        <v> </v>
      </c>
      <c r="V41" s="764" t="str">
        <f aca="false">IF('rotation(W501D5A)'!U21=0," ",$B41*'rotation(W501D5A)'!U21)</f>
        <v> </v>
      </c>
      <c r="W41" s="764" t="str">
        <f aca="false">IF('rotation(W501D5A)'!V21=0," ",$B41*'rotation(W501D5A)'!V21)</f>
        <v> </v>
      </c>
      <c r="X41" s="666" t="n">
        <f aca="false">SUM(D41:W41)</f>
        <v>0</v>
      </c>
    </row>
    <row r="42" customFormat="false" ht="12.75" hidden="false" customHeight="false" outlineLevel="0" collapsed="false">
      <c r="A42" s="770" t="str">
        <f aca="false">'GTDB(W501D5A)'!A19</f>
        <v>Transition Seals</v>
      </c>
      <c r="B42" s="763" t="n">
        <f aca="false">'GTDB(W501D5A)'!D19</f>
        <v>15</v>
      </c>
      <c r="C42" s="764"/>
      <c r="D42" s="764" t="str">
        <f aca="false">IF('rotation(W501D5A)'!C25=0," ",$B42*'rotation(W501D5A)'!C25)</f>
        <v> </v>
      </c>
      <c r="E42" s="764" t="str">
        <f aca="false">IF('rotation(W501D5A)'!D25=0," ",$B42*'rotation(W501D5A)'!D25)</f>
        <v> </v>
      </c>
      <c r="F42" s="764" t="str">
        <f aca="false">IF('rotation(W501D5A)'!E25=0," ",$B42*'rotation(W501D5A)'!E25)</f>
        <v> </v>
      </c>
      <c r="G42" s="764" t="str">
        <f aca="false">IF('rotation(W501D5A)'!F25=0," ",$B42*'rotation(W501D5A)'!F25)</f>
        <v> </v>
      </c>
      <c r="H42" s="764" t="str">
        <f aca="false">IF('rotation(W501D5A)'!G25=0," ",$B42*'rotation(W501D5A)'!G25)</f>
        <v> </v>
      </c>
      <c r="I42" s="764" t="str">
        <f aca="false">IF('rotation(W501D5A)'!H25=0," ",$B42*'rotation(W501D5A)'!H25)</f>
        <v> </v>
      </c>
      <c r="J42" s="764" t="str">
        <f aca="false">IF('rotation(W501D5A)'!I25=0," ",$B42*'rotation(W501D5A)'!I25)</f>
        <v> </v>
      </c>
      <c r="K42" s="764" t="str">
        <f aca="false">IF('rotation(W501D5A)'!J25=0," ",$B42*'rotation(W501D5A)'!J25)</f>
        <v> </v>
      </c>
      <c r="L42" s="764" t="str">
        <f aca="false">IF('rotation(W501D5A)'!K25=0," ",$B42*'rotation(W501D5A)'!K25)</f>
        <v> </v>
      </c>
      <c r="M42" s="764" t="str">
        <f aca="false">IF('rotation(W501D5A)'!L25=0," ",$B42*'rotation(W501D5A)'!L25)</f>
        <v> </v>
      </c>
      <c r="N42" s="764" t="str">
        <f aca="false">IF('rotation(W501D5A)'!M25=0," ",$B42*'rotation(W501D5A)'!M25)</f>
        <v> </v>
      </c>
      <c r="O42" s="764" t="str">
        <f aca="false">IF('rotation(W501D5A)'!N25=0," ",$B42*'rotation(W501D5A)'!N25)</f>
        <v> </v>
      </c>
      <c r="P42" s="764" t="str">
        <f aca="false">IF('rotation(W501D5A)'!O25=0," ",$B42*'rotation(W501D5A)'!O25)</f>
        <v> </v>
      </c>
      <c r="Q42" s="764" t="str">
        <f aca="false">IF('rotation(W501D5A)'!P25=0," ",$B42*'rotation(W501D5A)'!P25)</f>
        <v> </v>
      </c>
      <c r="R42" s="764" t="str">
        <f aca="false">IF('rotation(W501D5A)'!Q25=0," ",$B42*'rotation(W501D5A)'!Q25)</f>
        <v> </v>
      </c>
      <c r="S42" s="764" t="str">
        <f aca="false">IF('rotation(W501D5A)'!R25=0," ",$B42*'rotation(W501D5A)'!R25)</f>
        <v> </v>
      </c>
      <c r="T42" s="764" t="str">
        <f aca="false">IF('rotation(W501D5A)'!S25=0," ",$B42*'rotation(W501D5A)'!S25)</f>
        <v> </v>
      </c>
      <c r="U42" s="764" t="str">
        <f aca="false">IF('rotation(W501D5A)'!T25=0," ",$B42*'rotation(W501D5A)'!T25)</f>
        <v> </v>
      </c>
      <c r="V42" s="764" t="str">
        <f aca="false">IF('rotation(W501D5A)'!U25=0," ",$B42*'rotation(W501D5A)'!U25)</f>
        <v> </v>
      </c>
      <c r="W42" s="764" t="str">
        <f aca="false">IF('rotation(W501D5A)'!V25=0," ",$B42*'rotation(W501D5A)'!V25)</f>
        <v> </v>
      </c>
      <c r="X42" s="666" t="n">
        <f aca="false">SUM(D42:W42)</f>
        <v>0</v>
      </c>
    </row>
    <row r="43" customFormat="false" ht="12.75" hidden="false" customHeight="false" outlineLevel="0" collapsed="false">
      <c r="A43" s="770" t="str">
        <f aca="false">'GTDB(W501D5A)'!A20</f>
        <v>Fuel Nozzles</v>
      </c>
      <c r="B43" s="763" t="n">
        <f aca="false">'GTDB(W501D5A)'!D20</f>
        <v>96.75</v>
      </c>
      <c r="C43" s="764"/>
      <c r="D43" s="764" t="str">
        <f aca="false">IF('rotation(W501D5A)'!C29=0," ",$B43*'rotation(W501D5A)'!C29)</f>
        <v> </v>
      </c>
      <c r="E43" s="764" t="str">
        <f aca="false">IF('rotation(W501D5A)'!D29=0," ",$B43*'rotation(W501D5A)'!D29)</f>
        <v> </v>
      </c>
      <c r="F43" s="764" t="str">
        <f aca="false">IF('rotation(W501D5A)'!E29=0," ",$B43*'rotation(W501D5A)'!E29)</f>
        <v> </v>
      </c>
      <c r="G43" s="764" t="str">
        <f aca="false">IF('rotation(W501D5A)'!F29=0," ",$B43*'rotation(W501D5A)'!F29)</f>
        <v> </v>
      </c>
      <c r="H43" s="764" t="str">
        <f aca="false">IF('rotation(W501D5A)'!G29=0," ",$B43*'rotation(W501D5A)'!G29)</f>
        <v> </v>
      </c>
      <c r="I43" s="764" t="str">
        <f aca="false">IF('rotation(W501D5A)'!H29=0," ",$B43*'rotation(W501D5A)'!H29)</f>
        <v> </v>
      </c>
      <c r="J43" s="764" t="str">
        <f aca="false">IF('rotation(W501D5A)'!I29=0," ",$B43*'rotation(W501D5A)'!I29)</f>
        <v> </v>
      </c>
      <c r="K43" s="764" t="str">
        <f aca="false">IF('rotation(W501D5A)'!J29=0," ",$B43*'rotation(W501D5A)'!J29)</f>
        <v> </v>
      </c>
      <c r="L43" s="764" t="str">
        <f aca="false">IF('rotation(W501D5A)'!K29=0," ",$B43*'rotation(W501D5A)'!K29)</f>
        <v> </v>
      </c>
      <c r="M43" s="764" t="str">
        <f aca="false">IF('rotation(W501D5A)'!L29=0," ",$B43*'rotation(W501D5A)'!L29)</f>
        <v> </v>
      </c>
      <c r="N43" s="764" t="str">
        <f aca="false">IF('rotation(W501D5A)'!M29=0," ",$B43*'rotation(W501D5A)'!M29)</f>
        <v> </v>
      </c>
      <c r="O43" s="764" t="str">
        <f aca="false">IF('rotation(W501D5A)'!N29=0," ",$B43*'rotation(W501D5A)'!N29)</f>
        <v> </v>
      </c>
      <c r="P43" s="764" t="str">
        <f aca="false">IF('rotation(W501D5A)'!O29=0," ",$B43*'rotation(W501D5A)'!O29)</f>
        <v> </v>
      </c>
      <c r="Q43" s="764" t="str">
        <f aca="false">IF('rotation(W501D5A)'!P29=0," ",$B43*'rotation(W501D5A)'!P29)</f>
        <v> </v>
      </c>
      <c r="R43" s="764" t="str">
        <f aca="false">IF('rotation(W501D5A)'!Q29=0," ",$B43*'rotation(W501D5A)'!Q29)</f>
        <v> </v>
      </c>
      <c r="S43" s="764" t="str">
        <f aca="false">IF('rotation(W501D5A)'!R29=0," ",$B43*'rotation(W501D5A)'!R29)</f>
        <v> </v>
      </c>
      <c r="T43" s="764" t="str">
        <f aca="false">IF('rotation(W501D5A)'!S29=0," ",$B43*'rotation(W501D5A)'!S29)</f>
        <v> </v>
      </c>
      <c r="U43" s="764" t="str">
        <f aca="false">IF('rotation(W501D5A)'!T29=0," ",$B43*'rotation(W501D5A)'!T29)</f>
        <v> </v>
      </c>
      <c r="V43" s="764" t="str">
        <f aca="false">IF('rotation(W501D5A)'!U29=0," ",$B43*'rotation(W501D5A)'!U29)</f>
        <v> </v>
      </c>
      <c r="W43" s="764" t="str">
        <f aca="false">IF('rotation(W501D5A)'!V29=0," ",$B43*'rotation(W501D5A)'!V29)</f>
        <v> </v>
      </c>
      <c r="X43" s="666" t="n">
        <f aca="false">SUM(D43:W43)</f>
        <v>0</v>
      </c>
    </row>
    <row r="44" customFormat="false" ht="12.75" hidden="false" customHeight="false" outlineLevel="0" collapsed="false">
      <c r="A44" s="770" t="str">
        <f aca="false">'GTDB(W501D5A)'!A21</f>
        <v>Clamshells</v>
      </c>
      <c r="B44" s="763" t="n">
        <f aca="false">'GTDB(W501D5A)'!D21</f>
        <v>14.7</v>
      </c>
      <c r="C44" s="764"/>
      <c r="D44" s="764" t="str">
        <f aca="false">IF('rotation(W501D5A)'!C33=0," ",$B44*'rotation(W501D5A)'!C33)</f>
        <v> </v>
      </c>
      <c r="E44" s="764" t="str">
        <f aca="false">IF('rotation(W501D5A)'!D33=0," ",$B44*'rotation(W501D5A)'!D33)</f>
        <v> </v>
      </c>
      <c r="F44" s="764" t="str">
        <f aca="false">IF('rotation(W501D5A)'!E33=0," ",$B44*'rotation(W501D5A)'!E33)</f>
        <v> </v>
      </c>
      <c r="G44" s="764" t="str">
        <f aca="false">IF('rotation(W501D5A)'!F33=0," ",$B44*'rotation(W501D5A)'!F33)</f>
        <v> </v>
      </c>
      <c r="H44" s="764" t="str">
        <f aca="false">IF('rotation(W501D5A)'!G33=0," ",$B44*'rotation(W501D5A)'!G33)</f>
        <v> </v>
      </c>
      <c r="I44" s="764" t="str">
        <f aca="false">IF('rotation(W501D5A)'!H33=0," ",$B44*'rotation(W501D5A)'!H33)</f>
        <v> </v>
      </c>
      <c r="J44" s="764" t="str">
        <f aca="false">IF('rotation(W501D5A)'!I33=0," ",$B44*'rotation(W501D5A)'!I33)</f>
        <v> </v>
      </c>
      <c r="K44" s="764" t="str">
        <f aca="false">IF('rotation(W501D5A)'!J33=0," ",$B44*'rotation(W501D5A)'!J33)</f>
        <v> </v>
      </c>
      <c r="L44" s="764" t="str">
        <f aca="false">IF('rotation(W501D5A)'!K33=0," ",$B44*'rotation(W501D5A)'!K33)</f>
        <v> </v>
      </c>
      <c r="M44" s="764" t="str">
        <f aca="false">IF('rotation(W501D5A)'!L33=0," ",$B44*'rotation(W501D5A)'!L33)</f>
        <v> </v>
      </c>
      <c r="N44" s="764" t="str">
        <f aca="false">IF('rotation(W501D5A)'!M33=0," ",$B44*'rotation(W501D5A)'!M33)</f>
        <v> </v>
      </c>
      <c r="O44" s="764" t="str">
        <f aca="false">IF('rotation(W501D5A)'!N33=0," ",$B44*'rotation(W501D5A)'!N33)</f>
        <v> </v>
      </c>
      <c r="P44" s="764" t="str">
        <f aca="false">IF('rotation(W501D5A)'!O33=0," ",$B44*'rotation(W501D5A)'!O33)</f>
        <v> </v>
      </c>
      <c r="Q44" s="764" t="str">
        <f aca="false">IF('rotation(W501D5A)'!P33=0," ",$B44*'rotation(W501D5A)'!P33)</f>
        <v> </v>
      </c>
      <c r="R44" s="764" t="str">
        <f aca="false">IF('rotation(W501D5A)'!Q33=0," ",$B44*'rotation(W501D5A)'!Q33)</f>
        <v> </v>
      </c>
      <c r="S44" s="764" t="str">
        <f aca="false">IF('rotation(W501D5A)'!R33=0," ",$B44*'rotation(W501D5A)'!R33)</f>
        <v> </v>
      </c>
      <c r="T44" s="764" t="str">
        <f aca="false">IF('rotation(W501D5A)'!S33=0," ",$B44*'rotation(W501D5A)'!S33)</f>
        <v> </v>
      </c>
      <c r="U44" s="764" t="str">
        <f aca="false">IF('rotation(W501D5A)'!T33=0," ",$B44*'rotation(W501D5A)'!T33)</f>
        <v> </v>
      </c>
      <c r="V44" s="764" t="str">
        <f aca="false">IF('rotation(W501D5A)'!U33=0," ",$B44*'rotation(W501D5A)'!U33)</f>
        <v> </v>
      </c>
      <c r="W44" s="764" t="str">
        <f aca="false">IF('rotation(W501D5A)'!V33=0," ",$B44*'rotation(W501D5A)'!V33)</f>
        <v> </v>
      </c>
      <c r="X44" s="666" t="n">
        <f aca="false">SUM(D44:W44)</f>
        <v>0</v>
      </c>
    </row>
    <row r="45" customFormat="false" ht="12.75" hidden="false" customHeight="false" outlineLevel="0" collapsed="false">
      <c r="A45" s="770" t="str">
        <f aca="false">'GTDB(W501D5A)'!A22</f>
        <v>Row 1 Blades</v>
      </c>
      <c r="B45" s="763" t="n">
        <f aca="false">'GTDB(W501D5A)'!D22</f>
        <v>137.2</v>
      </c>
      <c r="C45" s="764"/>
      <c r="D45" s="764" t="str">
        <f aca="false">IF('rotation(W501D5A)'!C37=0," ",$B45*'rotation(W501D5A)'!C37)</f>
        <v> </v>
      </c>
      <c r="E45" s="764" t="str">
        <f aca="false">IF('rotation(W501D5A)'!D37=0," ",$B45*'rotation(W501D5A)'!D37)</f>
        <v> </v>
      </c>
      <c r="F45" s="764" t="str">
        <f aca="false">IF('rotation(W501D5A)'!E37=0," ",$B45*'rotation(W501D5A)'!E37)</f>
        <v> </v>
      </c>
      <c r="G45" s="764" t="str">
        <f aca="false">IF('rotation(W501D5A)'!F37=0," ",$B45*'rotation(W501D5A)'!F37)</f>
        <v> </v>
      </c>
      <c r="H45" s="764" t="str">
        <f aca="false">IF('rotation(W501D5A)'!G37=0," ",$B45*'rotation(W501D5A)'!G37)</f>
        <v> </v>
      </c>
      <c r="I45" s="764" t="str">
        <f aca="false">IF('rotation(W501D5A)'!H37=0," ",$B45*'rotation(W501D5A)'!H37)</f>
        <v> </v>
      </c>
      <c r="J45" s="764" t="str">
        <f aca="false">IF('rotation(W501D5A)'!I37=0," ",$B45*'rotation(W501D5A)'!I37)</f>
        <v> </v>
      </c>
      <c r="K45" s="764" t="str">
        <f aca="false">IF('rotation(W501D5A)'!J37=0," ",$B45*'rotation(W501D5A)'!J37)</f>
        <v> </v>
      </c>
      <c r="L45" s="764" t="str">
        <f aca="false">IF('rotation(W501D5A)'!K37=0," ",$B45*'rotation(W501D5A)'!K37)</f>
        <v> </v>
      </c>
      <c r="M45" s="764" t="str">
        <f aca="false">IF('rotation(W501D5A)'!L37=0," ",$B45*'rotation(W501D5A)'!L37)</f>
        <v> </v>
      </c>
      <c r="N45" s="764" t="str">
        <f aca="false">IF('rotation(W501D5A)'!M37=0," ",$B45*'rotation(W501D5A)'!M37)</f>
        <v> </v>
      </c>
      <c r="O45" s="764" t="str">
        <f aca="false">IF('rotation(W501D5A)'!N37=0," ",$B45*'rotation(W501D5A)'!N37)</f>
        <v> </v>
      </c>
      <c r="P45" s="764" t="str">
        <f aca="false">IF('rotation(W501D5A)'!O37=0," ",$B45*'rotation(W501D5A)'!O37)</f>
        <v> </v>
      </c>
      <c r="Q45" s="764" t="str">
        <f aca="false">IF('rotation(W501D5A)'!P37=0," ",$B45*'rotation(W501D5A)'!P37)</f>
        <v> </v>
      </c>
      <c r="R45" s="764" t="str">
        <f aca="false">IF('rotation(W501D5A)'!Q37=0," ",$B45*'rotation(W501D5A)'!Q37)</f>
        <v> </v>
      </c>
      <c r="S45" s="764" t="str">
        <f aca="false">IF('rotation(W501D5A)'!R37=0," ",$B45*'rotation(W501D5A)'!R37)</f>
        <v> </v>
      </c>
      <c r="T45" s="764" t="str">
        <f aca="false">IF('rotation(W501D5A)'!S37=0," ",$B45*'rotation(W501D5A)'!S37)</f>
        <v> </v>
      </c>
      <c r="U45" s="764" t="str">
        <f aca="false">IF('rotation(W501D5A)'!T37=0," ",$B45*'rotation(W501D5A)'!T37)</f>
        <v> </v>
      </c>
      <c r="V45" s="764" t="str">
        <f aca="false">IF('rotation(W501D5A)'!U37=0," ",$B45*'rotation(W501D5A)'!U37)</f>
        <v> </v>
      </c>
      <c r="W45" s="764" t="str">
        <f aca="false">IF('rotation(W501D5A)'!V37=0," ",$B45*'rotation(W501D5A)'!V37)</f>
        <v> </v>
      </c>
      <c r="X45" s="666" t="n">
        <f aca="false">SUM(D45:W45)</f>
        <v>0</v>
      </c>
    </row>
    <row r="46" customFormat="false" ht="12.75" hidden="false" customHeight="false" outlineLevel="0" collapsed="false">
      <c r="A46" s="770" t="str">
        <f aca="false">'GTDB(W501D5A)'!A23</f>
        <v>Row 2 Blades</v>
      </c>
      <c r="B46" s="763" t="n">
        <f aca="false">'GTDB(W501D5A)'!D23</f>
        <v>115</v>
      </c>
      <c r="C46" s="764"/>
      <c r="D46" s="764" t="str">
        <f aca="false">IF('rotation(W501D5A)'!C41=0," ",$B46*'rotation(W501D5A)'!C41)</f>
        <v> </v>
      </c>
      <c r="E46" s="764" t="str">
        <f aca="false">IF('rotation(W501D5A)'!D41=0," ",$B46*'rotation(W501D5A)'!D41)</f>
        <v> </v>
      </c>
      <c r="F46" s="764" t="str">
        <f aca="false">IF('rotation(W501D5A)'!E41=0," ",$B46*'rotation(W501D5A)'!E41)</f>
        <v> </v>
      </c>
      <c r="G46" s="764" t="str">
        <f aca="false">IF('rotation(W501D5A)'!F41=0," ",$B46*'rotation(W501D5A)'!F41)</f>
        <v> </v>
      </c>
      <c r="H46" s="764" t="str">
        <f aca="false">IF('rotation(W501D5A)'!G41=0," ",$B46*'rotation(W501D5A)'!G41)</f>
        <v> </v>
      </c>
      <c r="I46" s="764" t="str">
        <f aca="false">IF('rotation(W501D5A)'!H41=0," ",$B46*'rotation(W501D5A)'!H41)</f>
        <v> </v>
      </c>
      <c r="J46" s="764" t="str">
        <f aca="false">IF('rotation(W501D5A)'!I41=0," ",$B46*'rotation(W501D5A)'!I41)</f>
        <v> </v>
      </c>
      <c r="K46" s="764" t="str">
        <f aca="false">IF('rotation(W501D5A)'!J41=0," ",$B46*'rotation(W501D5A)'!J41)</f>
        <v> </v>
      </c>
      <c r="L46" s="764" t="str">
        <f aca="false">IF('rotation(W501D5A)'!K41=0," ",$B46*'rotation(W501D5A)'!K41)</f>
        <v> </v>
      </c>
      <c r="M46" s="764" t="str">
        <f aca="false">IF('rotation(W501D5A)'!L41=0," ",$B46*'rotation(W501D5A)'!L41)</f>
        <v> </v>
      </c>
      <c r="N46" s="764" t="str">
        <f aca="false">IF('rotation(W501D5A)'!M41=0," ",$B46*'rotation(W501D5A)'!M41)</f>
        <v> </v>
      </c>
      <c r="O46" s="764" t="str">
        <f aca="false">IF('rotation(W501D5A)'!N41=0," ",$B46*'rotation(W501D5A)'!N41)</f>
        <v> </v>
      </c>
      <c r="P46" s="764" t="str">
        <f aca="false">IF('rotation(W501D5A)'!O41=0," ",$B46*'rotation(W501D5A)'!O41)</f>
        <v> </v>
      </c>
      <c r="Q46" s="764" t="str">
        <f aca="false">IF('rotation(W501D5A)'!P41=0," ",$B46*'rotation(W501D5A)'!P41)</f>
        <v> </v>
      </c>
      <c r="R46" s="764" t="str">
        <f aca="false">IF('rotation(W501D5A)'!Q41=0," ",$B46*'rotation(W501D5A)'!Q41)</f>
        <v> </v>
      </c>
      <c r="S46" s="764" t="str">
        <f aca="false">IF('rotation(W501D5A)'!R41=0," ",$B46*'rotation(W501D5A)'!R41)</f>
        <v> </v>
      </c>
      <c r="T46" s="764" t="str">
        <f aca="false">IF('rotation(W501D5A)'!S41=0," ",$B46*'rotation(W501D5A)'!S41)</f>
        <v> </v>
      </c>
      <c r="U46" s="764" t="str">
        <f aca="false">IF('rotation(W501D5A)'!T41=0," ",$B46*'rotation(W501D5A)'!T41)</f>
        <v> </v>
      </c>
      <c r="V46" s="764" t="str">
        <f aca="false">IF('rotation(W501D5A)'!U41=0," ",$B46*'rotation(W501D5A)'!U41)</f>
        <v> </v>
      </c>
      <c r="W46" s="764" t="str">
        <f aca="false">IF('rotation(W501D5A)'!V41=0," ",$B46*'rotation(W501D5A)'!V41)</f>
        <v> </v>
      </c>
      <c r="X46" s="666" t="n">
        <f aca="false">SUM(D46:W46)</f>
        <v>0</v>
      </c>
    </row>
    <row r="47" customFormat="false" ht="12.75" hidden="false" customHeight="false" outlineLevel="0" collapsed="false">
      <c r="A47" s="770" t="str">
        <f aca="false">'GTDB(W501D5A)'!A24</f>
        <v>Row 3 Blades</v>
      </c>
      <c r="B47" s="763" t="n">
        <f aca="false">'GTDB(W501D5A)'!D24</f>
        <v>111.13</v>
      </c>
      <c r="C47" s="764"/>
      <c r="D47" s="764" t="str">
        <f aca="false">IF('rotation(W501D5A)'!C45=0," ",$B47*'rotation(W501D5A)'!C45)</f>
        <v> </v>
      </c>
      <c r="E47" s="764" t="str">
        <f aca="false">IF('rotation(W501D5A)'!D45=0," ",$B47*'rotation(W501D5A)'!D45)</f>
        <v> </v>
      </c>
      <c r="F47" s="764" t="str">
        <f aca="false">IF('rotation(W501D5A)'!E45=0," ",$B47*'rotation(W501D5A)'!E45)</f>
        <v> </v>
      </c>
      <c r="G47" s="764" t="str">
        <f aca="false">IF('rotation(W501D5A)'!F45=0," ",$B47*'rotation(W501D5A)'!F45)</f>
        <v> </v>
      </c>
      <c r="H47" s="764" t="str">
        <f aca="false">IF('rotation(W501D5A)'!G45=0," ",$B47*'rotation(W501D5A)'!G45)</f>
        <v> </v>
      </c>
      <c r="I47" s="764" t="str">
        <f aca="false">IF('rotation(W501D5A)'!H45=0," ",$B47*'rotation(W501D5A)'!H45)</f>
        <v> </v>
      </c>
      <c r="J47" s="764" t="str">
        <f aca="false">IF('rotation(W501D5A)'!I45=0," ",$B47*'rotation(W501D5A)'!I45)</f>
        <v> </v>
      </c>
      <c r="K47" s="764" t="str">
        <f aca="false">IF('rotation(W501D5A)'!J45=0," ",$B47*'rotation(W501D5A)'!J45)</f>
        <v> </v>
      </c>
      <c r="L47" s="764" t="str">
        <f aca="false">IF('rotation(W501D5A)'!K45=0," ",$B47*'rotation(W501D5A)'!K45)</f>
        <v> </v>
      </c>
      <c r="M47" s="764" t="str">
        <f aca="false">IF('rotation(W501D5A)'!L45=0," ",$B47*'rotation(W501D5A)'!L45)</f>
        <v> </v>
      </c>
      <c r="N47" s="764" t="str">
        <f aca="false">IF('rotation(W501D5A)'!M45=0," ",$B47*'rotation(W501D5A)'!M45)</f>
        <v> </v>
      </c>
      <c r="O47" s="764" t="str">
        <f aca="false">IF('rotation(W501D5A)'!N45=0," ",$B47*'rotation(W501D5A)'!N45)</f>
        <v> </v>
      </c>
      <c r="P47" s="764" t="str">
        <f aca="false">IF('rotation(W501D5A)'!O45=0," ",$B47*'rotation(W501D5A)'!O45)</f>
        <v> </v>
      </c>
      <c r="Q47" s="764" t="str">
        <f aca="false">IF('rotation(W501D5A)'!P45=0," ",$B47*'rotation(W501D5A)'!P45)</f>
        <v> </v>
      </c>
      <c r="R47" s="764" t="str">
        <f aca="false">IF('rotation(W501D5A)'!Q45=0," ",$B47*'rotation(W501D5A)'!Q45)</f>
        <v> </v>
      </c>
      <c r="S47" s="764" t="str">
        <f aca="false">IF('rotation(W501D5A)'!R45=0," ",$B47*'rotation(W501D5A)'!R45)</f>
        <v> </v>
      </c>
      <c r="T47" s="764" t="str">
        <f aca="false">IF('rotation(W501D5A)'!S45=0," ",$B47*'rotation(W501D5A)'!S45)</f>
        <v> </v>
      </c>
      <c r="U47" s="764" t="str">
        <f aca="false">IF('rotation(W501D5A)'!T45=0," ",$B47*'rotation(W501D5A)'!T45)</f>
        <v> </v>
      </c>
      <c r="V47" s="764" t="str">
        <f aca="false">IF('rotation(W501D5A)'!U45=0," ",$B47*'rotation(W501D5A)'!U45)</f>
        <v> </v>
      </c>
      <c r="W47" s="764" t="str">
        <f aca="false">IF('rotation(W501D5A)'!V45=0," ",$B47*'rotation(W501D5A)'!V45)</f>
        <v> </v>
      </c>
      <c r="X47" s="666" t="n">
        <f aca="false">SUM(D47:W47)</f>
        <v>0</v>
      </c>
    </row>
    <row r="48" customFormat="false" ht="12.75" hidden="false" customHeight="false" outlineLevel="0" collapsed="false">
      <c r="A48" s="770" t="str">
        <f aca="false">'GTDB(W501D5A)'!A25</f>
        <v>Row 4 Blades</v>
      </c>
      <c r="B48" s="763" t="n">
        <f aca="false">'GTDB(W501D5A)'!D25</f>
        <v>113.93</v>
      </c>
      <c r="C48" s="764"/>
      <c r="D48" s="764" t="str">
        <f aca="false">IF('rotation(W501D5A)'!C49=0," ",$B48*'rotation(W501D5A)'!C49)</f>
        <v> </v>
      </c>
      <c r="E48" s="764" t="str">
        <f aca="false">IF('rotation(W501D5A)'!D49=0," ",$B48*'rotation(W501D5A)'!D49)</f>
        <v> </v>
      </c>
      <c r="F48" s="764" t="str">
        <f aca="false">IF('rotation(W501D5A)'!E49=0," ",$B48*'rotation(W501D5A)'!E49)</f>
        <v> </v>
      </c>
      <c r="G48" s="764" t="str">
        <f aca="false">IF('rotation(W501D5A)'!F49=0," ",$B48*'rotation(W501D5A)'!F49)</f>
        <v> </v>
      </c>
      <c r="H48" s="764" t="str">
        <f aca="false">IF('rotation(W501D5A)'!G49=0," ",$B48*'rotation(W501D5A)'!G49)</f>
        <v> </v>
      </c>
      <c r="I48" s="764" t="str">
        <f aca="false">IF('rotation(W501D5A)'!H49=0," ",$B48*'rotation(W501D5A)'!H49)</f>
        <v> </v>
      </c>
      <c r="J48" s="764" t="str">
        <f aca="false">IF('rotation(W501D5A)'!I49=0," ",$B48*'rotation(W501D5A)'!I49)</f>
        <v> </v>
      </c>
      <c r="K48" s="764" t="str">
        <f aca="false">IF('rotation(W501D5A)'!J49=0," ",$B48*'rotation(W501D5A)'!J49)</f>
        <v> </v>
      </c>
      <c r="L48" s="764" t="str">
        <f aca="false">IF('rotation(W501D5A)'!K49=0," ",$B48*'rotation(W501D5A)'!K49)</f>
        <v> </v>
      </c>
      <c r="M48" s="764" t="str">
        <f aca="false">IF('rotation(W501D5A)'!L49=0," ",$B48*'rotation(W501D5A)'!L49)</f>
        <v> </v>
      </c>
      <c r="N48" s="764" t="str">
        <f aca="false">IF('rotation(W501D5A)'!M49=0," ",$B48*'rotation(W501D5A)'!M49)</f>
        <v> </v>
      </c>
      <c r="O48" s="764" t="str">
        <f aca="false">IF('rotation(W501D5A)'!N49=0," ",$B48*'rotation(W501D5A)'!N49)</f>
        <v> </v>
      </c>
      <c r="P48" s="764" t="str">
        <f aca="false">IF('rotation(W501D5A)'!O49=0," ",$B48*'rotation(W501D5A)'!O49)</f>
        <v> </v>
      </c>
      <c r="Q48" s="764" t="str">
        <f aca="false">IF('rotation(W501D5A)'!P49=0," ",$B48*'rotation(W501D5A)'!P49)</f>
        <v> </v>
      </c>
      <c r="R48" s="764" t="str">
        <f aca="false">IF('rotation(W501D5A)'!Q49=0," ",$B48*'rotation(W501D5A)'!Q49)</f>
        <v> </v>
      </c>
      <c r="S48" s="764" t="str">
        <f aca="false">IF('rotation(W501D5A)'!R49=0," ",$B48*'rotation(W501D5A)'!R49)</f>
        <v> </v>
      </c>
      <c r="T48" s="764" t="str">
        <f aca="false">IF('rotation(W501D5A)'!S49=0," ",$B48*'rotation(W501D5A)'!S49)</f>
        <v> </v>
      </c>
      <c r="U48" s="764" t="str">
        <f aca="false">IF('rotation(W501D5A)'!T49=0," ",$B48*'rotation(W501D5A)'!T49)</f>
        <v> </v>
      </c>
      <c r="V48" s="764" t="str">
        <f aca="false">IF('rotation(W501D5A)'!U49=0," ",$B48*'rotation(W501D5A)'!U49)</f>
        <v> </v>
      </c>
      <c r="W48" s="764" t="str">
        <f aca="false">IF('rotation(W501D5A)'!V49=0," ",$B48*'rotation(W501D5A)'!V49)</f>
        <v> </v>
      </c>
      <c r="X48" s="666" t="n">
        <f aca="false">SUM(D48:W48)</f>
        <v>0</v>
      </c>
    </row>
    <row r="49" customFormat="false" ht="12.75" hidden="false" customHeight="false" outlineLevel="0" collapsed="false">
      <c r="A49" s="770" t="str">
        <f aca="false">'GTDB(W501D5A)'!A26</f>
        <v>Row 1 Vanes </v>
      </c>
      <c r="B49" s="763" t="n">
        <f aca="false">'GTDB(W501D5A)'!D26</f>
        <v>177.5</v>
      </c>
      <c r="C49" s="764"/>
      <c r="D49" s="764" t="str">
        <f aca="false">IF('rotation(W501D5A)'!C53=0," ",$B49*'rotation(W501D5A)'!C53)</f>
        <v> </v>
      </c>
      <c r="E49" s="764" t="str">
        <f aca="false">IF('rotation(W501D5A)'!D53=0," ",$B49*'rotation(W501D5A)'!D53)</f>
        <v> </v>
      </c>
      <c r="F49" s="764" t="str">
        <f aca="false">IF('rotation(W501D5A)'!E53=0," ",$B49*'rotation(W501D5A)'!E53)</f>
        <v> </v>
      </c>
      <c r="G49" s="764" t="str">
        <f aca="false">IF('rotation(W501D5A)'!F53=0," ",$B49*'rotation(W501D5A)'!F53)</f>
        <v> </v>
      </c>
      <c r="H49" s="764" t="str">
        <f aca="false">IF('rotation(W501D5A)'!G53=0," ",$B49*'rotation(W501D5A)'!G53)</f>
        <v> </v>
      </c>
      <c r="I49" s="764" t="str">
        <f aca="false">IF('rotation(W501D5A)'!H53=0," ",$B49*'rotation(W501D5A)'!H53)</f>
        <v> </v>
      </c>
      <c r="J49" s="764" t="str">
        <f aca="false">IF('rotation(W501D5A)'!I53=0," ",$B49*'rotation(W501D5A)'!I53)</f>
        <v> </v>
      </c>
      <c r="K49" s="764" t="str">
        <f aca="false">IF('rotation(W501D5A)'!J53=0," ",$B49*'rotation(W501D5A)'!J53)</f>
        <v> </v>
      </c>
      <c r="L49" s="764" t="str">
        <f aca="false">IF('rotation(W501D5A)'!K53=0," ",$B49*'rotation(W501D5A)'!K53)</f>
        <v> </v>
      </c>
      <c r="M49" s="764" t="str">
        <f aca="false">IF('rotation(W501D5A)'!L53=0," ",$B49*'rotation(W501D5A)'!L53)</f>
        <v> </v>
      </c>
      <c r="N49" s="764" t="str">
        <f aca="false">IF('rotation(W501D5A)'!M53=0," ",$B49*'rotation(W501D5A)'!M53)</f>
        <v> </v>
      </c>
      <c r="O49" s="764" t="str">
        <f aca="false">IF('rotation(W501D5A)'!N53=0," ",$B49*'rotation(W501D5A)'!N53)</f>
        <v> </v>
      </c>
      <c r="P49" s="764" t="str">
        <f aca="false">IF('rotation(W501D5A)'!O53=0," ",$B49*'rotation(W501D5A)'!O53)</f>
        <v> </v>
      </c>
      <c r="Q49" s="764" t="str">
        <f aca="false">IF('rotation(W501D5A)'!P53=0," ",$B49*'rotation(W501D5A)'!P53)</f>
        <v> </v>
      </c>
      <c r="R49" s="764" t="str">
        <f aca="false">IF('rotation(W501D5A)'!Q53=0," ",$B49*'rotation(W501D5A)'!Q53)</f>
        <v> </v>
      </c>
      <c r="S49" s="764" t="str">
        <f aca="false">IF('rotation(W501D5A)'!R53=0," ",$B49*'rotation(W501D5A)'!R53)</f>
        <v> </v>
      </c>
      <c r="T49" s="764" t="str">
        <f aca="false">IF('rotation(W501D5A)'!S53=0," ",$B49*'rotation(W501D5A)'!S53)</f>
        <v> </v>
      </c>
      <c r="U49" s="764" t="str">
        <f aca="false">IF('rotation(W501D5A)'!T53=0," ",$B49*'rotation(W501D5A)'!T53)</f>
        <v> </v>
      </c>
      <c r="V49" s="764" t="str">
        <f aca="false">IF('rotation(W501D5A)'!U53=0," ",$B49*'rotation(W501D5A)'!U53)</f>
        <v> </v>
      </c>
      <c r="W49" s="764" t="str">
        <f aca="false">IF('rotation(W501D5A)'!V53=0," ",$B49*'rotation(W501D5A)'!V53)</f>
        <v> </v>
      </c>
      <c r="X49" s="666" t="n">
        <f aca="false">SUM(D49:W49)</f>
        <v>0</v>
      </c>
    </row>
    <row r="50" customFormat="false" ht="12.75" hidden="false" customHeight="false" outlineLevel="0" collapsed="false">
      <c r="A50" s="770" t="str">
        <f aca="false">'GTDB(W501D5A)'!A27</f>
        <v>Row 2 Vanes</v>
      </c>
      <c r="B50" s="763" t="n">
        <f aca="false">'GTDB(W501D5A)'!D27</f>
        <v>132.3</v>
      </c>
      <c r="C50" s="764"/>
      <c r="D50" s="764" t="str">
        <f aca="false">IF('rotation(W501D5A)'!C57=0," ",$B50*'rotation(W501D5A)'!C57)</f>
        <v> </v>
      </c>
      <c r="E50" s="764" t="str">
        <f aca="false">IF('rotation(W501D5A)'!D57=0," ",$B50*'rotation(W501D5A)'!D57)</f>
        <v> </v>
      </c>
      <c r="F50" s="764" t="str">
        <f aca="false">IF('rotation(W501D5A)'!E57=0," ",$B50*'rotation(W501D5A)'!E57)</f>
        <v> </v>
      </c>
      <c r="G50" s="764" t="str">
        <f aca="false">IF('rotation(W501D5A)'!F57=0," ",$B50*'rotation(W501D5A)'!F57)</f>
        <v> </v>
      </c>
      <c r="H50" s="764" t="str">
        <f aca="false">IF('rotation(W501D5A)'!G57=0," ",$B50*'rotation(W501D5A)'!G57)</f>
        <v> </v>
      </c>
      <c r="I50" s="764" t="str">
        <f aca="false">IF('rotation(W501D5A)'!H57=0," ",$B50*'rotation(W501D5A)'!H57)</f>
        <v> </v>
      </c>
      <c r="J50" s="764" t="str">
        <f aca="false">IF('rotation(W501D5A)'!I57=0," ",$B50*'rotation(W501D5A)'!I57)</f>
        <v> </v>
      </c>
      <c r="K50" s="764" t="str">
        <f aca="false">IF('rotation(W501D5A)'!J57=0," ",$B50*'rotation(W501D5A)'!J57)</f>
        <v> </v>
      </c>
      <c r="L50" s="764" t="str">
        <f aca="false">IF('rotation(W501D5A)'!K57=0," ",$B50*'rotation(W501D5A)'!K57)</f>
        <v> </v>
      </c>
      <c r="M50" s="764" t="str">
        <f aca="false">IF('rotation(W501D5A)'!L57=0," ",$B50*'rotation(W501D5A)'!L57)</f>
        <v> </v>
      </c>
      <c r="N50" s="764" t="str">
        <f aca="false">IF('rotation(W501D5A)'!M57=0," ",$B50*'rotation(W501D5A)'!M57)</f>
        <v> </v>
      </c>
      <c r="O50" s="764" t="str">
        <f aca="false">IF('rotation(W501D5A)'!N57=0," ",$B50*'rotation(W501D5A)'!N57)</f>
        <v> </v>
      </c>
      <c r="P50" s="764" t="str">
        <f aca="false">IF('rotation(W501D5A)'!O57=0," ",$B50*'rotation(W501D5A)'!O57)</f>
        <v> </v>
      </c>
      <c r="Q50" s="764" t="str">
        <f aca="false">IF('rotation(W501D5A)'!P57=0," ",$B50*'rotation(W501D5A)'!P57)</f>
        <v> </v>
      </c>
      <c r="R50" s="764" t="str">
        <f aca="false">IF('rotation(W501D5A)'!Q57=0," ",$B50*'rotation(W501D5A)'!Q57)</f>
        <v> </v>
      </c>
      <c r="S50" s="764" t="str">
        <f aca="false">IF('rotation(W501D5A)'!R57=0," ",$B50*'rotation(W501D5A)'!R57)</f>
        <v> </v>
      </c>
      <c r="T50" s="764" t="str">
        <f aca="false">IF('rotation(W501D5A)'!S57=0," ",$B50*'rotation(W501D5A)'!S57)</f>
        <v> </v>
      </c>
      <c r="U50" s="764" t="str">
        <f aca="false">IF('rotation(W501D5A)'!T57=0," ",$B50*'rotation(W501D5A)'!T57)</f>
        <v> </v>
      </c>
      <c r="V50" s="764" t="str">
        <f aca="false">IF('rotation(W501D5A)'!U57=0," ",$B50*'rotation(W501D5A)'!U57)</f>
        <v> </v>
      </c>
      <c r="W50" s="764" t="str">
        <f aca="false">IF('rotation(W501D5A)'!V57=0," ",$B50*'rotation(W501D5A)'!V57)</f>
        <v> </v>
      </c>
      <c r="X50" s="666" t="n">
        <f aca="false">SUM(D50:W50)</f>
        <v>0</v>
      </c>
    </row>
    <row r="51" customFormat="false" ht="12.75" hidden="false" customHeight="false" outlineLevel="0" collapsed="false">
      <c r="A51" s="770" t="str">
        <f aca="false">'GTDB(W501D5A)'!A28</f>
        <v>Row 3 Vanes</v>
      </c>
      <c r="B51" s="763" t="n">
        <f aca="false">'GTDB(W501D5A)'!D28</f>
        <v>77.4</v>
      </c>
      <c r="C51" s="764"/>
      <c r="D51" s="764" t="str">
        <f aca="false">IF('rotation(W501D5A)'!C61=0," ",$B51*'rotation(W501D5A)'!C61)</f>
        <v> </v>
      </c>
      <c r="E51" s="764" t="str">
        <f aca="false">IF('rotation(W501D5A)'!D61=0," ",$B51*'rotation(W501D5A)'!D61)</f>
        <v> </v>
      </c>
      <c r="F51" s="764" t="str">
        <f aca="false">IF('rotation(W501D5A)'!E61=0," ",$B51*'rotation(W501D5A)'!E61)</f>
        <v> </v>
      </c>
      <c r="G51" s="764" t="str">
        <f aca="false">IF('rotation(W501D5A)'!F61=0," ",$B51*'rotation(W501D5A)'!F61)</f>
        <v> </v>
      </c>
      <c r="H51" s="764" t="str">
        <f aca="false">IF('rotation(W501D5A)'!G61=0," ",$B51*'rotation(W501D5A)'!G61)</f>
        <v> </v>
      </c>
      <c r="I51" s="764" t="str">
        <f aca="false">IF('rotation(W501D5A)'!H61=0," ",$B51*'rotation(W501D5A)'!H61)</f>
        <v> </v>
      </c>
      <c r="J51" s="764" t="str">
        <f aca="false">IF('rotation(W501D5A)'!I61=0," ",$B51*'rotation(W501D5A)'!I61)</f>
        <v> </v>
      </c>
      <c r="K51" s="764" t="str">
        <f aca="false">IF('rotation(W501D5A)'!J61=0," ",$B51*'rotation(W501D5A)'!J61)</f>
        <v> </v>
      </c>
      <c r="L51" s="764" t="str">
        <f aca="false">IF('rotation(W501D5A)'!K61=0," ",$B51*'rotation(W501D5A)'!K61)</f>
        <v> </v>
      </c>
      <c r="M51" s="764" t="str">
        <f aca="false">IF('rotation(W501D5A)'!L61=0," ",$B51*'rotation(W501D5A)'!L61)</f>
        <v> </v>
      </c>
      <c r="N51" s="764" t="str">
        <f aca="false">IF('rotation(W501D5A)'!M61=0," ",$B51*'rotation(W501D5A)'!M61)</f>
        <v> </v>
      </c>
      <c r="O51" s="764" t="str">
        <f aca="false">IF('rotation(W501D5A)'!N61=0," ",$B51*'rotation(W501D5A)'!N61)</f>
        <v> </v>
      </c>
      <c r="P51" s="764" t="str">
        <f aca="false">IF('rotation(W501D5A)'!O61=0," ",$B51*'rotation(W501D5A)'!O61)</f>
        <v> </v>
      </c>
      <c r="Q51" s="764" t="str">
        <f aca="false">IF('rotation(W501D5A)'!P61=0," ",$B51*'rotation(W501D5A)'!P61)</f>
        <v> </v>
      </c>
      <c r="R51" s="764" t="str">
        <f aca="false">IF('rotation(W501D5A)'!Q61=0," ",$B51*'rotation(W501D5A)'!Q61)</f>
        <v> </v>
      </c>
      <c r="S51" s="764" t="str">
        <f aca="false">IF('rotation(W501D5A)'!R61=0," ",$B51*'rotation(W501D5A)'!R61)</f>
        <v> </v>
      </c>
      <c r="T51" s="764" t="str">
        <f aca="false">IF('rotation(W501D5A)'!S61=0," ",$B51*'rotation(W501D5A)'!S61)</f>
        <v> </v>
      </c>
      <c r="U51" s="764" t="str">
        <f aca="false">IF('rotation(W501D5A)'!T61=0," ",$B51*'rotation(W501D5A)'!T61)</f>
        <v> </v>
      </c>
      <c r="V51" s="764" t="str">
        <f aca="false">IF('rotation(W501D5A)'!U61=0," ",$B51*'rotation(W501D5A)'!U61)</f>
        <v> </v>
      </c>
      <c r="W51" s="764" t="str">
        <f aca="false">IF('rotation(W501D5A)'!V61=0," ",$B51*'rotation(W501D5A)'!V61)</f>
        <v> </v>
      </c>
      <c r="X51" s="666" t="n">
        <f aca="false">SUM(D51:W51)</f>
        <v>0</v>
      </c>
    </row>
    <row r="52" customFormat="false" ht="12.75" hidden="false" customHeight="false" outlineLevel="0" collapsed="false">
      <c r="A52" s="770" t="str">
        <f aca="false">'GTDB(W501D5A)'!A29</f>
        <v>Row 4 Vanes</v>
      </c>
      <c r="B52" s="763" t="n">
        <f aca="false">'GTDB(W501D5A)'!D29</f>
        <v>90.405</v>
      </c>
      <c r="C52" s="764"/>
      <c r="D52" s="764" t="str">
        <f aca="false">IF('rotation(W501D5A)'!C65=0," ",$B52*'rotation(W501D5A)'!C65)</f>
        <v> </v>
      </c>
      <c r="E52" s="764" t="str">
        <f aca="false">IF('rotation(W501D5A)'!D65=0," ",$B52*'rotation(W501D5A)'!D65)</f>
        <v> </v>
      </c>
      <c r="F52" s="764" t="str">
        <f aca="false">IF('rotation(W501D5A)'!E65=0," ",$B52*'rotation(W501D5A)'!E65)</f>
        <v> </v>
      </c>
      <c r="G52" s="764" t="str">
        <f aca="false">IF('rotation(W501D5A)'!F65=0," ",$B52*'rotation(W501D5A)'!F65)</f>
        <v> </v>
      </c>
      <c r="H52" s="764" t="str">
        <f aca="false">IF('rotation(W501D5A)'!G65=0," ",$B52*'rotation(W501D5A)'!G65)</f>
        <v> </v>
      </c>
      <c r="I52" s="764" t="str">
        <f aca="false">IF('rotation(W501D5A)'!H65=0," ",$B52*'rotation(W501D5A)'!H65)</f>
        <v> </v>
      </c>
      <c r="J52" s="764" t="str">
        <f aca="false">IF('rotation(W501D5A)'!I65=0," ",$B52*'rotation(W501D5A)'!I65)</f>
        <v> </v>
      </c>
      <c r="K52" s="764" t="str">
        <f aca="false">IF('rotation(W501D5A)'!J65=0," ",$B52*'rotation(W501D5A)'!J65)</f>
        <v> </v>
      </c>
      <c r="L52" s="764" t="str">
        <f aca="false">IF('rotation(W501D5A)'!K65=0," ",$B52*'rotation(W501D5A)'!K65)</f>
        <v> </v>
      </c>
      <c r="M52" s="764" t="str">
        <f aca="false">IF('rotation(W501D5A)'!L65=0," ",$B52*'rotation(W501D5A)'!L65)</f>
        <v> </v>
      </c>
      <c r="N52" s="764" t="str">
        <f aca="false">IF('rotation(W501D5A)'!M65=0," ",$B52*'rotation(W501D5A)'!M65)</f>
        <v> </v>
      </c>
      <c r="O52" s="764" t="str">
        <f aca="false">IF('rotation(W501D5A)'!N65=0," ",$B52*'rotation(W501D5A)'!N65)</f>
        <v> </v>
      </c>
      <c r="P52" s="764" t="str">
        <f aca="false">IF('rotation(W501D5A)'!O65=0," ",$B52*'rotation(W501D5A)'!O65)</f>
        <v> </v>
      </c>
      <c r="Q52" s="764" t="str">
        <f aca="false">IF('rotation(W501D5A)'!P65=0," ",$B52*'rotation(W501D5A)'!P65)</f>
        <v> </v>
      </c>
      <c r="R52" s="764" t="str">
        <f aca="false">IF('rotation(W501D5A)'!Q65=0," ",$B52*'rotation(W501D5A)'!Q65)</f>
        <v> </v>
      </c>
      <c r="S52" s="764" t="str">
        <f aca="false">IF('rotation(W501D5A)'!R65=0," ",$B52*'rotation(W501D5A)'!R65)</f>
        <v> </v>
      </c>
      <c r="T52" s="764" t="str">
        <f aca="false">IF('rotation(W501D5A)'!S65=0," ",$B52*'rotation(W501D5A)'!S65)</f>
        <v> </v>
      </c>
      <c r="U52" s="764" t="str">
        <f aca="false">IF('rotation(W501D5A)'!T65=0," ",$B52*'rotation(W501D5A)'!T65)</f>
        <v> </v>
      </c>
      <c r="V52" s="764" t="str">
        <f aca="false">IF('rotation(W501D5A)'!U65=0," ",$B52*'rotation(W501D5A)'!U65)</f>
        <v> </v>
      </c>
      <c r="W52" s="764" t="str">
        <f aca="false">IF('rotation(W501D5A)'!V65=0," ",$B52*'rotation(W501D5A)'!V65)</f>
        <v> </v>
      </c>
      <c r="X52" s="666" t="n">
        <f aca="false">SUM(D52:W52)</f>
        <v>0</v>
      </c>
    </row>
    <row r="53" customFormat="false" ht="12.75" hidden="false" customHeight="false" outlineLevel="0" collapsed="false">
      <c r="A53" s="770" t="str">
        <f aca="false">'GTDB(W501D5A)'!A30</f>
        <v>Row 1 ring segments</v>
      </c>
      <c r="B53" s="763" t="n">
        <f aca="false">'GTDB(W501D5A)'!D30</f>
        <v>14.5</v>
      </c>
      <c r="C53" s="764"/>
      <c r="D53" s="764" t="str">
        <f aca="false">IF('rotation(W501D5A)'!C69=0," ",$B53*'rotation(W501D5A)'!C69)</f>
        <v> </v>
      </c>
      <c r="E53" s="764" t="str">
        <f aca="false">IF('rotation(W501D5A)'!D69=0," ",$B53*'rotation(W501D5A)'!D69)</f>
        <v> </v>
      </c>
      <c r="F53" s="764" t="str">
        <f aca="false">IF('rotation(W501D5A)'!E69=0," ",$B53*'rotation(W501D5A)'!E69)</f>
        <v> </v>
      </c>
      <c r="G53" s="764" t="str">
        <f aca="false">IF('rotation(W501D5A)'!F69=0," ",$B53*'rotation(W501D5A)'!F69)</f>
        <v> </v>
      </c>
      <c r="H53" s="764" t="str">
        <f aca="false">IF('rotation(W501D5A)'!G69=0," ",$B53*'rotation(W501D5A)'!G69)</f>
        <v> </v>
      </c>
      <c r="I53" s="764" t="str">
        <f aca="false">IF('rotation(W501D5A)'!H69=0," ",$B53*'rotation(W501D5A)'!H69)</f>
        <v> </v>
      </c>
      <c r="J53" s="764" t="str">
        <f aca="false">IF('rotation(W501D5A)'!I69=0," ",$B53*'rotation(W501D5A)'!I69)</f>
        <v> </v>
      </c>
      <c r="K53" s="764" t="str">
        <f aca="false">IF('rotation(W501D5A)'!J69=0," ",$B53*'rotation(W501D5A)'!J69)</f>
        <v> </v>
      </c>
      <c r="L53" s="764" t="str">
        <f aca="false">IF('rotation(W501D5A)'!K69=0," ",$B53*'rotation(W501D5A)'!K69)</f>
        <v> </v>
      </c>
      <c r="M53" s="764" t="str">
        <f aca="false">IF('rotation(W501D5A)'!L69=0," ",$B53*'rotation(W501D5A)'!L69)</f>
        <v> </v>
      </c>
      <c r="N53" s="764" t="str">
        <f aca="false">IF('rotation(W501D5A)'!M69=0," ",$B53*'rotation(W501D5A)'!M69)</f>
        <v> </v>
      </c>
      <c r="O53" s="764" t="str">
        <f aca="false">IF('rotation(W501D5A)'!N69=0," ",$B53*'rotation(W501D5A)'!N69)</f>
        <v> </v>
      </c>
      <c r="P53" s="764" t="str">
        <f aca="false">IF('rotation(W501D5A)'!O69=0," ",$B53*'rotation(W501D5A)'!O69)</f>
        <v> </v>
      </c>
      <c r="Q53" s="764" t="str">
        <f aca="false">IF('rotation(W501D5A)'!P69=0," ",$B53*'rotation(W501D5A)'!P69)</f>
        <v> </v>
      </c>
      <c r="R53" s="764" t="str">
        <f aca="false">IF('rotation(W501D5A)'!Q69=0," ",$B53*'rotation(W501D5A)'!Q69)</f>
        <v> </v>
      </c>
      <c r="S53" s="764" t="str">
        <f aca="false">IF('rotation(W501D5A)'!R69=0," ",$B53*'rotation(W501D5A)'!R69)</f>
        <v> </v>
      </c>
      <c r="T53" s="764" t="str">
        <f aca="false">IF('rotation(W501D5A)'!S69=0," ",$B53*'rotation(W501D5A)'!S69)</f>
        <v> </v>
      </c>
      <c r="U53" s="764" t="str">
        <f aca="false">IF('rotation(W501D5A)'!T69=0," ",$B53*'rotation(W501D5A)'!T69)</f>
        <v> </v>
      </c>
      <c r="V53" s="764" t="str">
        <f aca="false">IF('rotation(W501D5A)'!U69=0," ",$B53*'rotation(W501D5A)'!U69)</f>
        <v> </v>
      </c>
      <c r="W53" s="764" t="str">
        <f aca="false">IF('rotation(W501D5A)'!V69=0," ",$B53*'rotation(W501D5A)'!V69)</f>
        <v> </v>
      </c>
      <c r="X53" s="666" t="n">
        <f aca="false">SUM(D53:W53)</f>
        <v>0</v>
      </c>
    </row>
    <row r="54" customFormat="false" ht="12.75" hidden="false" customHeight="false" outlineLevel="0" collapsed="false">
      <c r="A54" s="770" t="str">
        <f aca="false">'GTDB(W501D5A)'!A31</f>
        <v>Row 2 ring segments</v>
      </c>
      <c r="B54" s="763" t="n">
        <f aca="false">'GTDB(W501D5A)'!D31</f>
        <v>14.5</v>
      </c>
      <c r="C54" s="764"/>
      <c r="D54" s="764" t="str">
        <f aca="false">IF('rotation(W501D5A)'!C73=0," ",$B54*'rotation(W501D5A)'!C73)</f>
        <v> </v>
      </c>
      <c r="E54" s="764" t="str">
        <f aca="false">IF('rotation(W501D5A)'!D73=0," ",$B54*'rotation(W501D5A)'!D73)</f>
        <v> </v>
      </c>
      <c r="F54" s="764" t="str">
        <f aca="false">IF('rotation(W501D5A)'!E73=0," ",$B54*'rotation(W501D5A)'!E73)</f>
        <v> </v>
      </c>
      <c r="G54" s="764" t="str">
        <f aca="false">IF('rotation(W501D5A)'!F73=0," ",$B54*'rotation(W501D5A)'!F73)</f>
        <v> </v>
      </c>
      <c r="H54" s="764" t="str">
        <f aca="false">IF('rotation(W501D5A)'!G73=0," ",$B54*'rotation(W501D5A)'!G73)</f>
        <v> </v>
      </c>
      <c r="I54" s="764" t="str">
        <f aca="false">IF('rotation(W501D5A)'!H73=0," ",$B54*'rotation(W501D5A)'!H73)</f>
        <v> </v>
      </c>
      <c r="J54" s="764" t="str">
        <f aca="false">IF('rotation(W501D5A)'!I73=0," ",$B54*'rotation(W501D5A)'!I73)</f>
        <v> </v>
      </c>
      <c r="K54" s="764" t="str">
        <f aca="false">IF('rotation(W501D5A)'!J73=0," ",$B54*'rotation(W501D5A)'!J73)</f>
        <v> </v>
      </c>
      <c r="L54" s="764" t="str">
        <f aca="false">IF('rotation(W501D5A)'!K73=0," ",$B54*'rotation(W501D5A)'!K73)</f>
        <v> </v>
      </c>
      <c r="M54" s="764" t="str">
        <f aca="false">IF('rotation(W501D5A)'!L73=0," ",$B54*'rotation(W501D5A)'!L73)</f>
        <v> </v>
      </c>
      <c r="N54" s="764" t="str">
        <f aca="false">IF('rotation(W501D5A)'!M73=0," ",$B54*'rotation(W501D5A)'!M73)</f>
        <v> </v>
      </c>
      <c r="O54" s="764" t="str">
        <f aca="false">IF('rotation(W501D5A)'!N73=0," ",$B54*'rotation(W501D5A)'!N73)</f>
        <v> </v>
      </c>
      <c r="P54" s="764" t="str">
        <f aca="false">IF('rotation(W501D5A)'!O73=0," ",$B54*'rotation(W501D5A)'!O73)</f>
        <v> </v>
      </c>
      <c r="Q54" s="764" t="str">
        <f aca="false">IF('rotation(W501D5A)'!P73=0," ",$B54*'rotation(W501D5A)'!P73)</f>
        <v> </v>
      </c>
      <c r="R54" s="764" t="str">
        <f aca="false">IF('rotation(W501D5A)'!Q73=0," ",$B54*'rotation(W501D5A)'!Q73)</f>
        <v> </v>
      </c>
      <c r="S54" s="764" t="str">
        <f aca="false">IF('rotation(W501D5A)'!R73=0," ",$B54*'rotation(W501D5A)'!R73)</f>
        <v> </v>
      </c>
      <c r="T54" s="764" t="str">
        <f aca="false">IF('rotation(W501D5A)'!S73=0," ",$B54*'rotation(W501D5A)'!S73)</f>
        <v> </v>
      </c>
      <c r="U54" s="764" t="str">
        <f aca="false">IF('rotation(W501D5A)'!T73=0," ",$B54*'rotation(W501D5A)'!T73)</f>
        <v> </v>
      </c>
      <c r="V54" s="764" t="str">
        <f aca="false">IF('rotation(W501D5A)'!U73=0," ",$B54*'rotation(W501D5A)'!U73)</f>
        <v> </v>
      </c>
      <c r="W54" s="764" t="str">
        <f aca="false">IF('rotation(W501D5A)'!V73=0," ",$B54*'rotation(W501D5A)'!V73)</f>
        <v> </v>
      </c>
      <c r="X54" s="666" t="n">
        <f aca="false">SUM(D54:W54)</f>
        <v>0</v>
      </c>
    </row>
    <row r="55" customFormat="false" ht="12.75" hidden="false" customHeight="false" outlineLevel="0" collapsed="false">
      <c r="A55" s="770" t="str">
        <f aca="false">'GTDB(W501D5A)'!A32</f>
        <v>Row 3 rings segments</v>
      </c>
      <c r="B55" s="763" t="n">
        <f aca="false">'GTDB(W501D5A)'!D32</f>
        <v>13</v>
      </c>
      <c r="C55" s="764"/>
      <c r="D55" s="764" t="str">
        <f aca="false">IF('rotation(W501D5A)'!C77=0," ",$B55*'rotation(W501D5A)'!C77)</f>
        <v> </v>
      </c>
      <c r="E55" s="764" t="str">
        <f aca="false">IF('rotation(W501D5A)'!D77=0," ",$B55*'rotation(W501D5A)'!D77)</f>
        <v> </v>
      </c>
      <c r="F55" s="764" t="str">
        <f aca="false">IF('rotation(W501D5A)'!E77=0," ",$B55*'rotation(W501D5A)'!E77)</f>
        <v> </v>
      </c>
      <c r="G55" s="764" t="str">
        <f aca="false">IF('rotation(W501D5A)'!F77=0," ",$B55*'rotation(W501D5A)'!F77)</f>
        <v> </v>
      </c>
      <c r="H55" s="764" t="str">
        <f aca="false">IF('rotation(W501D5A)'!G77=0," ",$B55*'rotation(W501D5A)'!G77)</f>
        <v> </v>
      </c>
      <c r="I55" s="764" t="str">
        <f aca="false">IF('rotation(W501D5A)'!H77=0," ",$B55*'rotation(W501D5A)'!H77)</f>
        <v> </v>
      </c>
      <c r="J55" s="764" t="str">
        <f aca="false">IF('rotation(W501D5A)'!I77=0," ",$B55*'rotation(W501D5A)'!I77)</f>
        <v> </v>
      </c>
      <c r="K55" s="764" t="str">
        <f aca="false">IF('rotation(W501D5A)'!J77=0," ",$B55*'rotation(W501D5A)'!J77)</f>
        <v> </v>
      </c>
      <c r="L55" s="764" t="str">
        <f aca="false">IF('rotation(W501D5A)'!K77=0," ",$B55*'rotation(W501D5A)'!K77)</f>
        <v> </v>
      </c>
      <c r="M55" s="764" t="str">
        <f aca="false">IF('rotation(W501D5A)'!L77=0," ",$B55*'rotation(W501D5A)'!L77)</f>
        <v> </v>
      </c>
      <c r="N55" s="764" t="str">
        <f aca="false">IF('rotation(W501D5A)'!M77=0," ",$B55*'rotation(W501D5A)'!M77)</f>
        <v> </v>
      </c>
      <c r="O55" s="764" t="str">
        <f aca="false">IF('rotation(W501D5A)'!N77=0," ",$B55*'rotation(W501D5A)'!N77)</f>
        <v> </v>
      </c>
      <c r="P55" s="764" t="str">
        <f aca="false">IF('rotation(W501D5A)'!O77=0," ",$B55*'rotation(W501D5A)'!O77)</f>
        <v> </v>
      </c>
      <c r="Q55" s="764" t="str">
        <f aca="false">IF('rotation(W501D5A)'!P77=0," ",$B55*'rotation(W501D5A)'!P77)</f>
        <v> </v>
      </c>
      <c r="R55" s="764" t="str">
        <f aca="false">IF('rotation(W501D5A)'!Q77=0," ",$B55*'rotation(W501D5A)'!Q77)</f>
        <v> </v>
      </c>
      <c r="S55" s="764" t="str">
        <f aca="false">IF('rotation(W501D5A)'!R77=0," ",$B55*'rotation(W501D5A)'!R77)</f>
        <v> </v>
      </c>
      <c r="T55" s="764" t="str">
        <f aca="false">IF('rotation(W501D5A)'!S77=0," ",$B55*'rotation(W501D5A)'!S77)</f>
        <v> </v>
      </c>
      <c r="U55" s="764" t="str">
        <f aca="false">IF('rotation(W501D5A)'!T77=0," ",$B55*'rotation(W501D5A)'!T77)</f>
        <v> </v>
      </c>
      <c r="V55" s="764" t="str">
        <f aca="false">IF('rotation(W501D5A)'!U77=0," ",$B55*'rotation(W501D5A)'!U77)</f>
        <v> </v>
      </c>
      <c r="W55" s="764" t="str">
        <f aca="false">IF('rotation(W501D5A)'!V77=0," ",$B55*'rotation(W501D5A)'!V77)</f>
        <v> </v>
      </c>
      <c r="X55" s="666" t="n">
        <f aca="false">SUM(D55:W55)</f>
        <v>0</v>
      </c>
    </row>
    <row r="56" customFormat="false" ht="12.75" hidden="false" customHeight="false" outlineLevel="0" collapsed="false">
      <c r="A56" s="770" t="str">
        <f aca="false">'GTDB(W501D5A)'!A33</f>
        <v>Row 4 rings segments</v>
      </c>
      <c r="B56" s="763" t="n">
        <f aca="false">'GTDB(W501D5A)'!D33</f>
        <v>13</v>
      </c>
      <c r="C56" s="764"/>
      <c r="D56" s="764" t="str">
        <f aca="false">IF('rotation(W501D5A)'!C81=0," ",$B56*'rotation(W501D5A)'!C81)</f>
        <v> </v>
      </c>
      <c r="E56" s="764" t="str">
        <f aca="false">IF('rotation(W501D5A)'!D81=0," ",$B56*'rotation(W501D5A)'!D81)</f>
        <v> </v>
      </c>
      <c r="F56" s="764" t="str">
        <f aca="false">IF('rotation(W501D5A)'!E81=0," ",$B56*'rotation(W501D5A)'!E81)</f>
        <v> </v>
      </c>
      <c r="G56" s="764" t="str">
        <f aca="false">IF('rotation(W501D5A)'!F81=0," ",$B56*'rotation(W501D5A)'!F81)</f>
        <v> </v>
      </c>
      <c r="H56" s="764" t="str">
        <f aca="false">IF('rotation(W501D5A)'!G81=0," ",$B56*'rotation(W501D5A)'!G81)</f>
        <v> </v>
      </c>
      <c r="I56" s="764" t="str">
        <f aca="false">IF('rotation(W501D5A)'!H81=0," ",$B56*'rotation(W501D5A)'!H81)</f>
        <v> </v>
      </c>
      <c r="J56" s="764" t="str">
        <f aca="false">IF('rotation(W501D5A)'!I81=0," ",$B56*'rotation(W501D5A)'!I81)</f>
        <v> </v>
      </c>
      <c r="K56" s="764" t="str">
        <f aca="false">IF('rotation(W501D5A)'!J81=0," ",$B56*'rotation(W501D5A)'!J81)</f>
        <v> </v>
      </c>
      <c r="L56" s="764" t="str">
        <f aca="false">IF('rotation(W501D5A)'!K81=0," ",$B56*'rotation(W501D5A)'!K81)</f>
        <v> </v>
      </c>
      <c r="M56" s="764" t="str">
        <f aca="false">IF('rotation(W501D5A)'!L81=0," ",$B56*'rotation(W501D5A)'!L81)</f>
        <v> </v>
      </c>
      <c r="N56" s="764" t="str">
        <f aca="false">IF('rotation(W501D5A)'!M81=0," ",$B56*'rotation(W501D5A)'!M81)</f>
        <v> </v>
      </c>
      <c r="O56" s="764" t="str">
        <f aca="false">IF('rotation(W501D5A)'!N81=0," ",$B56*'rotation(W501D5A)'!N81)</f>
        <v> </v>
      </c>
      <c r="P56" s="764" t="str">
        <f aca="false">IF('rotation(W501D5A)'!O81=0," ",$B56*'rotation(W501D5A)'!O81)</f>
        <v> </v>
      </c>
      <c r="Q56" s="764" t="str">
        <f aca="false">IF('rotation(W501D5A)'!P81=0," ",$B56*'rotation(W501D5A)'!P81)</f>
        <v> </v>
      </c>
      <c r="R56" s="764" t="str">
        <f aca="false">IF('rotation(W501D5A)'!Q81=0," ",$B56*'rotation(W501D5A)'!Q81)</f>
        <v> </v>
      </c>
      <c r="S56" s="764" t="str">
        <f aca="false">IF('rotation(W501D5A)'!R81=0," ",$B56*'rotation(W501D5A)'!R81)</f>
        <v> </v>
      </c>
      <c r="T56" s="764" t="str">
        <f aca="false">IF('rotation(W501D5A)'!S81=0," ",$B56*'rotation(W501D5A)'!S81)</f>
        <v> </v>
      </c>
      <c r="U56" s="764" t="str">
        <f aca="false">IF('rotation(W501D5A)'!T81=0," ",$B56*'rotation(W501D5A)'!T81)</f>
        <v> </v>
      </c>
      <c r="V56" s="764" t="str">
        <f aca="false">IF('rotation(W501D5A)'!U81=0," ",$B56*'rotation(W501D5A)'!U81)</f>
        <v> </v>
      </c>
      <c r="W56" s="764" t="str">
        <f aca="false">IF('rotation(W501D5A)'!V81=0," ",$B56*'rotation(W501D5A)'!V81)</f>
        <v> </v>
      </c>
      <c r="X56" s="666" t="n">
        <f aca="false">SUM(D56:W56)</f>
        <v>0</v>
      </c>
    </row>
    <row r="57" customFormat="false" ht="12.75" hidden="false" customHeight="false" outlineLevel="0" collapsed="false">
      <c r="A57" s="770" t="str">
        <f aca="false">'GTDB(W501D5A)'!A34</f>
        <v>Comp Rotor Blades</v>
      </c>
      <c r="B57" s="763" t="n">
        <f aca="false">'GTDB(W501D5A)'!D34</f>
        <v>63</v>
      </c>
      <c r="C57" s="764"/>
      <c r="D57" s="764" t="str">
        <f aca="false">IF('rotation(W501D5A)'!C85=0," ",$B57*'rotation(W501D5A)'!C85)</f>
        <v> </v>
      </c>
      <c r="E57" s="764" t="str">
        <f aca="false">IF('rotation(W501D5A)'!D85=0," ",$B57*'rotation(W501D5A)'!D85)</f>
        <v> </v>
      </c>
      <c r="F57" s="764" t="str">
        <f aca="false">IF('rotation(W501D5A)'!E85=0," ",$B57*'rotation(W501D5A)'!E85)</f>
        <v> </v>
      </c>
      <c r="G57" s="764" t="str">
        <f aca="false">IF('rotation(W501D5A)'!F85=0," ",$B57*'rotation(W501D5A)'!F85)</f>
        <v> </v>
      </c>
      <c r="H57" s="764" t="str">
        <f aca="false">IF('rotation(W501D5A)'!G85=0," ",$B57*'rotation(W501D5A)'!G85)</f>
        <v> </v>
      </c>
      <c r="I57" s="764" t="str">
        <f aca="false">IF('rotation(W501D5A)'!H85=0," ",$B57*'rotation(W501D5A)'!H85)</f>
        <v> </v>
      </c>
      <c r="J57" s="764" t="str">
        <f aca="false">IF('rotation(W501D5A)'!I85=0," ",$B57*'rotation(W501D5A)'!I85)</f>
        <v> </v>
      </c>
      <c r="K57" s="764" t="str">
        <f aca="false">IF('rotation(W501D5A)'!J85=0," ",$B57*'rotation(W501D5A)'!J85)</f>
        <v> </v>
      </c>
      <c r="L57" s="764" t="str">
        <f aca="false">IF('rotation(W501D5A)'!K85=0," ",$B57*'rotation(W501D5A)'!K85)</f>
        <v> </v>
      </c>
      <c r="M57" s="764" t="str">
        <f aca="false">IF('rotation(W501D5A)'!L85=0," ",$B57*'rotation(W501D5A)'!L85)</f>
        <v> </v>
      </c>
      <c r="N57" s="764" t="str">
        <f aca="false">IF('rotation(W501D5A)'!M85=0," ",$B57*'rotation(W501D5A)'!M85)</f>
        <v> </v>
      </c>
      <c r="O57" s="764" t="str">
        <f aca="false">IF('rotation(W501D5A)'!N85=0," ",$B57*'rotation(W501D5A)'!N85)</f>
        <v> </v>
      </c>
      <c r="P57" s="764" t="str">
        <f aca="false">IF('rotation(W501D5A)'!O85=0," ",$B57*'rotation(W501D5A)'!O85)</f>
        <v> </v>
      </c>
      <c r="Q57" s="764" t="str">
        <f aca="false">IF('rotation(W501D5A)'!P85=0," ",$B57*'rotation(W501D5A)'!P85)</f>
        <v> </v>
      </c>
      <c r="R57" s="764" t="str">
        <f aca="false">IF('rotation(W501D5A)'!Q85=0," ",$B57*'rotation(W501D5A)'!Q85)</f>
        <v> </v>
      </c>
      <c r="S57" s="764" t="str">
        <f aca="false">IF('rotation(W501D5A)'!R85=0," ",$B57*'rotation(W501D5A)'!R85)</f>
        <v> </v>
      </c>
      <c r="T57" s="764" t="str">
        <f aca="false">IF('rotation(W501D5A)'!S85=0," ",$B57*'rotation(W501D5A)'!S85)</f>
        <v> </v>
      </c>
      <c r="U57" s="764" t="str">
        <f aca="false">IF('rotation(W501D5A)'!T85=0," ",$B57*'rotation(W501D5A)'!T85)</f>
        <v> </v>
      </c>
      <c r="V57" s="764" t="str">
        <f aca="false">IF('rotation(W501D5A)'!U85=0," ",$B57*'rotation(W501D5A)'!U85)</f>
        <v> </v>
      </c>
      <c r="W57" s="764" t="str">
        <f aca="false">IF('rotation(W501D5A)'!V85=0," ",$B57*'rotation(W501D5A)'!V85)</f>
        <v> </v>
      </c>
      <c r="X57" s="666" t="n">
        <f aca="false">SUM(D57:W57)</f>
        <v>0</v>
      </c>
    </row>
    <row r="58" customFormat="false" ht="12.75" hidden="false" customHeight="false" outlineLevel="0" collapsed="false">
      <c r="A58" s="770" t="str">
        <f aca="false">'GTDB(W501D5A)'!A35</f>
        <v>Comp Diaphragms</v>
      </c>
      <c r="B58" s="763" t="n">
        <f aca="false">'GTDB(W501D5A)'!D35</f>
        <v>63</v>
      </c>
      <c r="C58" s="764"/>
      <c r="D58" s="764" t="str">
        <f aca="false">IF('rotation(W501D5A)'!C89=0," ",$B58*'rotation(W501D5A)'!C89)</f>
        <v> </v>
      </c>
      <c r="E58" s="764" t="str">
        <f aca="false">IF('rotation(W501D5A)'!D89=0," ",$B58*'rotation(W501D5A)'!D89)</f>
        <v> </v>
      </c>
      <c r="F58" s="764" t="str">
        <f aca="false">IF('rotation(W501D5A)'!E89=0," ",$B58*'rotation(W501D5A)'!E89)</f>
        <v> </v>
      </c>
      <c r="G58" s="764" t="str">
        <f aca="false">IF('rotation(W501D5A)'!F89=0," ",$B58*'rotation(W501D5A)'!F89)</f>
        <v> </v>
      </c>
      <c r="H58" s="764" t="str">
        <f aca="false">IF('rotation(W501D5A)'!G89=0," ",$B58*'rotation(W501D5A)'!G89)</f>
        <v> </v>
      </c>
      <c r="I58" s="764" t="str">
        <f aca="false">IF('rotation(W501D5A)'!H89=0," ",$B58*'rotation(W501D5A)'!H89)</f>
        <v> </v>
      </c>
      <c r="J58" s="764" t="str">
        <f aca="false">IF('rotation(W501D5A)'!I89=0," ",$B58*'rotation(W501D5A)'!I89)</f>
        <v> </v>
      </c>
      <c r="K58" s="764" t="str">
        <f aca="false">IF('rotation(W501D5A)'!J89=0," ",$B58*'rotation(W501D5A)'!J89)</f>
        <v> </v>
      </c>
      <c r="L58" s="764" t="str">
        <f aca="false">IF('rotation(W501D5A)'!K89=0," ",$B58*'rotation(W501D5A)'!K89)</f>
        <v> </v>
      </c>
      <c r="M58" s="764" t="str">
        <f aca="false">IF('rotation(W501D5A)'!L89=0," ",$B58*'rotation(W501D5A)'!L89)</f>
        <v> </v>
      </c>
      <c r="N58" s="764" t="str">
        <f aca="false">IF('rotation(W501D5A)'!M89=0," ",$B58*'rotation(W501D5A)'!M89)</f>
        <v> </v>
      </c>
      <c r="O58" s="764" t="str">
        <f aca="false">IF('rotation(W501D5A)'!N89=0," ",$B58*'rotation(W501D5A)'!N89)</f>
        <v> </v>
      </c>
      <c r="P58" s="764" t="str">
        <f aca="false">IF('rotation(W501D5A)'!O89=0," ",$B58*'rotation(W501D5A)'!O89)</f>
        <v> </v>
      </c>
      <c r="Q58" s="764" t="str">
        <f aca="false">IF('rotation(W501D5A)'!P89=0," ",$B58*'rotation(W501D5A)'!P89)</f>
        <v> </v>
      </c>
      <c r="R58" s="764" t="str">
        <f aca="false">IF('rotation(W501D5A)'!Q89=0," ",$B58*'rotation(W501D5A)'!Q89)</f>
        <v> </v>
      </c>
      <c r="S58" s="764" t="str">
        <f aca="false">IF('rotation(W501D5A)'!R89=0," ",$B58*'rotation(W501D5A)'!R89)</f>
        <v> </v>
      </c>
      <c r="T58" s="764" t="str">
        <f aca="false">IF('rotation(W501D5A)'!S89=0," ",$B58*'rotation(W501D5A)'!S89)</f>
        <v> </v>
      </c>
      <c r="U58" s="764" t="str">
        <f aca="false">IF('rotation(W501D5A)'!T89=0," ",$B58*'rotation(W501D5A)'!T89)</f>
        <v> </v>
      </c>
      <c r="V58" s="764" t="str">
        <f aca="false">IF('rotation(W501D5A)'!U89=0," ",$B58*'rotation(W501D5A)'!U89)</f>
        <v> </v>
      </c>
      <c r="W58" s="764" t="str">
        <f aca="false">IF('rotation(W501D5A)'!V89=0," ",$B58*'rotation(W501D5A)'!V89)</f>
        <v> </v>
      </c>
      <c r="X58" s="666" t="n">
        <f aca="false">SUM(D58:W58)</f>
        <v>0</v>
      </c>
    </row>
    <row r="59" customFormat="false" ht="12.75" hidden="false" customHeight="false" outlineLevel="0" collapsed="false">
      <c r="A59" s="771"/>
      <c r="B59" s="681"/>
      <c r="C59" s="681"/>
      <c r="D59" s="681"/>
      <c r="E59" s="681"/>
      <c r="F59" s="681"/>
      <c r="G59" s="681"/>
      <c r="H59" s="681"/>
      <c r="I59" s="681"/>
      <c r="J59" s="681"/>
      <c r="K59" s="681"/>
      <c r="L59" s="681"/>
      <c r="M59" s="681"/>
      <c r="N59" s="681"/>
      <c r="O59" s="681"/>
      <c r="P59" s="681"/>
      <c r="Q59" s="681"/>
      <c r="R59" s="681"/>
      <c r="S59" s="681"/>
      <c r="T59" s="681"/>
      <c r="U59" s="681"/>
      <c r="V59" s="681"/>
      <c r="W59" s="681"/>
      <c r="X59" s="666"/>
    </row>
    <row r="60" customFormat="false" ht="12.75" hidden="false" customHeight="false" outlineLevel="0" collapsed="false">
      <c r="A60" s="772" t="s">
        <v>1370</v>
      </c>
      <c r="B60" s="765" t="n">
        <v>0.02</v>
      </c>
      <c r="C60" s="681"/>
      <c r="D60" s="681" t="n">
        <f aca="false">SUM(D40:D58)*(1-$B60)</f>
        <v>0</v>
      </c>
      <c r="E60" s="681" t="n">
        <f aca="false">SUM(E40:E58)*(1-$B60)</f>
        <v>0</v>
      </c>
      <c r="F60" s="681" t="n">
        <f aca="false">SUM(F40:F58)*(1-$B60)</f>
        <v>0</v>
      </c>
      <c r="G60" s="681" t="n">
        <f aca="false">SUM(G40:G58)*(1-$B60)</f>
        <v>0</v>
      </c>
      <c r="H60" s="681" t="n">
        <f aca="false">SUM(H40:H58)*(1-$B60)</f>
        <v>0</v>
      </c>
      <c r="I60" s="681" t="n">
        <f aca="false">SUM(I40:I58)*(1-$B60)</f>
        <v>0</v>
      </c>
      <c r="J60" s="681" t="n">
        <f aca="false">SUM(J40:J58)*(1-$B60)</f>
        <v>0</v>
      </c>
      <c r="K60" s="681" t="n">
        <f aca="false">SUM(K40:K58)*(1-$B60)</f>
        <v>0</v>
      </c>
      <c r="L60" s="681" t="n">
        <f aca="false">SUM(L40:L58)*(1-$B60)</f>
        <v>0</v>
      </c>
      <c r="M60" s="681" t="n">
        <f aca="false">SUM(M40:M58)*(1-$B60)</f>
        <v>0</v>
      </c>
      <c r="N60" s="681" t="n">
        <f aca="false">SUM(N40:N58)*(1-$B60)</f>
        <v>0</v>
      </c>
      <c r="O60" s="681" t="n">
        <f aca="false">SUM(O40:O58)*(1-$B60)</f>
        <v>0</v>
      </c>
      <c r="P60" s="681" t="n">
        <f aca="false">SUM(P40:P58)*(1-$B60)</f>
        <v>0</v>
      </c>
      <c r="Q60" s="681" t="n">
        <f aca="false">SUM(Q40:Q58)*(1-$B60)</f>
        <v>0</v>
      </c>
      <c r="R60" s="681" t="n">
        <f aca="false">SUM(R40:R58)*(1-$B60)</f>
        <v>0</v>
      </c>
      <c r="S60" s="681" t="n">
        <f aca="false">SUM(S40:S58)*(1-$B60)</f>
        <v>0</v>
      </c>
      <c r="T60" s="681" t="n">
        <f aca="false">SUM(T40:T58)*(1-$B60)</f>
        <v>0</v>
      </c>
      <c r="U60" s="681" t="n">
        <f aca="false">SUM(U40:U58)*(1-$B60)</f>
        <v>0</v>
      </c>
      <c r="V60" s="681" t="n">
        <f aca="false">SUM(V40:V58)*(1-$B60)</f>
        <v>0</v>
      </c>
      <c r="W60" s="681" t="n">
        <f aca="false">SUM(W40:W58)*(1-$B60)</f>
        <v>0</v>
      </c>
      <c r="X60" s="666" t="n">
        <f aca="false">SUM(D60:W60)</f>
        <v>0</v>
      </c>
    </row>
    <row r="61" customFormat="false" ht="12.75" hidden="false" customHeight="false" outlineLevel="0" collapsed="false">
      <c r="A61" s="772" t="s">
        <v>1371</v>
      </c>
      <c r="B61" s="765" t="n">
        <v>0.01</v>
      </c>
      <c r="C61" s="681"/>
      <c r="D61" s="681" t="n">
        <f aca="false">D60*(1+$B61)</f>
        <v>0</v>
      </c>
      <c r="E61" s="681" t="n">
        <f aca="false">E60*(1+$B61)</f>
        <v>0</v>
      </c>
      <c r="F61" s="681" t="n">
        <f aca="false">F60*(1+$B61)</f>
        <v>0</v>
      </c>
      <c r="G61" s="681" t="n">
        <f aca="false">G60*(1+$B61)</f>
        <v>0</v>
      </c>
      <c r="H61" s="681" t="n">
        <f aca="false">H60*(1+$B61)</f>
        <v>0</v>
      </c>
      <c r="I61" s="681" t="n">
        <f aca="false">I60*(1+$B61)</f>
        <v>0</v>
      </c>
      <c r="J61" s="681" t="n">
        <f aca="false">J60*(1+$B61)</f>
        <v>0</v>
      </c>
      <c r="K61" s="681" t="n">
        <f aca="false">K60*(1+$B61)</f>
        <v>0</v>
      </c>
      <c r="L61" s="681" t="n">
        <f aca="false">L60*(1+$B61)</f>
        <v>0</v>
      </c>
      <c r="M61" s="681" t="n">
        <f aca="false">M60*(1+$B61)</f>
        <v>0</v>
      </c>
      <c r="N61" s="681" t="n">
        <f aca="false">N60*(1+$B61)</f>
        <v>0</v>
      </c>
      <c r="O61" s="681" t="n">
        <f aca="false">O60*(1+$B61)</f>
        <v>0</v>
      </c>
      <c r="P61" s="681" t="n">
        <f aca="false">P60*(1+$B61)</f>
        <v>0</v>
      </c>
      <c r="Q61" s="681" t="n">
        <f aca="false">Q60*(1+$B61)</f>
        <v>0</v>
      </c>
      <c r="R61" s="681" t="n">
        <f aca="false">R60*(1+$B61)</f>
        <v>0</v>
      </c>
      <c r="S61" s="681" t="n">
        <f aca="false">S60*(1+$B61)</f>
        <v>0</v>
      </c>
      <c r="T61" s="681" t="n">
        <f aca="false">T60*(1+$B61)</f>
        <v>0</v>
      </c>
      <c r="U61" s="681" t="n">
        <f aca="false">U60*(1+$B61)</f>
        <v>0</v>
      </c>
      <c r="V61" s="681" t="n">
        <f aca="false">V60*(1+$B61)</f>
        <v>0</v>
      </c>
      <c r="W61" s="681" t="n">
        <f aca="false">W60*(1+$B61)</f>
        <v>0</v>
      </c>
      <c r="X61" s="766" t="n">
        <f aca="false">SUM(D61:W61)</f>
        <v>0</v>
      </c>
    </row>
    <row r="62" customFormat="false" ht="12.75" hidden="false" customHeight="false" outlineLevel="0" collapsed="false">
      <c r="B62" s="666"/>
      <c r="C62" s="666"/>
      <c r="D62" s="666"/>
      <c r="E62" s="666"/>
      <c r="F62" s="666"/>
      <c r="G62" s="666"/>
      <c r="H62" s="666"/>
      <c r="I62" s="666"/>
      <c r="J62" s="666"/>
      <c r="K62" s="666"/>
      <c r="L62" s="666"/>
      <c r="M62" s="666"/>
      <c r="N62" s="666"/>
      <c r="O62" s="666"/>
      <c r="P62" s="666"/>
      <c r="Q62" s="666"/>
      <c r="R62" s="666"/>
      <c r="S62" s="666"/>
      <c r="T62" s="666"/>
      <c r="U62" s="666"/>
      <c r="V62" s="666"/>
      <c r="W62" s="666"/>
      <c r="X62" s="666"/>
    </row>
    <row r="63" customFormat="false" ht="12.75" hidden="false" customHeight="false" outlineLevel="0" collapsed="false">
      <c r="A63" s="756" t="s">
        <v>1372</v>
      </c>
      <c r="B63" s="666"/>
      <c r="C63" s="666"/>
      <c r="D63" s="666" t="n">
        <f aca="false">D10+D35+D61</f>
        <v>0</v>
      </c>
      <c r="E63" s="666" t="n">
        <f aca="false">E10+E35+E61</f>
        <v>0</v>
      </c>
      <c r="F63" s="666" t="n">
        <f aca="false">F10+F35+F61</f>
        <v>0</v>
      </c>
      <c r="G63" s="666" t="n">
        <f aca="false">G10+G35+G61</f>
        <v>0</v>
      </c>
      <c r="H63" s="666" t="n">
        <f aca="false">H10+H35+H61</f>
        <v>0</v>
      </c>
      <c r="I63" s="666" t="n">
        <f aca="false">I10+I35+I61</f>
        <v>0</v>
      </c>
      <c r="J63" s="666" t="n">
        <f aca="false">J10+J35+J61</f>
        <v>0</v>
      </c>
      <c r="K63" s="666" t="n">
        <f aca="false">K10+K35+K61</f>
        <v>0</v>
      </c>
      <c r="L63" s="666" t="n">
        <f aca="false">L10+L35+L61</f>
        <v>0</v>
      </c>
      <c r="M63" s="666" t="n">
        <f aca="false">M10+M35+M61</f>
        <v>0</v>
      </c>
      <c r="N63" s="666" t="n">
        <f aca="false">N10+N35+N61</f>
        <v>0</v>
      </c>
      <c r="O63" s="666" t="n">
        <f aca="false">O10+O35+O61</f>
        <v>0</v>
      </c>
      <c r="P63" s="666" t="n">
        <f aca="false">P10+P35+P61</f>
        <v>0</v>
      </c>
      <c r="Q63" s="666" t="n">
        <f aca="false">Q10+Q35+Q61</f>
        <v>0</v>
      </c>
      <c r="R63" s="666" t="n">
        <f aca="false">R10+R35+R61</f>
        <v>0</v>
      </c>
      <c r="S63" s="666" t="n">
        <f aca="false">S10+S35+S61</f>
        <v>0</v>
      </c>
      <c r="T63" s="666" t="n">
        <f aca="false">T10+T35+T61</f>
        <v>0</v>
      </c>
      <c r="U63" s="666" t="n">
        <f aca="false">U10+U35+U61</f>
        <v>0</v>
      </c>
      <c r="V63" s="666" t="n">
        <f aca="false">V10+V35+V61</f>
        <v>0</v>
      </c>
      <c r="W63" s="666" t="n">
        <f aca="false">W10+W35+W61</f>
        <v>0</v>
      </c>
      <c r="X63" s="773" t="n">
        <f aca="false">SUM(D63:W63)</f>
        <v>0</v>
      </c>
    </row>
    <row r="64" customFormat="false" ht="12.75" hidden="false" customHeight="false" outlineLevel="0" collapsed="false"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66"/>
      <c r="N64" s="666"/>
      <c r="O64" s="666"/>
      <c r="P64" s="666"/>
      <c r="Q64" s="666"/>
      <c r="R64" s="666"/>
      <c r="S64" s="666"/>
      <c r="T64" s="666"/>
      <c r="U64" s="666"/>
      <c r="V64" s="666"/>
      <c r="W64" s="666"/>
      <c r="X64" s="666"/>
    </row>
    <row r="65" customFormat="false" ht="12.75" hidden="false" customHeight="false" outlineLevel="0" collapsed="false">
      <c r="B65" s="666"/>
      <c r="C65" s="666"/>
      <c r="D65" s="666"/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6"/>
      <c r="Q65" s="666"/>
      <c r="R65" s="666"/>
      <c r="S65" s="666"/>
      <c r="T65" s="666"/>
      <c r="U65" s="666"/>
      <c r="V65" s="666"/>
      <c r="W65" s="666"/>
      <c r="X65" s="666"/>
    </row>
    <row r="66" customFormat="false" ht="12.75" hidden="false" customHeight="false" outlineLevel="0" collapsed="false">
      <c r="B66" s="666"/>
      <c r="C66" s="666"/>
      <c r="D66" s="666"/>
      <c r="E66" s="666"/>
      <c r="F66" s="666"/>
      <c r="G66" s="666"/>
      <c r="H66" s="666"/>
      <c r="I66" s="666"/>
      <c r="J66" s="666"/>
      <c r="K66" s="666"/>
      <c r="L66" s="666"/>
      <c r="M66" s="666"/>
      <c r="N66" s="666"/>
      <c r="O66" s="666"/>
      <c r="P66" s="666"/>
      <c r="Q66" s="666"/>
      <c r="R66" s="666"/>
      <c r="S66" s="666"/>
      <c r="T66" s="666"/>
      <c r="U66" s="666"/>
      <c r="V66" s="666"/>
      <c r="W66" s="666"/>
      <c r="X66" s="666"/>
    </row>
    <row r="67" customFormat="false" ht="12.75" hidden="false" customHeight="false" outlineLevel="0" collapsed="false">
      <c r="B67" s="666"/>
      <c r="C67" s="666"/>
      <c r="D67" s="666"/>
      <c r="E67" s="666"/>
      <c r="F67" s="666"/>
      <c r="G67" s="666"/>
      <c r="H67" s="666"/>
      <c r="I67" s="666"/>
      <c r="J67" s="666"/>
      <c r="K67" s="666"/>
      <c r="L67" s="666"/>
      <c r="M67" s="666"/>
      <c r="N67" s="666"/>
      <c r="O67" s="666"/>
      <c r="P67" s="666"/>
      <c r="Q67" s="666"/>
      <c r="R67" s="666"/>
      <c r="S67" s="666"/>
      <c r="T67" s="666"/>
      <c r="U67" s="666"/>
      <c r="V67" s="666"/>
      <c r="W67" s="666"/>
      <c r="X67" s="666"/>
    </row>
    <row r="68" customFormat="false" ht="12.75" hidden="false" customHeight="false" outlineLevel="0" collapsed="false">
      <c r="B68" s="666"/>
      <c r="C68" s="666"/>
      <c r="D68" s="666"/>
      <c r="E68" s="666"/>
      <c r="F68" s="666"/>
      <c r="G68" s="666"/>
      <c r="H68" s="666"/>
      <c r="I68" s="666"/>
      <c r="J68" s="666"/>
      <c r="K68" s="666"/>
      <c r="L68" s="666"/>
      <c r="M68" s="666"/>
      <c r="N68" s="666"/>
      <c r="O68" s="666"/>
      <c r="P68" s="666"/>
      <c r="Q68" s="666"/>
      <c r="R68" s="666"/>
      <c r="S68" s="666"/>
      <c r="T68" s="666"/>
      <c r="U68" s="666"/>
      <c r="V68" s="666"/>
      <c r="W68" s="666"/>
      <c r="X68" s="666"/>
    </row>
    <row r="69" customFormat="false" ht="12.75" hidden="false" customHeight="false" outlineLevel="0" collapsed="false">
      <c r="B69" s="666"/>
      <c r="C69" s="666"/>
      <c r="D69" s="666"/>
      <c r="E69" s="666"/>
      <c r="F69" s="666"/>
      <c r="G69" s="666"/>
      <c r="H69" s="666"/>
      <c r="I69" s="666"/>
      <c r="J69" s="666"/>
      <c r="K69" s="666"/>
      <c r="L69" s="666"/>
      <c r="M69" s="666"/>
      <c r="N69" s="666"/>
      <c r="O69" s="666"/>
      <c r="P69" s="666"/>
      <c r="Q69" s="666"/>
      <c r="R69" s="666"/>
      <c r="S69" s="666"/>
      <c r="T69" s="666"/>
      <c r="U69" s="666"/>
      <c r="V69" s="666"/>
      <c r="W69" s="666"/>
      <c r="X69" s="666"/>
    </row>
    <row r="70" customFormat="false" ht="12.75" hidden="false" customHeight="false" outlineLevel="0" collapsed="false">
      <c r="B70" s="666"/>
      <c r="C70" s="666"/>
      <c r="D70" s="666"/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6"/>
      <c r="Q70" s="666"/>
      <c r="R70" s="666"/>
      <c r="S70" s="666"/>
      <c r="T70" s="666"/>
      <c r="U70" s="666"/>
      <c r="V70" s="666"/>
      <c r="W70" s="666"/>
      <c r="X70" s="666"/>
    </row>
    <row r="71" customFormat="false" ht="12.75" hidden="false" customHeight="false" outlineLevel="0" collapsed="false">
      <c r="B71" s="666"/>
      <c r="C71" s="666"/>
      <c r="D71" s="666"/>
      <c r="E71" s="666"/>
      <c r="F71" s="666"/>
      <c r="G71" s="666"/>
      <c r="H71" s="666"/>
      <c r="I71" s="666"/>
      <c r="J71" s="666"/>
      <c r="K71" s="666"/>
      <c r="L71" s="666"/>
      <c r="M71" s="666"/>
      <c r="N71" s="666"/>
      <c r="O71" s="666"/>
      <c r="P71" s="666"/>
      <c r="Q71" s="666"/>
      <c r="R71" s="666"/>
      <c r="S71" s="666"/>
      <c r="T71" s="666"/>
      <c r="U71" s="666"/>
      <c r="V71" s="666"/>
      <c r="W71" s="666"/>
      <c r="X71" s="666"/>
    </row>
    <row r="72" customFormat="false" ht="12.75" hidden="false" customHeight="false" outlineLevel="0" collapsed="false">
      <c r="B72" s="666"/>
      <c r="C72" s="666"/>
      <c r="D72" s="666"/>
      <c r="E72" s="666"/>
      <c r="F72" s="666"/>
      <c r="G72" s="666"/>
      <c r="H72" s="666"/>
      <c r="I72" s="666"/>
      <c r="J72" s="666"/>
      <c r="K72" s="666"/>
      <c r="L72" s="666"/>
      <c r="M72" s="666"/>
      <c r="N72" s="666"/>
      <c r="O72" s="666"/>
      <c r="P72" s="666"/>
      <c r="Q72" s="666"/>
      <c r="R72" s="666"/>
      <c r="S72" s="666"/>
      <c r="T72" s="666"/>
      <c r="U72" s="666"/>
      <c r="V72" s="666"/>
      <c r="W72" s="666"/>
      <c r="X72" s="666"/>
    </row>
    <row r="73" customFormat="false" ht="12.75" hidden="false" customHeight="false" outlineLevel="0" collapsed="false">
      <c r="B73" s="666"/>
      <c r="C73" s="666"/>
      <c r="D73" s="666"/>
      <c r="E73" s="666"/>
      <c r="F73" s="666"/>
      <c r="G73" s="666"/>
      <c r="H73" s="666"/>
      <c r="I73" s="666"/>
      <c r="J73" s="666"/>
      <c r="K73" s="666"/>
      <c r="L73" s="666"/>
      <c r="M73" s="666"/>
      <c r="N73" s="666"/>
      <c r="O73" s="666"/>
      <c r="P73" s="666"/>
      <c r="Q73" s="666"/>
      <c r="R73" s="666"/>
      <c r="S73" s="666"/>
      <c r="T73" s="666"/>
      <c r="U73" s="666"/>
      <c r="V73" s="666"/>
      <c r="W73" s="666"/>
      <c r="X73" s="666"/>
    </row>
    <row r="74" customFormat="false" ht="12.75" hidden="false" customHeight="false" outlineLevel="0" collapsed="false">
      <c r="B74" s="666"/>
      <c r="C74" s="666"/>
      <c r="D74" s="666"/>
      <c r="E74" s="666"/>
      <c r="F74" s="666"/>
      <c r="G74" s="666"/>
      <c r="H74" s="666"/>
      <c r="I74" s="666"/>
      <c r="J74" s="666"/>
      <c r="K74" s="666"/>
      <c r="L74" s="666"/>
      <c r="M74" s="666"/>
      <c r="N74" s="666"/>
      <c r="O74" s="666"/>
      <c r="P74" s="666"/>
      <c r="Q74" s="666"/>
      <c r="R74" s="666"/>
      <c r="S74" s="666"/>
      <c r="T74" s="666"/>
      <c r="U74" s="666"/>
      <c r="V74" s="666"/>
      <c r="W74" s="666"/>
      <c r="X74" s="666"/>
    </row>
    <row r="75" customFormat="false" ht="12.75" hidden="false" customHeight="false" outlineLevel="0" collapsed="false">
      <c r="B75" s="666"/>
      <c r="C75" s="666"/>
      <c r="D75" s="666"/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6"/>
      <c r="Q75" s="666"/>
      <c r="R75" s="666"/>
      <c r="S75" s="666"/>
      <c r="T75" s="666"/>
      <c r="U75" s="666"/>
      <c r="V75" s="666"/>
      <c r="W75" s="666"/>
      <c r="X75" s="666"/>
    </row>
    <row r="76" customFormat="false" ht="12.75" hidden="false" customHeight="false" outlineLevel="0" collapsed="false">
      <c r="B76" s="666"/>
      <c r="C76" s="666"/>
      <c r="D76" s="666"/>
      <c r="E76" s="666"/>
      <c r="F76" s="666"/>
      <c r="G76" s="666"/>
      <c r="H76" s="666"/>
      <c r="I76" s="666"/>
      <c r="J76" s="666"/>
      <c r="K76" s="666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6"/>
      <c r="X76" s="66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92"/>
  <sheetViews>
    <sheetView showFormulas="false" showGridLines="true" showRowColHeaders="true" showZeros="true" rightToLeft="false" tabSelected="false" showOutlineSymbols="true" defaultGridColor="true" view="normal" topLeftCell="H1" colorId="64" zoomScale="75" zoomScaleNormal="75" zoomScalePageLayoutView="100" workbookViewId="0">
      <selection pane="topLeft" activeCell="X7" activeCellId="0" sqref="X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74" t="s">
        <v>1374</v>
      </c>
    </row>
    <row r="4" customFormat="false" ht="20.25" hidden="false" customHeight="false" outlineLevel="0" collapsed="false">
      <c r="A4" s="774" t="s">
        <v>1375</v>
      </c>
      <c r="B4" s="17"/>
      <c r="C4" s="17"/>
      <c r="D4" s="17"/>
      <c r="W4" s="775" t="str">
        <f aca="false">'GTDB(W501D5A)'!B4</f>
        <v>W501D5A</v>
      </c>
      <c r="X4" s="153" t="s">
        <v>1376</v>
      </c>
      <c r="Y4" s="153" t="s">
        <v>1377</v>
      </c>
      <c r="Z4" s="157" t="s">
        <v>1007</v>
      </c>
      <c r="AA4" s="153" t="s">
        <v>1378</v>
      </c>
    </row>
    <row r="5" customFormat="false" ht="12.75" hidden="false" customHeight="false" outlineLevel="0" collapsed="false">
      <c r="A5" s="153" t="s">
        <v>1327</v>
      </c>
      <c r="B5" s="153" t="s">
        <v>1007</v>
      </c>
      <c r="C5" s="153" t="n">
        <v>1</v>
      </c>
      <c r="D5" s="153" t="n">
        <v>2</v>
      </c>
      <c r="E5" s="153" t="n">
        <v>3</v>
      </c>
      <c r="F5" s="153" t="n">
        <v>4</v>
      </c>
      <c r="G5" s="153" t="n">
        <v>5</v>
      </c>
      <c r="H5" s="153" t="n">
        <v>6</v>
      </c>
      <c r="I5" s="153" t="n">
        <v>7</v>
      </c>
      <c r="J5" s="153" t="n">
        <v>8</v>
      </c>
      <c r="K5" s="153" t="n">
        <v>9</v>
      </c>
      <c r="L5" s="153" t="n">
        <v>10</v>
      </c>
      <c r="M5" s="153" t="n">
        <v>11</v>
      </c>
      <c r="N5" s="153" t="n">
        <v>12</v>
      </c>
      <c r="O5" s="153" t="n">
        <v>13</v>
      </c>
      <c r="P5" s="153" t="n">
        <v>14</v>
      </c>
      <c r="Q5" s="153" t="n">
        <v>15</v>
      </c>
      <c r="R5" s="153" t="n">
        <v>16</v>
      </c>
      <c r="S5" s="153" t="n">
        <v>17</v>
      </c>
      <c r="T5" s="153" t="n">
        <v>18</v>
      </c>
      <c r="U5" s="153" t="n">
        <v>19</v>
      </c>
      <c r="V5" s="380" t="n">
        <v>20</v>
      </c>
      <c r="W5" s="511" t="s">
        <v>1379</v>
      </c>
      <c r="X5" s="776" t="n">
        <v>20</v>
      </c>
      <c r="Y5" s="776" t="n">
        <f aca="false">20-X5</f>
        <v>0</v>
      </c>
      <c r="Z5" s="157" t="s">
        <v>1007</v>
      </c>
      <c r="AA5" s="777"/>
    </row>
    <row r="6" customFormat="false" ht="13.5" hidden="false" customHeight="false" outlineLevel="0" collapsed="false">
      <c r="A6" s="153" t="s">
        <v>1380</v>
      </c>
      <c r="B6" s="520"/>
      <c r="C6" s="153" t="n">
        <f aca="false">B6+IF(C5&gt;$X$5,$Y$6,$X$6)</f>
        <v>0</v>
      </c>
      <c r="D6" s="153" t="n">
        <f aca="false">C6+IF(D5&gt;$X$5,$Y$6,$X$6)</f>
        <v>0</v>
      </c>
      <c r="E6" s="153" t="n">
        <f aca="false">D6+IF(E5&gt;$X$5,$Y$6,$X$6)</f>
        <v>0</v>
      </c>
      <c r="F6" s="153" t="n">
        <f aca="false">E6+IF(F5&gt;$X$5,$Y$6,$X$6)</f>
        <v>0</v>
      </c>
      <c r="G6" s="153" t="n">
        <f aca="false">F6+IF(G5&gt;$X$5,$Y$6,$X$6)</f>
        <v>0</v>
      </c>
      <c r="H6" s="153" t="n">
        <f aca="false">G6+IF(H5&gt;$X$5,$Y$6,$X$6)</f>
        <v>0</v>
      </c>
      <c r="I6" s="153" t="n">
        <f aca="false">H6+IF(I5&gt;$X$5,$Y$6,$X$6)</f>
        <v>0</v>
      </c>
      <c r="J6" s="153" t="n">
        <f aca="false">I6+IF(J5&gt;$X$5,$Y$6,$X$6)</f>
        <v>0</v>
      </c>
      <c r="K6" s="153" t="n">
        <f aca="false">J6+IF(K5&gt;$X$5,$Y$6,$X$6)</f>
        <v>0</v>
      </c>
      <c r="L6" s="153" t="n">
        <f aca="false">K6+IF(L5&gt;$X$5,$Y$6,$X$6)</f>
        <v>0</v>
      </c>
      <c r="M6" s="153" t="n">
        <f aca="false">L6+IF(M5&gt;$X$5,$Y$6,$X$6)</f>
        <v>0</v>
      </c>
      <c r="N6" s="153" t="n">
        <f aca="false">M6+IF(N5&gt;$X$5,$Y$6,$X$6)</f>
        <v>0</v>
      </c>
      <c r="O6" s="153" t="n">
        <f aca="false">N6+IF(O5&gt;$X$5,$Y$6,$X$6)</f>
        <v>0</v>
      </c>
      <c r="P6" s="153" t="n">
        <f aca="false">O6+IF(P5&gt;$X$5,$Y$6,$X$6)</f>
        <v>0</v>
      </c>
      <c r="Q6" s="153" t="n">
        <f aca="false">P6+IF(Q5&gt;$X$5,$Y$6,$X$6)</f>
        <v>0</v>
      </c>
      <c r="R6" s="153" t="n">
        <f aca="false">Q6+IF(R5&gt;$X$5,$Y$6,$X$6)</f>
        <v>0</v>
      </c>
      <c r="S6" s="153" t="n">
        <f aca="false">R6+IF(S5&gt;$X$5,$Y$6,$X$6)</f>
        <v>0</v>
      </c>
      <c r="T6" s="153" t="n">
        <f aca="false">S6+IF(T5&gt;$X$5,$Y$6,$X$6)</f>
        <v>0</v>
      </c>
      <c r="U6" s="153" t="n">
        <f aca="false">T6+IF(U5&gt;$X$5,$Y$6,$X$6)</f>
        <v>0</v>
      </c>
      <c r="V6" s="153" t="n">
        <f aca="false">U6+IF(V5&gt;$X$5,$Y$6,$X$6)</f>
        <v>0</v>
      </c>
      <c r="W6" s="778" t="s">
        <v>1381</v>
      </c>
      <c r="X6" s="779" t="n">
        <f aca="false">IF(X7=0,0,Scope!F41)</f>
        <v>0</v>
      </c>
      <c r="Y6" s="780" t="n">
        <v>8000</v>
      </c>
      <c r="Z6" s="781"/>
      <c r="AA6" s="777"/>
      <c r="AD6" s="782" t="n">
        <v>1</v>
      </c>
    </row>
    <row r="7" customFormat="false" ht="13.5" hidden="false" customHeight="false" outlineLevel="0" collapsed="false">
      <c r="A7" s="157"/>
      <c r="B7" s="157" t="s">
        <v>1007</v>
      </c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783" t="s">
        <v>1382</v>
      </c>
      <c r="X7" s="784" t="n">
        <v>0</v>
      </c>
      <c r="Y7" s="785"/>
      <c r="Z7" s="157"/>
      <c r="AA7" s="786"/>
    </row>
    <row r="8" customFormat="false" ht="12.75" hidden="false" customHeight="false" outlineLevel="0" collapsed="false">
      <c r="A8" s="153" t="s">
        <v>1383</v>
      </c>
      <c r="B8" s="153" t="n">
        <v>0</v>
      </c>
      <c r="C8" s="153" t="n">
        <f aca="false">(INT(C6/$X8)*$X$7-INT(B6/$X8)*$X$7-C9-C10)</f>
        <v>0</v>
      </c>
      <c r="D8" s="153" t="n">
        <f aca="false">(INT(D6/$X8)*$X$7-INT(C6/$X8)*$X$7-D9-D10)</f>
        <v>0</v>
      </c>
      <c r="E8" s="153" t="n">
        <f aca="false">(INT(E6/$X8)*$X$7-INT(D6/$X8)*$X$7-E9-E10)</f>
        <v>0</v>
      </c>
      <c r="F8" s="153" t="n">
        <f aca="false">(INT(F6/$X8)*$X$7-INT(E6/$X8)*$X$7-F9-F10)</f>
        <v>0</v>
      </c>
      <c r="G8" s="153" t="n">
        <f aca="false">(INT(G6/$X8)*$X$7-INT(F6/$X8)*$X$7-G9-G10)</f>
        <v>0</v>
      </c>
      <c r="H8" s="153" t="n">
        <f aca="false">(INT(H6/$X8)*$X$7-INT(G6/$X8)*$X$7-H9-H10)</f>
        <v>0</v>
      </c>
      <c r="I8" s="153" t="n">
        <f aca="false">(INT(I6/$X8)*$X$7-INT(H6/$X8)*$X$7-I9-I10)</f>
        <v>0</v>
      </c>
      <c r="J8" s="153" t="n">
        <f aca="false">(INT(J6/$X8)*$X$7-INT(I6/$X8)*$X$7-J9-J10)</f>
        <v>0</v>
      </c>
      <c r="K8" s="153" t="n">
        <f aca="false">(INT(K6/$X8)*$X$7-INT(J6/$X8)*$X$7-K9-K10)</f>
        <v>0</v>
      </c>
      <c r="L8" s="153" t="n">
        <f aca="false">(INT(L6/$X8)*$X$7-INT(K6/$X8)*$X$7-L9-L10)</f>
        <v>0</v>
      </c>
      <c r="M8" s="153" t="n">
        <f aca="false">(INT(M6/$X8)*$X$7-INT(L6/$X8)*$X$7-M9-M10)</f>
        <v>0</v>
      </c>
      <c r="N8" s="153" t="n">
        <f aca="false">(INT(N6/$X8)*$X$7-INT(M6/$X8)*$X$7-N9-N10)</f>
        <v>0</v>
      </c>
      <c r="O8" s="153" t="n">
        <f aca="false">(INT(O6/$X8)*$X$7-INT(N6/$X8)*$X$7-O9-O10)</f>
        <v>0</v>
      </c>
      <c r="P8" s="153" t="n">
        <f aca="false">(INT(P6/$X8)*$X$7-INT(O6/$X8)*$X$7-P9-P10)</f>
        <v>0</v>
      </c>
      <c r="Q8" s="153" t="n">
        <f aca="false">(INT(Q6/$X8)*$X$7-INT(P6/$X8)*$X$7-Q9-Q10)</f>
        <v>0</v>
      </c>
      <c r="R8" s="153" t="n">
        <f aca="false">(INT(R6/$X8)*$X$7-INT(Q6/$X8)*$X$7-R9-R10)</f>
        <v>0</v>
      </c>
      <c r="S8" s="153" t="n">
        <f aca="false">(INT(S6/$X8)*$X$7-INT(R6/$X8)*$X$7-S9-S10)</f>
        <v>0</v>
      </c>
      <c r="T8" s="153" t="n">
        <f aca="false">(INT(T6/$X8)*$X$7-INT(S6/$X8)*$X$7-T9-T10)</f>
        <v>0</v>
      </c>
      <c r="U8" s="153" t="n">
        <f aca="false">(INT(U6/$X8)*$X$7-INT(T6/$X8)*$X$7-U9-U10)</f>
        <v>0</v>
      </c>
      <c r="V8" s="380" t="n">
        <f aca="false">(INT(V6/$X8)*$X$7-INT(U6/$X8)*$X$7-V9-V10)</f>
        <v>0</v>
      </c>
      <c r="W8" s="787" t="s">
        <v>1384</v>
      </c>
      <c r="X8" s="788" t="n">
        <f aca="false">IF($AD$6=1,'GTDB(W501D5A)'!B12,'GTDB(W501D5A)'!G12)</f>
        <v>8000</v>
      </c>
      <c r="Y8" s="785"/>
      <c r="Z8" s="785"/>
    </row>
    <row r="9" customFormat="false" ht="12.75" hidden="false" customHeight="false" outlineLevel="0" collapsed="false">
      <c r="A9" s="153" t="s">
        <v>1385</v>
      </c>
      <c r="B9" s="153" t="n">
        <v>0</v>
      </c>
      <c r="C9" s="153" t="n">
        <f aca="false">(INT(C6/$X9)-INT(B6/$X9))*$X$7-C10</f>
        <v>0</v>
      </c>
      <c r="D9" s="153" t="n">
        <f aca="false">(INT(D6/$X9)-INT(C6/$X9))*$X$7-D10</f>
        <v>0</v>
      </c>
      <c r="E9" s="153" t="n">
        <f aca="false">(INT(E6/$X9)-INT(D6/$X9))*$X$7-E10</f>
        <v>0</v>
      </c>
      <c r="F9" s="153" t="n">
        <f aca="false">(INT(F6/$X9)-INT(E6/$X9))*$X$7-F10</f>
        <v>0</v>
      </c>
      <c r="G9" s="153" t="n">
        <f aca="false">(INT(G6/$X9)-INT(F6/$X9))*$X$7-G10</f>
        <v>0</v>
      </c>
      <c r="H9" s="153" t="n">
        <f aca="false">(INT(H6/$X9)-INT(G6/$X9))*$X$7-H10</f>
        <v>0</v>
      </c>
      <c r="I9" s="153" t="n">
        <f aca="false">(INT(I6/$X9)-INT(H6/$X9))*$X$7-I10</f>
        <v>0</v>
      </c>
      <c r="J9" s="153" t="n">
        <f aca="false">(INT(J6/$X9)-INT(I6/$X9))*$X$7-J10</f>
        <v>0</v>
      </c>
      <c r="K9" s="153" t="n">
        <f aca="false">(INT(K6/$X9)-INT(J6/$X9))*$X$7-K10</f>
        <v>0</v>
      </c>
      <c r="L9" s="153" t="n">
        <f aca="false">(INT(L6/$X9)-INT(K6/$X9))*$X$7-L10</f>
        <v>0</v>
      </c>
      <c r="M9" s="153" t="n">
        <f aca="false">(INT(M6/$X9)-INT(L6/$X9))*$X$7-M10</f>
        <v>0</v>
      </c>
      <c r="N9" s="153" t="n">
        <f aca="false">(INT(N6/$X9)-INT(M6/$X9))*$X$7-N10</f>
        <v>0</v>
      </c>
      <c r="O9" s="153" t="n">
        <f aca="false">(INT(O6/$X9)-INT(N6/$X9))*$X$7-O10</f>
        <v>0</v>
      </c>
      <c r="P9" s="153" t="n">
        <f aca="false">(INT(P6/$X9)-INT(O6/$X9))*$X$7-P10</f>
        <v>0</v>
      </c>
      <c r="Q9" s="153" t="n">
        <f aca="false">(INT(Q6/$X9)-INT(P6/$X9))*$X$7-Q10</f>
        <v>0</v>
      </c>
      <c r="R9" s="153" t="n">
        <f aca="false">(INT(R6/$X9)-INT(Q6/$X9))*$X$7-R10</f>
        <v>0</v>
      </c>
      <c r="S9" s="153" t="n">
        <f aca="false">(INT(S6/$X9)-INT(R6/$X9))*$X$7-S10</f>
        <v>0</v>
      </c>
      <c r="T9" s="153" t="n">
        <f aca="false">(INT(T6/$X9)-INT(S6/$X9))*$X$7-T10</f>
        <v>0</v>
      </c>
      <c r="U9" s="153" t="n">
        <f aca="false">(INT(U6/$X9)-INT(T6/$X9))*$X$7-U10</f>
        <v>0</v>
      </c>
      <c r="V9" s="380" t="n">
        <f aca="false">(INT(V6/$X9)-INT(U6/$X9))*$X$7-V10</f>
        <v>0</v>
      </c>
      <c r="W9" s="789" t="s">
        <v>1386</v>
      </c>
      <c r="X9" s="788" t="n">
        <f aca="false">IF($AD$6=1,'GTDB(W501D5A)'!B13,'GTDB(W501D5A)'!G13)</f>
        <v>24000</v>
      </c>
      <c r="Y9" s="785"/>
      <c r="Z9" s="785"/>
    </row>
    <row r="10" customFormat="false" ht="12.75" hidden="false" customHeight="false" outlineLevel="0" collapsed="false">
      <c r="A10" s="153" t="s">
        <v>1387</v>
      </c>
      <c r="B10" s="153" t="n">
        <v>0</v>
      </c>
      <c r="C10" s="153" t="n">
        <f aca="false">(INT(C6/$X10)-INT(B6/$X10))*$X$7</f>
        <v>0</v>
      </c>
      <c r="D10" s="153" t="n">
        <f aca="false">(INT(D6/$X10)-INT(C6/$X10))*$X$7</f>
        <v>0</v>
      </c>
      <c r="E10" s="153" t="n">
        <f aca="false">(INT(E6/$X10)-INT(D6/$X10))*$X$7</f>
        <v>0</v>
      </c>
      <c r="F10" s="153" t="n">
        <f aca="false">(INT(F6/$X10)-INT(E6/$X10))*$X$7</f>
        <v>0</v>
      </c>
      <c r="G10" s="153" t="n">
        <f aca="false">(INT(G6/$X10)-INT(F6/$X10))*$X$7</f>
        <v>0</v>
      </c>
      <c r="H10" s="153" t="n">
        <f aca="false">(INT(H6/$X10)-INT(G6/$X10))*$X$7</f>
        <v>0</v>
      </c>
      <c r="I10" s="153" t="n">
        <f aca="false">(INT(I6/$X10)-INT(H6/$X10))*$X$7</f>
        <v>0</v>
      </c>
      <c r="J10" s="153" t="n">
        <f aca="false">(INT(J6/$X10)-INT(I6/$X10))*$X$7</f>
        <v>0</v>
      </c>
      <c r="K10" s="153" t="n">
        <f aca="false">(INT(K6/$X10)-INT(J6/$X10))*$X$7</f>
        <v>0</v>
      </c>
      <c r="L10" s="153" t="n">
        <f aca="false">(INT(L6/$X10)-INT(K6/$X10))*$X$7</f>
        <v>0</v>
      </c>
      <c r="M10" s="153" t="n">
        <f aca="false">(INT(M6/$X10)-INT(L6/$X10))*$X$7</f>
        <v>0</v>
      </c>
      <c r="N10" s="153" t="n">
        <f aca="false">(INT(N6/$X10)-INT(M6/$X10))*$X$7</f>
        <v>0</v>
      </c>
      <c r="O10" s="153" t="n">
        <f aca="false">(INT(O6/$X10)-INT(N6/$X10))*$X$7</f>
        <v>0</v>
      </c>
      <c r="P10" s="153" t="n">
        <f aca="false">(INT(P6/$X10)-INT(O6/$X10))*$X$7</f>
        <v>0</v>
      </c>
      <c r="Q10" s="153" t="n">
        <f aca="false">(INT(Q6/$X10)-INT(P6/$X10))*$X$7</f>
        <v>0</v>
      </c>
      <c r="R10" s="153" t="n">
        <f aca="false">(INT(R6/$X10)-INT(Q6/$X10))*$X$7</f>
        <v>0</v>
      </c>
      <c r="S10" s="153" t="n">
        <f aca="false">(INT(S6/$X10)-INT(R6/$X10))*$X$7</f>
        <v>0</v>
      </c>
      <c r="T10" s="153" t="n">
        <f aca="false">(INT(T6/$X10)-INT(S6/$X10))*$X$7</f>
        <v>0</v>
      </c>
      <c r="U10" s="153" t="n">
        <f aca="false">(INT(U6/$X10)-INT(T6/$X10))*$X$7</f>
        <v>0</v>
      </c>
      <c r="V10" s="380" t="n">
        <f aca="false">(INT(V6/$X10)-INT(U6/$X10))*$X$7</f>
        <v>0</v>
      </c>
      <c r="W10" s="789" t="s">
        <v>1388</v>
      </c>
      <c r="X10" s="788" t="n">
        <f aca="false">IF($AD$6=1,'GTDB(W501D5A)'!B14,'GTDB(W501D5A)'!G14)</f>
        <v>48000</v>
      </c>
      <c r="Y10" s="785"/>
      <c r="Z10" s="785"/>
      <c r="AA10" s="0" t="s">
        <v>1007</v>
      </c>
    </row>
    <row r="11" customFormat="false" ht="11.25" hidden="false" customHeight="true" outlineLevel="0" collapsed="false">
      <c r="A11" s="157"/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790"/>
      <c r="X11" s="791"/>
      <c r="Y11" s="785"/>
      <c r="Z11" s="785"/>
      <c r="AF11" s="792"/>
    </row>
    <row r="12" customFormat="false" ht="12.75" hidden="true" customHeight="false" outlineLevel="0" collapsed="false">
      <c r="A12" s="153" t="s">
        <v>1383</v>
      </c>
      <c r="B12" s="153"/>
      <c r="C12" s="153" t="str">
        <f aca="false">IF(C8=0," ",IF(C8/$X$7=1,"C",C8/$X$7&amp;"C"))</f>
        <v> </v>
      </c>
      <c r="D12" s="153" t="str">
        <f aca="false">IF(D8=0," ",IF(D8/$X$7=1,"C",D8/$X$7&amp;"C"))</f>
        <v> </v>
      </c>
      <c r="E12" s="153" t="str">
        <f aca="false">IF(E8=0," ",IF(E8/$X$7=1,"C",E8/$X$7&amp;"C"))</f>
        <v> </v>
      </c>
      <c r="F12" s="153" t="str">
        <f aca="false">IF(F8=0," ",IF(F8/$X$7=1,"C",F8/$X$7&amp;"C"))</f>
        <v> </v>
      </c>
      <c r="G12" s="153" t="str">
        <f aca="false">IF(G8=0," ",IF(G8/$X$7=1,"C",G8/$X$7&amp;"C"))</f>
        <v> </v>
      </c>
      <c r="H12" s="153" t="str">
        <f aca="false">IF(H8=0," ",IF(H8/$X$7=1,"C",H8/$X$7&amp;"C"))</f>
        <v> </v>
      </c>
      <c r="I12" s="153" t="str">
        <f aca="false">IF(I8=0," ",IF(I8/$X$7=1,"C",I8/$X$7&amp;"C"))</f>
        <v> </v>
      </c>
      <c r="J12" s="153" t="str">
        <f aca="false">IF(J8=0," ",IF(J8/$X$7=1,"C",J8/$X$7&amp;"C"))</f>
        <v> </v>
      </c>
      <c r="K12" s="153" t="str">
        <f aca="false">IF(K8=0," ",IF(K8/$X$7=1,"C",K8/$X$7&amp;"C"))</f>
        <v> </v>
      </c>
      <c r="L12" s="153" t="str">
        <f aca="false">IF(L8=0," ",IF(L8/$X$7=1,"C",L8/$X$7&amp;"C"))</f>
        <v> </v>
      </c>
      <c r="M12" s="153" t="str">
        <f aca="false">IF(M8=0," ",IF(M8/$X$7=1,"C",M8/$X$7&amp;"C"))</f>
        <v> </v>
      </c>
      <c r="N12" s="153" t="str">
        <f aca="false">IF(N8=0," ",IF(N8/$X$7=1,"C",N8/$X$7&amp;"C"))</f>
        <v> </v>
      </c>
      <c r="O12" s="153" t="str">
        <f aca="false">IF(O8=0," ",IF(O8/$X$7=1,"C",O8/$X$7&amp;"C"))</f>
        <v> </v>
      </c>
      <c r="P12" s="153" t="str">
        <f aca="false">IF(P8=0," ",IF(P8/$X$7=1,"C",P8/$X$7&amp;"C"))</f>
        <v> </v>
      </c>
      <c r="Q12" s="153" t="str">
        <f aca="false">IF(Q8=0," ",IF(Q8/$X$7=1,"C",Q8/$X$7&amp;"C"))</f>
        <v> </v>
      </c>
      <c r="R12" s="153" t="str">
        <f aca="false">IF(R8=0," ",IF(R8/$X$7=1,"C",R8/$X$7&amp;"C"))</f>
        <v> </v>
      </c>
      <c r="S12" s="153" t="str">
        <f aca="false">IF(S8=0," ",IF(S8/$X$7=1,"C",S8/$X$7&amp;"C"))</f>
        <v> </v>
      </c>
      <c r="T12" s="153" t="str">
        <f aca="false">IF(T8=0," ",IF(T8/$X$7=1,"C",T8/$X$7&amp;"C"))</f>
        <v> </v>
      </c>
      <c r="U12" s="153" t="str">
        <f aca="false">IF(U8=0," ",IF(U8/$X$7=1,"C",U8/$X$7&amp;"C"))</f>
        <v> </v>
      </c>
      <c r="V12" s="153" t="str">
        <f aca="false">IF(V8=0," ",IF(V8/$X$7=1,"C",V8/$X$7&amp;"C"))</f>
        <v> </v>
      </c>
      <c r="W12" s="518"/>
      <c r="X12" s="793"/>
      <c r="Y12" s="794"/>
      <c r="Z12" s="794"/>
    </row>
    <row r="13" customFormat="false" ht="12.75" hidden="true" customHeight="false" outlineLevel="0" collapsed="false">
      <c r="A13" s="153" t="s">
        <v>1385</v>
      </c>
      <c r="B13" s="153"/>
      <c r="C13" s="153" t="str">
        <f aca="false">IF(C9=0," ",IF(C9/$X$7=1,"H",C9/$X$7&amp;"H"))</f>
        <v> </v>
      </c>
      <c r="D13" s="153" t="str">
        <f aca="false">IF(D9=0," ",IF(D9/$X$7=1,"H",D9/$X$7&amp;"H"))</f>
        <v> </v>
      </c>
      <c r="E13" s="153" t="str">
        <f aca="false">IF(E9=0," ",IF(E9/$X$7=1,"H",E9/$X$7&amp;"H"))</f>
        <v> </v>
      </c>
      <c r="F13" s="153" t="str">
        <f aca="false">IF(F9=0," ",IF(F9/$X$7=1,"H",F9/$X$7&amp;"H"))</f>
        <v> </v>
      </c>
      <c r="G13" s="153" t="str">
        <f aca="false">IF(G9=0," ",IF(G9/$X$7=1,"H",G9/$X$7&amp;"H"))</f>
        <v> </v>
      </c>
      <c r="H13" s="153" t="str">
        <f aca="false">IF(H9=0," ",IF(H9/$X$7=1,"H",H9/$X$7&amp;"H"))</f>
        <v> </v>
      </c>
      <c r="I13" s="153" t="str">
        <f aca="false">IF(I9=0," ",IF(I9/$X$7=1,"H",I9/$X$7&amp;"H"))</f>
        <v> </v>
      </c>
      <c r="J13" s="153" t="str">
        <f aca="false">IF(J9=0," ",IF(J9/$X$7=1,"H",J9/$X$7&amp;"H"))</f>
        <v> </v>
      </c>
      <c r="K13" s="153" t="str">
        <f aca="false">IF(K9=0," ",IF(K9/$X$7=1,"H",K9/$X$7&amp;"H"))</f>
        <v> </v>
      </c>
      <c r="L13" s="153" t="str">
        <f aca="false">IF(L9=0," ",IF(L9/$X$7=1,"H",L9/$X$7&amp;"H"))</f>
        <v> </v>
      </c>
      <c r="M13" s="153" t="str">
        <f aca="false">IF(M9=0," ",IF(M9/$X$7=1,"H",M9/$X$7&amp;"H"))</f>
        <v> </v>
      </c>
      <c r="N13" s="153" t="str">
        <f aca="false">IF(N9=0," ",IF(N9/$X$7=1,"H",N9/$X$7&amp;"H"))</f>
        <v> </v>
      </c>
      <c r="O13" s="153" t="str">
        <f aca="false">IF(O9=0," ",IF(O9/$X$7=1,"H",O9/$X$7&amp;"H"))</f>
        <v> </v>
      </c>
      <c r="P13" s="153" t="str">
        <f aca="false">IF(P9=0," ",IF(P9/$X$7=1,"H",P9/$X$7&amp;"H"))</f>
        <v> </v>
      </c>
      <c r="Q13" s="153" t="str">
        <f aca="false">IF(Q9=0," ",IF(Q9/$X$7=1,"H",Q9/$X$7&amp;"H"))</f>
        <v> </v>
      </c>
      <c r="R13" s="153" t="str">
        <f aca="false">IF(R9=0," ",IF(R9/$X$7=1,"H",R9/$X$7&amp;"H"))</f>
        <v> </v>
      </c>
      <c r="S13" s="153" t="str">
        <f aca="false">IF(S9=0," ",IF(S9/$X$7=1,"H",S9/$X$7&amp;"H"))</f>
        <v> </v>
      </c>
      <c r="T13" s="153" t="str">
        <f aca="false">IF(T9=0," ",IF(T9/$X$7=1,"H",T9/$X$7&amp;"H"))</f>
        <v> </v>
      </c>
      <c r="U13" s="153" t="str">
        <f aca="false">IF(U9=0," ",IF(U9/$X$7=1,"H",U9/$X$7&amp;"H"))</f>
        <v> </v>
      </c>
      <c r="V13" s="153" t="str">
        <f aca="false">IF(V9=0," ",IF(V9/$X$7=1,"H",V9/$X$7&amp;"H"))</f>
        <v> </v>
      </c>
      <c r="W13" s="518"/>
      <c r="X13" s="793"/>
      <c r="Y13" s="794"/>
      <c r="Z13" s="794"/>
    </row>
    <row r="14" customFormat="false" ht="12.75" hidden="true" customHeight="true" outlineLevel="0" collapsed="false">
      <c r="A14" s="153" t="s">
        <v>1387</v>
      </c>
      <c r="B14" s="153"/>
      <c r="C14" s="153" t="str">
        <f aca="false">IF(C10=0," ",IF(C10/$X$7=1,"M",C10/$X$7&amp;"M"))</f>
        <v> </v>
      </c>
      <c r="D14" s="153" t="str">
        <f aca="false">IF(D10=0," ",IF(D10/$X$7=1,"M",D10/$X$7&amp;"M"))</f>
        <v> </v>
      </c>
      <c r="E14" s="153" t="str">
        <f aca="false">IF(E10=0," ",IF(E10/$X$7=1,"M",E10/$X$7&amp;"M"))</f>
        <v> </v>
      </c>
      <c r="F14" s="153" t="str">
        <f aca="false">IF(F10=0," ",IF(F10/$X$7=1,"M",F10/$X$7&amp;"M"))</f>
        <v> </v>
      </c>
      <c r="G14" s="153" t="str">
        <f aca="false">IF(G10=0," ",IF(G10/$X$7=1,"M",G10/$X$7&amp;"M"))</f>
        <v> </v>
      </c>
      <c r="H14" s="153" t="str">
        <f aca="false">IF(H10=0," ",IF(H10/$X$7=1,"M",H10/$X$7&amp;"M"))</f>
        <v> </v>
      </c>
      <c r="I14" s="153" t="str">
        <f aca="false">IF(I10=0," ",IF(I10/$X$7=1,"M",I10/$X$7&amp;"M"))</f>
        <v> </v>
      </c>
      <c r="J14" s="153" t="str">
        <f aca="false">IF(J10=0," ",IF(J10/$X$7=1,"M",J10/$X$7&amp;"M"))</f>
        <v> </v>
      </c>
      <c r="K14" s="153" t="str">
        <f aca="false">IF(K10=0," ",IF(K10/$X$7=1,"M",K10/$X$7&amp;"M"))</f>
        <v> </v>
      </c>
      <c r="L14" s="153" t="str">
        <f aca="false">IF(L10=0," ",IF(L10/$X$7=1,"M",L10/$X$7&amp;"M"))</f>
        <v> </v>
      </c>
      <c r="M14" s="153" t="str">
        <f aca="false">IF(M10=0," ",IF(M10/$X$7=1,"M",M10/$X$7&amp;"M"))</f>
        <v> </v>
      </c>
      <c r="N14" s="153" t="str">
        <f aca="false">IF(N10=0," ",IF(N10/$X$7=1,"M",N10/$X$7&amp;"M"))</f>
        <v> </v>
      </c>
      <c r="O14" s="153" t="str">
        <f aca="false">IF(O10=0," ",IF(O10/$X$7=1,"M",O10/$X$7&amp;"M"))</f>
        <v> </v>
      </c>
      <c r="P14" s="153" t="str">
        <f aca="false">IF(P10=0," ",IF(P10/$X$7=1,"M",P10/$X$7&amp;"M"))</f>
        <v> </v>
      </c>
      <c r="Q14" s="153" t="str">
        <f aca="false">IF(Q10=0," ",IF(Q10/$X$7=1,"M",Q10/$X$7&amp;"M"))</f>
        <v> </v>
      </c>
      <c r="R14" s="153" t="str">
        <f aca="false">IF(R10=0," ",IF(R10/$X$7=1,"M",R10/$X$7&amp;"M"))</f>
        <v> </v>
      </c>
      <c r="S14" s="153" t="str">
        <f aca="false">IF(S10=0," ",IF(S10/$X$7=1,"M",S10/$X$7&amp;"M"))</f>
        <v> </v>
      </c>
      <c r="T14" s="153" t="str">
        <f aca="false">IF(T10=0," ",IF(T10/$X$7=1,"M",T10/$X$7&amp;"M"))</f>
        <v> </v>
      </c>
      <c r="U14" s="153" t="str">
        <f aca="false">IF(U10=0," ",IF(U10/$X$7=1,"M",U10/$X$7&amp;"M"))</f>
        <v> </v>
      </c>
      <c r="V14" s="153" t="str">
        <f aca="false">IF(V10=0," ",IF(V10/$X$7=1,"M",V10/$X$7&amp;"M"))</f>
        <v> </v>
      </c>
      <c r="W14" s="108" t="s">
        <v>1007</v>
      </c>
    </row>
    <row r="15" customFormat="false" ht="36.75" hidden="false" customHeight="true" outlineLevel="0" collapsed="false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795"/>
      <c r="W15" s="796" t="s">
        <v>1389</v>
      </c>
      <c r="X15" s="797" t="s">
        <v>1390</v>
      </c>
      <c r="Y15" s="797" t="s">
        <v>1391</v>
      </c>
      <c r="Z15" s="797" t="s">
        <v>1392</v>
      </c>
      <c r="AA15" s="798" t="s">
        <v>1393</v>
      </c>
      <c r="AB15" s="797" t="s">
        <v>1394</v>
      </c>
    </row>
    <row r="16" customFormat="false" ht="12.75" hidden="true" customHeight="false" outlineLevel="0" collapsed="false">
      <c r="A16" s="153" t="s">
        <v>1395</v>
      </c>
      <c r="B16" s="511"/>
      <c r="C16" s="153" t="n">
        <f aca="false">INT((INT(C$6/$X17)*$X$7+$X$7+$Z17-1)/($X$7+$Z17)/$Y17)</f>
        <v>0</v>
      </c>
      <c r="D16" s="153" t="n">
        <f aca="false">INT((INT(D$6/$X17)*$X$7+$X$7+$Z17-1)/($X$7+$Z17)/$Y17)</f>
        <v>0</v>
      </c>
      <c r="E16" s="153" t="n">
        <f aca="false">INT((INT(E$6/$X17)*$X$7+$X$7+$Z17-1)/($X$7+$Z17)/$Y17)</f>
        <v>0</v>
      </c>
      <c r="F16" s="153" t="n">
        <f aca="false">INT((INT(F$6/$X17)*$X$7+$X$7+$Z17-1)/($X$7+$Z17)/$Y17)</f>
        <v>0</v>
      </c>
      <c r="G16" s="153" t="n">
        <f aca="false">INT((INT(G$6/$X17)*$X$7+$X$7+$Z17-1)/($X$7+$Z17)/$Y17)</f>
        <v>0</v>
      </c>
      <c r="H16" s="153" t="n">
        <f aca="false">INT((INT(H$6/$X17)*$X$7+$X$7+$Z17-1)/($X$7+$Z17)/$Y17)</f>
        <v>0</v>
      </c>
      <c r="I16" s="153" t="n">
        <f aca="false">INT((INT(I$6/$X17)*$X$7+$X$7+$Z17-1)/($X$7+$Z17)/$Y17)</f>
        <v>0</v>
      </c>
      <c r="J16" s="153" t="n">
        <f aca="false">INT((INT(J$6/$X17)*$X$7+$X$7+$Z17-1)/($X$7+$Z17)/$Y17)</f>
        <v>0</v>
      </c>
      <c r="K16" s="153" t="n">
        <f aca="false">INT((INT(K$6/$X17)*$X$7+$X$7+$Z17-1)/($X$7+$Z17)/$Y17)</f>
        <v>0</v>
      </c>
      <c r="L16" s="153" t="n">
        <f aca="false">INT((INT(L$6/$X17)*$X$7+$X$7+$Z17-1)/($X$7+$Z17)/$Y17)</f>
        <v>0</v>
      </c>
      <c r="M16" s="153" t="n">
        <f aca="false">INT((INT(M$6/$X17)*$X$7+$X$7+$Z17-1)/($X$7+$Z17)/$Y17)</f>
        <v>0</v>
      </c>
      <c r="N16" s="153" t="n">
        <f aca="false">INT((INT(N$6/$X17)*$X$7+$X$7+$Z17-1)/($X$7+$Z17)/$Y17)</f>
        <v>0</v>
      </c>
      <c r="O16" s="153" t="n">
        <f aca="false">INT((INT(O$6/$X17)*$X$7+$X$7+$Z17-1)/($X$7+$Z17)/$Y17)</f>
        <v>0</v>
      </c>
      <c r="P16" s="153" t="n">
        <f aca="false">INT((INT(P$6/$X17)*$X$7+$X$7+$Z17-1)/($X$7+$Z17)/$Y17)</f>
        <v>0</v>
      </c>
      <c r="Q16" s="153" t="n">
        <f aca="false">INT((INT(Q$6/$X17)*$X$7+$X$7+$Z17-1)/($X$7+$Z17)/$Y17)</f>
        <v>0</v>
      </c>
      <c r="R16" s="153" t="n">
        <f aca="false">INT((INT(R$6/$X17)*$X$7+$X$7+$Z17-1)/($X$7+$Z17)/$Y17)</f>
        <v>0</v>
      </c>
      <c r="S16" s="153" t="n">
        <f aca="false">INT((INT(S$6/$X17)*$X$7+$X$7+$Z17-1)/($X$7+$Z17)/$Y17)</f>
        <v>0</v>
      </c>
      <c r="T16" s="153" t="n">
        <f aca="false">INT((INT(T$6/$X17)*$X$7+$X$7+$Z17-1)/($X$7+$Z17)/$Y17)</f>
        <v>0</v>
      </c>
      <c r="U16" s="153" t="n">
        <f aca="false">INT((INT(U$6/$X17)*$X$7+$X$7+$Z17-1)/($X$7+$Z17)/$Y17)</f>
        <v>0</v>
      </c>
      <c r="V16" s="153" t="n">
        <f aca="false">INT((INT(V$6/$X17)*$X$7+$X$7+$Z17-1)/($X$7+$Z17)/$Y17)</f>
        <v>0</v>
      </c>
      <c r="AB16" s="153"/>
    </row>
    <row r="17" customFormat="false" ht="12.75" hidden="false" customHeight="false" outlineLevel="0" collapsed="false">
      <c r="A17" s="153" t="s">
        <v>1396</v>
      </c>
      <c r="B17" s="511" t="s">
        <v>1007</v>
      </c>
      <c r="C17" s="511" t="n">
        <f aca="false">IF($Y17=1,0,$X$7*(INT(C$6/$X17)-INT(B$6/$X17))-IF(SUM($B17:B17)&gt;0,C18,0))</f>
        <v>0</v>
      </c>
      <c r="D17" s="511" t="n">
        <f aca="false">IF($Y17=1,0,$X$7*(INT(D$6/$X17)-INT(C$6/$X17))-IF(SUM($B17:C17)&gt;0,D18,0))</f>
        <v>0</v>
      </c>
      <c r="E17" s="511" t="n">
        <f aca="false">IF($Y17=1,0,$X$7*(INT(E$6/$X17)-INT(D$6/$X17))-IF(SUM($B17:D17)&gt;0,E18,0))</f>
        <v>0</v>
      </c>
      <c r="F17" s="511" t="n">
        <f aca="false">IF($Y17=1,0,$X$7*(INT(F$6/$X17)-INT(E$6/$X17))-IF(SUM($B17:E17)&gt;0,F18,0))</f>
        <v>0</v>
      </c>
      <c r="G17" s="511" t="n">
        <f aca="false">IF($Y17=1,0,$X$7*(INT(G$6/$X17)-INT(F$6/$X17))-IF(SUM($B17:F17)&gt;0,G18,0))</f>
        <v>0</v>
      </c>
      <c r="H17" s="511" t="n">
        <f aca="false">IF($Y17=1,0,$X$7*(INT(H$6/$X17)-INT(G$6/$X17))-IF(SUM($B17:G17)&gt;0,H18,0))</f>
        <v>0</v>
      </c>
      <c r="I17" s="511" t="n">
        <f aca="false">IF($Y17=1,0,$X$7*(INT(I$6/$X17)-INT(H$6/$X17))-IF(SUM($B17:H17)&gt;0,I18,0))</f>
        <v>0</v>
      </c>
      <c r="J17" s="511" t="n">
        <f aca="false">IF($Y17=1,0,$X$7*(INT(J$6/$X17)-INT(I$6/$X17))-IF(SUM($B17:I17)&gt;0,J18,0))</f>
        <v>0</v>
      </c>
      <c r="K17" s="511" t="n">
        <f aca="false">IF($Y17=1,0,$X$7*(INT(K$6/$X17)-INT(J$6/$X17))-IF(SUM($B17:J17)&gt;0,K18,0))</f>
        <v>0</v>
      </c>
      <c r="L17" s="511" t="n">
        <f aca="false">IF($Y17=1,0,$X$7*(INT(L$6/$X17)-INT(K$6/$X17))-IF(SUM($B17:K17)&gt;0,L18,0))</f>
        <v>0</v>
      </c>
      <c r="M17" s="511" t="n">
        <f aca="false">IF($Y17=1,0,$X$7*(INT(M$6/$X17)-INT(L$6/$X17))-IF(SUM($B17:L17)&gt;0,M18,0))</f>
        <v>0</v>
      </c>
      <c r="N17" s="511" t="n">
        <f aca="false">IF($Y17=1,0,$X$7*(INT(N$6/$X17)-INT(M$6/$X17))-IF(SUM($B17:M17)&gt;0,N18,0))</f>
        <v>0</v>
      </c>
      <c r="O17" s="511" t="n">
        <f aca="false">IF($Y17=1,0,$X$7*(INT(O$6/$X17)-INT(N$6/$X17))-IF(SUM($B17:N17)&gt;0,O18,0))</f>
        <v>0</v>
      </c>
      <c r="P17" s="511" t="n">
        <f aca="false">IF($Y17=1,0,$X$7*(INT(P$6/$X17)-INT(O$6/$X17))-IF(SUM($B17:O17)&gt;0,P18,0))</f>
        <v>0</v>
      </c>
      <c r="Q17" s="511" t="n">
        <f aca="false">IF($Y17=1,0,$X$7*(INT(Q$6/$X17)-INT(P$6/$X17))-IF(SUM($B17:P17)&gt;0,Q18,0))</f>
        <v>0</v>
      </c>
      <c r="R17" s="511" t="n">
        <f aca="false">IF($Y17=1,0,$X$7*(INT(R$6/$X17)-INT(Q$6/$X17))-IF(SUM($B17:Q17)&gt;0,R18,0))</f>
        <v>0</v>
      </c>
      <c r="S17" s="511" t="n">
        <f aca="false">IF($Y17=1,0,$X$7*(INT(S$6/$X17)-INT(R$6/$X17))-IF(SUM($B17:R17)&gt;0,S18,0))</f>
        <v>0</v>
      </c>
      <c r="T17" s="511" t="n">
        <f aca="false">IF($Y17=1,0,$X$7*(INT(T$6/$X17)-INT(S$6/$X17))-IF(SUM($B17:S17)&gt;0,T18,0))</f>
        <v>0</v>
      </c>
      <c r="U17" s="511" t="n">
        <f aca="false">IF($Y17=1,0,$X$7*(INT(U$6/$X17)-INT(T$6/$X17))-IF(SUM($B17:T17)&gt;0,U18,0))</f>
        <v>0</v>
      </c>
      <c r="V17" s="511" t="n">
        <f aca="false">IF($Y17=1,0,$X$7*(INT(V$6/$X17)-INT(U$6/$X17))-IF(SUM($B17:U17)&gt;0,V18,0))</f>
        <v>0</v>
      </c>
      <c r="W17" s="799" t="str">
        <f aca="false">'GT schd cost(W501D5A)'!A14</f>
        <v>Baskets</v>
      </c>
      <c r="X17" s="800" t="n">
        <f aca="false">IF($AD$6=1,'GTDB(W501D5A)'!B17,'GTDB(W501D5A)'!G17)</f>
        <v>8000</v>
      </c>
      <c r="Y17" s="800" t="n">
        <f aca="false">IF($AD$6=1,'GTDB(W501D5A)'!C17,'GTDB(W501D5A)'!H17)</f>
        <v>6</v>
      </c>
      <c r="Z17" s="801" t="n">
        <v>2</v>
      </c>
      <c r="AA17" s="802" t="n">
        <f aca="false">'Initial_Spares(W501D5A)'!$E$11</f>
        <v>0</v>
      </c>
      <c r="AB17" s="764" t="n">
        <f aca="false">'GT schd cost(W501D5A)'!X14+'GT schd cost(W501D5A)'!X40</f>
        <v>0</v>
      </c>
    </row>
    <row r="18" customFormat="false" ht="12.75" hidden="false" customHeight="false" outlineLevel="0" collapsed="false">
      <c r="A18" s="153" t="s">
        <v>1397</v>
      </c>
      <c r="B18" s="511" t="s">
        <v>1007</v>
      </c>
      <c r="C18" s="511" t="n">
        <f aca="false">IF(INT(C$6/$X17)*$X$7&gt;C16*($X$7+$Z17)*$Y17,C16*($X$7+$Z17)-SUM($B18:B18),INT(C$6/$X17)*$X$7-C16*($X$7+$Z17)*($Y17-1)-SUM($B18:B18))+IF($Y17&gt;1,IF(INT(C$6/$X17)&gt;0,$Z17-$AA17,0),-$AA17)</f>
        <v>0</v>
      </c>
      <c r="D18" s="511" t="n">
        <f aca="false">IF(INT(D$6/$X17)*$X$7&gt;D16*($X$7+$Z17)*$Y17,D16*($X$7+$Z17)-SUM($B18:C18),INT(D$6/$X17)*$X$7-D16*($X$7+$Z17)*($Y17-1)-SUM($B18:C18))+IF($Y17&gt;1,IF(INT(D$6/$X17)&gt;0,$Z17-$AA17,0),-$AA17)</f>
        <v>0</v>
      </c>
      <c r="E18" s="511" t="n">
        <f aca="false">IF(INT(E$6/$X17)*$X$7&gt;E16*($X$7+$Z17)*$Y17,E16*($X$7+$Z17)-SUM($B18:D18),INT(E$6/$X17)*$X$7-E16*($X$7+$Z17)*($Y17-1)-SUM($B18:D18))+IF($Y17&gt;1,IF(INT(E$6/$X17)&gt;0,$Z17-$AA17,0),-$AA17)</f>
        <v>0</v>
      </c>
      <c r="F18" s="511" t="n">
        <f aca="false">IF(INT(F$6/$X17)*$X$7&gt;F16*($X$7+$Z17)*$Y17,F16*($X$7+$Z17)-SUM($B18:E18),INT(F$6/$X17)*$X$7-F16*($X$7+$Z17)*($Y17-1)-SUM($B18:E18))+IF($Y17&gt;1,IF(INT(F$6/$X17)&gt;0,$Z17-$AA17,0),-$AA17)</f>
        <v>0</v>
      </c>
      <c r="G18" s="511" t="n">
        <f aca="false">IF(INT(G$6/$X17)*$X$7&gt;G16*($X$7+$Z17)*$Y17,G16*($X$7+$Z17)-SUM($B18:F18),INT(G$6/$X17)*$X$7-G16*($X$7+$Z17)*($Y17-1)-SUM($B18:F18))+IF($Y17&gt;1,IF(INT(G$6/$X17)&gt;0,$Z17-$AA17,0),-$AA17)</f>
        <v>0</v>
      </c>
      <c r="H18" s="511" t="n">
        <f aca="false">IF(INT(H$6/$X17)*$X$7&gt;H16*($X$7+$Z17)*$Y17,H16*($X$7+$Z17)-SUM($B18:G18),INT(H$6/$X17)*$X$7-H16*($X$7+$Z17)*($Y17-1)-SUM($B18:G18))+IF($Y17&gt;1,IF(INT(H$6/$X17)&gt;0,$Z17-$AA17,0),-$AA17)</f>
        <v>0</v>
      </c>
      <c r="I18" s="511" t="n">
        <f aca="false">IF(INT(I$6/$X17)*$X$7&gt;I16*($X$7+$Z17)*$Y17,I16*($X$7+$Z17)-SUM($B18:H18),INT(I$6/$X17)*$X$7-I16*($X$7+$Z17)*($Y17-1)-SUM($B18:H18))+IF($Y17&gt;1,IF(INT(I$6/$X17)&gt;0,$Z17-$AA17,0),-$AA17)</f>
        <v>0</v>
      </c>
      <c r="J18" s="511" t="n">
        <f aca="false">IF(INT(J$6/$X17)*$X$7&gt;J16*($X$7+$Z17)*$Y17,J16*($X$7+$Z17)-SUM($B18:I18),INT(J$6/$X17)*$X$7-J16*($X$7+$Z17)*($Y17-1)-SUM($B18:I18))+IF($Y17&gt;1,IF(INT(J$6/$X17)&gt;0,$Z17-$AA17,0),-$AA17)</f>
        <v>0</v>
      </c>
      <c r="K18" s="511" t="n">
        <f aca="false">IF(INT(K$6/$X17)*$X$7&gt;K16*($X$7+$Z17)*$Y17,K16*($X$7+$Z17)-SUM($B18:J18),INT(K$6/$X17)*$X$7-K16*($X$7+$Z17)*($Y17-1)-SUM($B18:J18))+IF($Y17&gt;1,IF(INT(K$6/$X17)&gt;0,$Z17-$AA17,0),-$AA17)</f>
        <v>0</v>
      </c>
      <c r="L18" s="511" t="n">
        <f aca="false">IF(INT(L$6/$X17)*$X$7&gt;L16*($X$7+$Z17)*$Y17,L16*($X$7+$Z17)-SUM($B18:K18),INT(L$6/$X17)*$X$7-L16*($X$7+$Z17)*($Y17-1)-SUM($B18:K18))+IF($Y17&gt;1,IF(INT(L$6/$X17)&gt;0,$Z17-$AA17,0),-$AA17)</f>
        <v>0</v>
      </c>
      <c r="M18" s="511" t="n">
        <f aca="false">IF(INT(M$6/$X17)*$X$7&gt;M16*($X$7+$Z17)*$Y17,M16*($X$7+$Z17)-SUM($B18:L18),INT(M$6/$X17)*$X$7-M16*($X$7+$Z17)*($Y17-1)-SUM($B18:L18))+IF($Y17&gt;1,IF(INT(M$6/$X17)&gt;0,$Z17-$AA17,0),-$AA17)</f>
        <v>0</v>
      </c>
      <c r="N18" s="511" t="n">
        <f aca="false">IF(INT(N$6/$X17)*$X$7&gt;N16*($X$7+$Z17)*$Y17,N16*($X$7+$Z17)-SUM($B18:M18),INT(N$6/$X17)*$X$7-N16*($X$7+$Z17)*($Y17-1)-SUM($B18:M18))+IF($Y17&gt;1,IF(INT(N$6/$X17)&gt;0,$Z17-$AA17,0),-$AA17)</f>
        <v>0</v>
      </c>
      <c r="O18" s="511" t="n">
        <f aca="false">IF(INT(O$6/$X17)*$X$7&gt;O16*($X$7+$Z17)*$Y17,O16*($X$7+$Z17)-SUM($B18:N18),INT(O$6/$X17)*$X$7-O16*($X$7+$Z17)*($Y17-1)-SUM($B18:N18))+IF($Y17&gt;1,IF(INT(O$6/$X17)&gt;0,$Z17-$AA17,0),-$AA17)</f>
        <v>0</v>
      </c>
      <c r="P18" s="511" t="n">
        <f aca="false">IF(INT(P$6/$X17)*$X$7&gt;P16*($X$7+$Z17)*$Y17,P16*($X$7+$Z17)-SUM($B18:O18),INT(P$6/$X17)*$X$7-P16*($X$7+$Z17)*($Y17-1)-SUM($B18:O18))+IF($Y17&gt;1,IF(INT(P$6/$X17)&gt;0,$Z17-$AA17,0),-$AA17)</f>
        <v>0</v>
      </c>
      <c r="Q18" s="511" t="n">
        <f aca="false">IF(INT(Q$6/$X17)*$X$7&gt;Q16*($X$7+$Z17)*$Y17,Q16*($X$7+$Z17)-SUM($B18:P18),INT(Q$6/$X17)*$X$7-Q16*($X$7+$Z17)*($Y17-1)-SUM($B18:P18))+IF($Y17&gt;1,IF(INT(Q$6/$X17)&gt;0,$Z17-$AA17,0),-$AA17)</f>
        <v>0</v>
      </c>
      <c r="R18" s="511" t="n">
        <f aca="false">IF(INT(R$6/$X17)*$X$7&gt;R16*($X$7+$Z17)*$Y17,R16*($X$7+$Z17)-SUM($B18:Q18),INT(R$6/$X17)*$X$7-R16*($X$7+$Z17)*($Y17-1)-SUM($B18:Q18))+IF($Y17&gt;1,IF(INT(R$6/$X17)&gt;0,$Z17-$AA17,0),-$AA17)</f>
        <v>0</v>
      </c>
      <c r="S18" s="511" t="n">
        <f aca="false">IF(INT(S$6/$X17)*$X$7&gt;S16*($X$7+$Z17)*$Y17,S16*($X$7+$Z17)-SUM($B18:R18),INT(S$6/$X17)*$X$7-S16*($X$7+$Z17)*($Y17-1)-SUM($B18:R18))+IF($Y17&gt;1,IF(INT(S$6/$X17)&gt;0,$Z17-$AA17,0),-$AA17)</f>
        <v>0</v>
      </c>
      <c r="T18" s="511" t="n">
        <f aca="false">IF(INT(T$6/$X17)*$X$7&gt;T16*($X$7+$Z17)*$Y17,T16*($X$7+$Z17)-SUM($B18:S18),INT(T$6/$X17)*$X$7-T16*($X$7+$Z17)*($Y17-1)-SUM($B18:S18))+IF($Y17&gt;1,IF(INT(T$6/$X17)&gt;0,$Z17-$AA17,0),-$AA17)</f>
        <v>0</v>
      </c>
      <c r="U18" s="511" t="n">
        <f aca="false">IF(INT(U$6/$X17)*$X$7&gt;U16*($X$7+$Z17)*$Y17,U16*($X$7+$Z17)-SUM($B18:T18),INT(U$6/$X17)*$X$7-U16*($X$7+$Z17)*($Y17-1)-SUM($B18:T18))+IF($Y17&gt;1,IF(INT(U$6/$X17)&gt;0,$Z17-$AA17,0),-$AA17)</f>
        <v>0</v>
      </c>
      <c r="V18" s="511" t="n">
        <f aca="false">IF(INT(V$6/$X17)*$X$7&gt;V16*($X$7+$Z17)*$Y17,V16*($X$7+$Z17)-SUM($B18:U18),INT(V$6/$X17)*$X$7-V16*($X$7+$Z17)*($Y17-1)-SUM($B18:U18))+IF($Y17&gt;1,IF(INT(V$6/$X17)&gt;0,$Z17-$AA17,0),-$AA17)</f>
        <v>0</v>
      </c>
      <c r="W18" s="803"/>
    </row>
    <row r="19" customFormat="false" ht="12.75" hidden="false" customHeight="false" outlineLevel="0" collapsed="false"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803" t="s">
        <v>1007</v>
      </c>
      <c r="X19" s="0" t="s">
        <v>1007</v>
      </c>
    </row>
    <row r="20" customFormat="false" ht="12.75" hidden="true" customHeight="false" outlineLevel="0" collapsed="false">
      <c r="A20" s="153" t="s">
        <v>1395</v>
      </c>
      <c r="B20" s="511"/>
      <c r="C20" s="153" t="n">
        <f aca="false">INT((INT(C$6/$X21)*$X$7+$X$7+$Z21-1)/($X$7+$Z21)/$Y21)</f>
        <v>0</v>
      </c>
      <c r="D20" s="153" t="n">
        <f aca="false">INT((INT(D$6/$X21)*$X$7+$X$7+$Z21-1)/($X$7+$Z21)/$Y21)</f>
        <v>0</v>
      </c>
      <c r="E20" s="153" t="n">
        <f aca="false">INT((INT(E$6/$X21)*$X$7+$X$7+$Z21-1)/($X$7+$Z21)/$Y21)</f>
        <v>0</v>
      </c>
      <c r="F20" s="153" t="n">
        <f aca="false">INT((INT(F$6/$X21)*$X$7+$X$7+$Z21-1)/($X$7+$Z21)/$Y21)</f>
        <v>0</v>
      </c>
      <c r="G20" s="153" t="n">
        <f aca="false">INT((INT(G$6/$X21)*$X$7+$X$7+$Z21-1)/($X$7+$Z21)/$Y21)</f>
        <v>0</v>
      </c>
      <c r="H20" s="153" t="n">
        <f aca="false">INT((INT(H$6/$X21)*$X$7+$X$7+$Z21-1)/($X$7+$Z21)/$Y21)</f>
        <v>0</v>
      </c>
      <c r="I20" s="153" t="n">
        <f aca="false">INT((INT(I$6/$X21)*$X$7+$X$7+$Z21-1)/($X$7+$Z21)/$Y21)</f>
        <v>0</v>
      </c>
      <c r="J20" s="153" t="n">
        <f aca="false">INT((INT(J$6/$X21)*$X$7+$X$7+$Z21-1)/($X$7+$Z21)/$Y21)</f>
        <v>0</v>
      </c>
      <c r="K20" s="153" t="n">
        <f aca="false">INT((INT(K$6/$X21)*$X$7+$X$7+$Z21-1)/($X$7+$Z21)/$Y21)</f>
        <v>0</v>
      </c>
      <c r="L20" s="153" t="n">
        <f aca="false">INT((INT(L$6/$X21)*$X$7+$X$7+$Z21-1)/($X$7+$Z21)/$Y21)</f>
        <v>0</v>
      </c>
      <c r="M20" s="153" t="n">
        <f aca="false">INT((INT(M$6/$X21)*$X$7+$X$7+$Z21-1)/($X$7+$Z21)/$Y21)</f>
        <v>0</v>
      </c>
      <c r="N20" s="153" t="n">
        <f aca="false">INT((INT(N$6/$X21)*$X$7+$X$7+$Z21-1)/($X$7+$Z21)/$Y21)</f>
        <v>0</v>
      </c>
      <c r="O20" s="153" t="n">
        <f aca="false">INT((INT(O$6/$X21)*$X$7+$X$7+$Z21-1)/($X$7+$Z21)/$Y21)</f>
        <v>0</v>
      </c>
      <c r="P20" s="153" t="n">
        <f aca="false">INT((INT(P$6/$X21)*$X$7+$X$7+$Z21-1)/($X$7+$Z21)/$Y21)</f>
        <v>0</v>
      </c>
      <c r="Q20" s="153" t="n">
        <f aca="false">INT((INT(Q$6/$X21)*$X$7+$X$7+$Z21-1)/($X$7+$Z21)/$Y21)</f>
        <v>0</v>
      </c>
      <c r="R20" s="153" t="n">
        <f aca="false">INT((INT(R$6/$X21)*$X$7+$X$7+$Z21-1)/($X$7+$Z21)/$Y21)</f>
        <v>0</v>
      </c>
      <c r="S20" s="153" t="n">
        <f aca="false">INT((INT(S$6/$X21)*$X$7+$X$7+$Z21-1)/($X$7+$Z21)/$Y21)</f>
        <v>0</v>
      </c>
      <c r="T20" s="153" t="n">
        <f aca="false">INT((INT(T$6/$X21)*$X$7+$X$7+$Z21-1)/($X$7+$Z21)/$Y21)</f>
        <v>0</v>
      </c>
      <c r="U20" s="153" t="n">
        <f aca="false">INT((INT(U$6/$X21)*$X$7+$X$7+$Z21-1)/($X$7+$Z21)/$Y21)</f>
        <v>0</v>
      </c>
      <c r="V20" s="153" t="n">
        <f aca="false">INT((INT(V$6/$X21)*$X$7+$X$7+$Z21-1)/($X$7+$Z21)/$Y21)</f>
        <v>0</v>
      </c>
    </row>
    <row r="21" customFormat="false" ht="12.75" hidden="false" customHeight="false" outlineLevel="0" collapsed="false">
      <c r="A21" s="153" t="s">
        <v>1396</v>
      </c>
      <c r="B21" s="511" t="s">
        <v>1007</v>
      </c>
      <c r="C21" s="511" t="n">
        <f aca="false">IF($Y21=1,0,$X$7*(INT(C$6/$X21)-INT(B$6/$X21))-IF(SUM($B21:B21)&gt;0,C22,0))</f>
        <v>0</v>
      </c>
      <c r="D21" s="511" t="n">
        <f aca="false">IF($Y21=1,0,$X$7*(INT(D$6/$X21)-INT(C$6/$X21))-IF(SUM($B21:C21)&gt;0,D22,0))</f>
        <v>0</v>
      </c>
      <c r="E21" s="511" t="n">
        <f aca="false">IF($Y21=1,0,$X$7*(INT(E$6/$X21)-INT(D$6/$X21))-IF(SUM($B21:D21)&gt;0,E22,0))</f>
        <v>0</v>
      </c>
      <c r="F21" s="511" t="n">
        <f aca="false">IF($Y21=1,0,$X$7*(INT(F$6/$X21)-INT(E$6/$X21))-IF(SUM($B21:E21)&gt;0,F22,0))</f>
        <v>0</v>
      </c>
      <c r="G21" s="511" t="n">
        <f aca="false">IF($Y21=1,0,$X$7*(INT(G$6/$X21)-INT(F$6/$X21))-IF(SUM($B21:F21)&gt;0,G22,0))</f>
        <v>0</v>
      </c>
      <c r="H21" s="511" t="n">
        <f aca="false">IF($Y21=1,0,$X$7*(INT(H$6/$X21)-INT(G$6/$X21))-IF(SUM($B21:G21)&gt;0,H22,0))</f>
        <v>0</v>
      </c>
      <c r="I21" s="511" t="n">
        <f aca="false">IF($Y21=1,0,$X$7*(INT(I$6/$X21)-INT(H$6/$X21))-IF(SUM($B21:H21)&gt;0,I22,0))</f>
        <v>0</v>
      </c>
      <c r="J21" s="511" t="n">
        <f aca="false">IF($Y21=1,0,$X$7*(INT(J$6/$X21)-INT(I$6/$X21))-IF(SUM($B21:I21)&gt;0,J22,0))</f>
        <v>0</v>
      </c>
      <c r="K21" s="511" t="n">
        <f aca="false">IF($Y21=1,0,$X$7*(INT(K$6/$X21)-INT(J$6/$X21))-IF(SUM($B21:J21)&gt;0,K22,0))</f>
        <v>0</v>
      </c>
      <c r="L21" s="511" t="n">
        <f aca="false">IF($Y21=1,0,$X$7*(INT(L$6/$X21)-INT(K$6/$X21))-IF(SUM($B21:K21)&gt;0,L22,0))</f>
        <v>0</v>
      </c>
      <c r="M21" s="511" t="n">
        <f aca="false">IF($Y21=1,0,$X$7*(INT(M$6/$X21)-INT(L$6/$X21))-IF(SUM($B21:L21)&gt;0,M22,0))</f>
        <v>0</v>
      </c>
      <c r="N21" s="511" t="n">
        <f aca="false">IF($Y21=1,0,$X$7*(INT(N$6/$X21)-INT(M$6/$X21))-IF(SUM($B21:M21)&gt;0,N22,0))</f>
        <v>0</v>
      </c>
      <c r="O21" s="511" t="n">
        <f aca="false">IF($Y21=1,0,$X$7*(INT(O$6/$X21)-INT(N$6/$X21))-IF(SUM($B21:N21)&gt;0,O22,0))</f>
        <v>0</v>
      </c>
      <c r="P21" s="511" t="n">
        <f aca="false">IF($Y21=1,0,$X$7*(INT(P$6/$X21)-INT(O$6/$X21))-IF(SUM($B21:O21)&gt;0,P22,0))</f>
        <v>0</v>
      </c>
      <c r="Q21" s="511" t="n">
        <f aca="false">IF($Y21=1,0,$X$7*(INT(Q$6/$X21)-INT(P$6/$X21))-IF(SUM($B21:P21)&gt;0,Q22,0))</f>
        <v>0</v>
      </c>
      <c r="R21" s="511" t="n">
        <f aca="false">IF($Y21=1,0,$X$7*(INT(R$6/$X21)-INT(Q$6/$X21))-IF(SUM($B21:Q21)&gt;0,R22,0))</f>
        <v>0</v>
      </c>
      <c r="S21" s="511" t="n">
        <f aca="false">IF($Y21=1,0,$X$7*(INT(S$6/$X21)-INT(R$6/$X21))-IF(SUM($B21:R21)&gt;0,S22,0))</f>
        <v>0</v>
      </c>
      <c r="T21" s="511" t="n">
        <f aca="false">IF($Y21=1,0,$X$7*(INT(T$6/$X21)-INT(S$6/$X21))-IF(SUM($B21:S21)&gt;0,T22,0))</f>
        <v>0</v>
      </c>
      <c r="U21" s="511" t="n">
        <f aca="false">IF($Y21=1,0,$X$7*(INT(U$6/$X21)-INT(T$6/$X21))-IF(SUM($B21:T21)&gt;0,U22,0))</f>
        <v>0</v>
      </c>
      <c r="V21" s="511" t="n">
        <f aca="false">IF($Y21=1,0,$X$7*(INT(V$6/$X21)-INT(U$6/$X21))-IF(SUM($B21:U21)&gt;0,V22,0))</f>
        <v>0</v>
      </c>
      <c r="W21" s="800" t="str">
        <f aca="false">'GT schd cost(W501D5A)'!A15</f>
        <v>Transition Pieces</v>
      </c>
      <c r="X21" s="800" t="n">
        <f aca="false">IF($AD$6=1,'GTDB(W501D5A)'!B18,'GTDB(W501D5A)'!G18)</f>
        <v>8000</v>
      </c>
      <c r="Y21" s="800" t="n">
        <f aca="false">IF($AD$6=1,'GTDB(W501D5A)'!C18,'GTDB(W501D5A)'!H18)</f>
        <v>6</v>
      </c>
      <c r="Z21" s="801" t="n">
        <v>2</v>
      </c>
      <c r="AA21" s="804" t="n">
        <f aca="false">'Initial_Spares(W501D5A)'!$E$12</f>
        <v>0</v>
      </c>
      <c r="AB21" s="764" t="n">
        <f aca="false">'GT schd cost(W501D5A)'!X15+'GT schd cost(W501D5A)'!X41</f>
        <v>0</v>
      </c>
    </row>
    <row r="22" customFormat="false" ht="12.75" hidden="false" customHeight="false" outlineLevel="0" collapsed="false">
      <c r="A22" s="153" t="s">
        <v>1397</v>
      </c>
      <c r="B22" s="511" t="s">
        <v>1007</v>
      </c>
      <c r="C22" s="511" t="n">
        <f aca="false">IF(INT(C$6/$X21)*$X$7&gt;C20*($X$7+$Z21)*$Y21,C20*($X$7+$Z21)-SUM($B22:B22),INT(C$6/$X21)*$X$7-C20*($X$7+$Z21)*($Y21-1)-SUM($B22:B22))+IF($Y21&gt;1,IF(INT(C$6/$X21)&gt;0,$Z21-$AA21,0),-$AA21)</f>
        <v>0</v>
      </c>
      <c r="D22" s="511" t="n">
        <f aca="false">IF(INT(D$6/$X21)*$X$7&gt;D20*($X$7+$Z21)*$Y21,D20*($X$7+$Z21)-SUM($B22:C22),INT(D$6/$X21)*$X$7-D20*($X$7+$Z21)*($Y21-1)-SUM($B22:C22))+IF($Y21&gt;1,IF(INT(D$6/$X21)&gt;0,$Z21-$AA21,0),-$AA21)</f>
        <v>0</v>
      </c>
      <c r="E22" s="511" t="n">
        <f aca="false">IF(INT(E$6/$X21)*$X$7&gt;E20*($X$7+$Z21)*$Y21,E20*($X$7+$Z21)-SUM($B22:D22),INT(E$6/$X21)*$X$7-E20*($X$7+$Z21)*($Y21-1)-SUM($B22:D22))+IF($Y21&gt;1,IF(INT(E$6/$X21)&gt;0,$Z21-$AA21,0),-$AA21)</f>
        <v>0</v>
      </c>
      <c r="F22" s="511" t="n">
        <f aca="false">IF(INT(F$6/$X21)*$X$7&gt;F20*($X$7+$Z21)*$Y21,F20*($X$7+$Z21)-SUM($B22:E22),INT(F$6/$X21)*$X$7-F20*($X$7+$Z21)*($Y21-1)-SUM($B22:E22))+IF($Y21&gt;1,IF(INT(F$6/$X21)&gt;0,$Z21-$AA21,0),-$AA21)</f>
        <v>0</v>
      </c>
      <c r="G22" s="511" t="n">
        <f aca="false">IF(INT(G$6/$X21)*$X$7&gt;G20*($X$7+$Z21)*$Y21,G20*($X$7+$Z21)-SUM($B22:F22),INT(G$6/$X21)*$X$7-G20*($X$7+$Z21)*($Y21-1)-SUM($B22:F22))+IF($Y21&gt;1,IF(INT(G$6/$X21)&gt;0,$Z21-$AA21,0),-$AA21)</f>
        <v>0</v>
      </c>
      <c r="H22" s="511" t="n">
        <f aca="false">IF(INT(H$6/$X21)*$X$7&gt;H20*($X$7+$Z21)*$Y21,H20*($X$7+$Z21)-SUM($B22:G22),INT(H$6/$X21)*$X$7-H20*($X$7+$Z21)*($Y21-1)-SUM($B22:G22))+IF($Y21&gt;1,IF(INT(H$6/$X21)&gt;0,$Z21-$AA21,0),-$AA21)</f>
        <v>0</v>
      </c>
      <c r="I22" s="511" t="n">
        <f aca="false">IF(INT(I$6/$X21)*$X$7&gt;I20*($X$7+$Z21)*$Y21,I20*($X$7+$Z21)-SUM($B22:H22),INT(I$6/$X21)*$X$7-I20*($X$7+$Z21)*($Y21-1)-SUM($B22:H22))+IF($Y21&gt;1,IF(INT(I$6/$X21)&gt;0,$Z21-$AA21,0),-$AA21)</f>
        <v>0</v>
      </c>
      <c r="J22" s="511" t="n">
        <f aca="false">IF(INT(J$6/$X21)*$X$7&gt;J20*($X$7+$Z21)*$Y21,J20*($X$7+$Z21)-SUM($B22:I22),INT(J$6/$X21)*$X$7-J20*($X$7+$Z21)*($Y21-1)-SUM($B22:I22))+IF($Y21&gt;1,IF(INT(J$6/$X21)&gt;0,$Z21-$AA21,0),-$AA21)</f>
        <v>0</v>
      </c>
      <c r="K22" s="511" t="n">
        <f aca="false">IF(INT(K$6/$X21)*$X$7&gt;K20*($X$7+$Z21)*$Y21,K20*($X$7+$Z21)-SUM($B22:J22),INT(K$6/$X21)*$X$7-K20*($X$7+$Z21)*($Y21-1)-SUM($B22:J22))+IF($Y21&gt;1,IF(INT(K$6/$X21)&gt;0,$Z21-$AA21,0),-$AA21)</f>
        <v>0</v>
      </c>
      <c r="L22" s="511" t="n">
        <f aca="false">IF(INT(L$6/$X21)*$X$7&gt;L20*($X$7+$Z21)*$Y21,L20*($X$7+$Z21)-SUM($B22:K22),INT(L$6/$X21)*$X$7-L20*($X$7+$Z21)*($Y21-1)-SUM($B22:K22))+IF($Y21&gt;1,IF(INT(L$6/$X21)&gt;0,$Z21-$AA21,0),-$AA21)</f>
        <v>0</v>
      </c>
      <c r="M22" s="511" t="n">
        <f aca="false">IF(INT(M$6/$X21)*$X$7&gt;M20*($X$7+$Z21)*$Y21,M20*($X$7+$Z21)-SUM($B22:L22),INT(M$6/$X21)*$X$7-M20*($X$7+$Z21)*($Y21-1)-SUM($B22:L22))+IF($Y21&gt;1,IF(INT(M$6/$X21)&gt;0,$Z21-$AA21,0),-$AA21)</f>
        <v>0</v>
      </c>
      <c r="N22" s="511" t="n">
        <f aca="false">IF(INT(N$6/$X21)*$X$7&gt;N20*($X$7+$Z21)*$Y21,N20*($X$7+$Z21)-SUM($B22:M22),INT(N$6/$X21)*$X$7-N20*($X$7+$Z21)*($Y21-1)-SUM($B22:M22))+IF($Y21&gt;1,IF(INT(N$6/$X21)&gt;0,$Z21-$AA21,0),-$AA21)</f>
        <v>0</v>
      </c>
      <c r="O22" s="511" t="n">
        <f aca="false">IF(INT(O$6/$X21)*$X$7&gt;O20*($X$7+$Z21)*$Y21,O20*($X$7+$Z21)-SUM($B22:N22),INT(O$6/$X21)*$X$7-O20*($X$7+$Z21)*($Y21-1)-SUM($B22:N22))+IF($Y21&gt;1,IF(INT(O$6/$X21)&gt;0,$Z21-$AA21,0),-$AA21)</f>
        <v>0</v>
      </c>
      <c r="P22" s="511" t="n">
        <f aca="false">IF(INT(P$6/$X21)*$X$7&gt;P20*($X$7+$Z21)*$Y21,P20*($X$7+$Z21)-SUM($B22:O22),INT(P$6/$X21)*$X$7-P20*($X$7+$Z21)*($Y21-1)-SUM($B22:O22))+IF($Y21&gt;1,IF(INT(P$6/$X21)&gt;0,$Z21-$AA21,0),-$AA21)</f>
        <v>0</v>
      </c>
      <c r="Q22" s="511" t="n">
        <f aca="false">IF(INT(Q$6/$X21)*$X$7&gt;Q20*($X$7+$Z21)*$Y21,Q20*($X$7+$Z21)-SUM($B22:P22),INT(Q$6/$X21)*$X$7-Q20*($X$7+$Z21)*($Y21-1)-SUM($B22:P22))+IF($Y21&gt;1,IF(INT(Q$6/$X21)&gt;0,$Z21-$AA21,0),-$AA21)</f>
        <v>0</v>
      </c>
      <c r="R22" s="511" t="n">
        <f aca="false">IF(INT(R$6/$X21)*$X$7&gt;R20*($X$7+$Z21)*$Y21,R20*($X$7+$Z21)-SUM($B22:Q22),INT(R$6/$X21)*$X$7-R20*($X$7+$Z21)*($Y21-1)-SUM($B22:Q22))+IF($Y21&gt;1,IF(INT(R$6/$X21)&gt;0,$Z21-$AA21,0),-$AA21)</f>
        <v>0</v>
      </c>
      <c r="S22" s="511" t="n">
        <f aca="false">IF(INT(S$6/$X21)*$X$7&gt;S20*($X$7+$Z21)*$Y21,S20*($X$7+$Z21)-SUM($B22:R22),INT(S$6/$X21)*$X$7-S20*($X$7+$Z21)*($Y21-1)-SUM($B22:R22))+IF($Y21&gt;1,IF(INT(S$6/$X21)&gt;0,$Z21-$AA21,0),-$AA21)</f>
        <v>0</v>
      </c>
      <c r="T22" s="511" t="n">
        <f aca="false">IF(INT(T$6/$X21)*$X$7&gt;T20*($X$7+$Z21)*$Y21,T20*($X$7+$Z21)-SUM($B22:S22),INT(T$6/$X21)*$X$7-T20*($X$7+$Z21)*($Y21-1)-SUM($B22:S22))+IF($Y21&gt;1,IF(INT(T$6/$X21)&gt;0,$Z21-$AA21,0),-$AA21)</f>
        <v>0</v>
      </c>
      <c r="U22" s="511" t="n">
        <f aca="false">IF(INT(U$6/$X21)*$X$7&gt;U20*($X$7+$Z21)*$Y21,U20*($X$7+$Z21)-SUM($B22:T22),INT(U$6/$X21)*$X$7-U20*($X$7+$Z21)*($Y21-1)-SUM($B22:T22))+IF($Y21&gt;1,IF(INT(U$6/$X21)&gt;0,$Z21-$AA21,0),-$AA21)</f>
        <v>0</v>
      </c>
      <c r="V22" s="511" t="n">
        <f aca="false">IF(INT(V$6/$X21)*$X$7&gt;V20*($X$7+$Z21)*$Y21,V20*($X$7+$Z21)-SUM($B22:U22),INT(V$6/$X21)*$X$7-V20*($X$7+$Z21)*($Y21-1)-SUM($B22:U22))+IF($Y21&gt;1,IF(INT(V$6/$X21)&gt;0,$Z21-$AA21,0),-$AA21)</f>
        <v>0</v>
      </c>
      <c r="W22" s="803"/>
    </row>
    <row r="23" customFormat="false" ht="12.75" hidden="false" customHeight="false" outlineLevel="0" collapsed="false">
      <c r="W23" s="803"/>
    </row>
    <row r="24" customFormat="false" ht="12.75" hidden="true" customHeight="false" outlineLevel="0" collapsed="false">
      <c r="A24" s="153" t="s">
        <v>1395</v>
      </c>
      <c r="B24" s="511"/>
      <c r="C24" s="153" t="n">
        <f aca="false">INT((INT(C$6/$X25)*$X$7+$X$7+$Z25-1)/($X$7+$Z25)/$Y25)</f>
        <v>0</v>
      </c>
      <c r="D24" s="153" t="n">
        <f aca="false">INT((INT(D$6/$X25)*$X$7+$X$7+$Z25-1)/($X$7+$Z25)/$Y25)</f>
        <v>0</v>
      </c>
      <c r="E24" s="153" t="n">
        <f aca="false">INT((INT(E$6/$X25)*$X$7+$X$7+$Z25-1)/($X$7+$Z25)/$Y25)</f>
        <v>0</v>
      </c>
      <c r="F24" s="153" t="n">
        <f aca="false">INT((INT(F$6/$X25)*$X$7+$X$7+$Z25-1)/($X$7+$Z25)/$Y25)</f>
        <v>0</v>
      </c>
      <c r="G24" s="153" t="n">
        <f aca="false">INT((INT(G$6/$X25)*$X$7+$X$7+$Z25-1)/($X$7+$Z25)/$Y25)</f>
        <v>0</v>
      </c>
      <c r="H24" s="153" t="n">
        <f aca="false">INT((INT(H$6/$X25)*$X$7+$X$7+$Z25-1)/($X$7+$Z25)/$Y25)</f>
        <v>0</v>
      </c>
      <c r="I24" s="153" t="n">
        <f aca="false">INT((INT(I$6/$X25)*$X$7+$X$7+$Z25-1)/($X$7+$Z25)/$Y25)</f>
        <v>0</v>
      </c>
      <c r="J24" s="153" t="n">
        <f aca="false">INT((INT(J$6/$X25)*$X$7+$X$7+$Z25-1)/($X$7+$Z25)/$Y25)</f>
        <v>0</v>
      </c>
      <c r="K24" s="153" t="n">
        <f aca="false">INT((INT(K$6/$X25)*$X$7+$X$7+$Z25-1)/($X$7+$Z25)/$Y25)</f>
        <v>0</v>
      </c>
      <c r="L24" s="153" t="n">
        <f aca="false">INT((INT(L$6/$X25)*$X$7+$X$7+$Z25-1)/($X$7+$Z25)/$Y25)</f>
        <v>0</v>
      </c>
      <c r="M24" s="153" t="n">
        <f aca="false">INT((INT(M$6/$X25)*$X$7+$X$7+$Z25-1)/($X$7+$Z25)/$Y25)</f>
        <v>0</v>
      </c>
      <c r="N24" s="153" t="n">
        <f aca="false">INT((INT(N$6/$X25)*$X$7+$X$7+$Z25-1)/($X$7+$Z25)/$Y25)</f>
        <v>0</v>
      </c>
      <c r="O24" s="153" t="n">
        <f aca="false">INT((INT(O$6/$X25)*$X$7+$X$7+$Z25-1)/($X$7+$Z25)/$Y25)</f>
        <v>0</v>
      </c>
      <c r="P24" s="153" t="n">
        <f aca="false">INT((INT(P$6/$X25)*$X$7+$X$7+$Z25-1)/($X$7+$Z25)/$Y25)</f>
        <v>0</v>
      </c>
      <c r="Q24" s="153" t="n">
        <f aca="false">INT((INT(Q$6/$X25)*$X$7+$X$7+$Z25-1)/($X$7+$Z25)/$Y25)</f>
        <v>0</v>
      </c>
      <c r="R24" s="153" t="n">
        <f aca="false">INT((INT(R$6/$X25)*$X$7+$X$7+$Z25-1)/($X$7+$Z25)/$Y25)</f>
        <v>0</v>
      </c>
      <c r="S24" s="153" t="n">
        <f aca="false">INT((INT(S$6/$X25)*$X$7+$X$7+$Z25-1)/($X$7+$Z25)/$Y25)</f>
        <v>0</v>
      </c>
      <c r="T24" s="153" t="n">
        <f aca="false">INT((INT(T$6/$X25)*$X$7+$X$7+$Z25-1)/($X$7+$Z25)/$Y25)</f>
        <v>0</v>
      </c>
      <c r="U24" s="153" t="n">
        <f aca="false">INT((INT(U$6/$X25)*$X$7+$X$7+$Z25-1)/($X$7+$Z25)/$Y25)</f>
        <v>0</v>
      </c>
      <c r="V24" s="153" t="n">
        <f aca="false">INT((INT(V$6/$X25)*$X$7+$X$7+$Z25-1)/($X$7+$Z25)/$Y25)</f>
        <v>0</v>
      </c>
    </row>
    <row r="25" customFormat="false" ht="12.75" hidden="false" customHeight="false" outlineLevel="0" collapsed="false">
      <c r="A25" s="153" t="s">
        <v>1396</v>
      </c>
      <c r="B25" s="511" t="s">
        <v>1007</v>
      </c>
      <c r="C25" s="511" t="n">
        <f aca="false">IF($Y25=1,0,$X$7*(INT(C$6/$X25)-INT(B$6/$X25))-IF(SUM($B25:B25)&gt;0,C26,0))</f>
        <v>0</v>
      </c>
      <c r="D25" s="511" t="n">
        <f aca="false">IF($Y25=1,0,$X$7*(INT(D$6/$X25)-INT(C$6/$X25))-IF(SUM($B25:C25)&gt;0,D26,0))</f>
        <v>0</v>
      </c>
      <c r="E25" s="511" t="n">
        <f aca="false">IF($Y25=1,0,$X$7*(INT(E$6/$X25)-INT(D$6/$X25))-IF(SUM($B25:D25)&gt;0,E26,0))</f>
        <v>0</v>
      </c>
      <c r="F25" s="511" t="n">
        <f aca="false">IF($Y25=1,0,$X$7*(INT(F$6/$X25)-INT(E$6/$X25))-IF(SUM($B25:E25)&gt;0,F26,0))</f>
        <v>0</v>
      </c>
      <c r="G25" s="511" t="n">
        <f aca="false">IF($Y25=1,0,$X$7*(INT(G$6/$X25)-INT(F$6/$X25))-IF(SUM($B25:F25)&gt;0,G26,0))</f>
        <v>0</v>
      </c>
      <c r="H25" s="511" t="n">
        <f aca="false">IF($Y25=1,0,$X$7*(INT(H$6/$X25)-INT(G$6/$X25))-IF(SUM($B25:G25)&gt;0,H26,0))</f>
        <v>0</v>
      </c>
      <c r="I25" s="511" t="n">
        <f aca="false">IF($Y25=1,0,$X$7*(INT(I$6/$X25)-INT(H$6/$X25))-IF(SUM($B25:H25)&gt;0,I26,0))</f>
        <v>0</v>
      </c>
      <c r="J25" s="511" t="n">
        <f aca="false">IF($Y25=1,0,$X$7*(INT(J$6/$X25)-INT(I$6/$X25))-IF(SUM($B25:I25)&gt;0,J26,0))</f>
        <v>0</v>
      </c>
      <c r="K25" s="511" t="n">
        <f aca="false">IF($Y25=1,0,$X$7*(INT(K$6/$X25)-INT(J$6/$X25))-IF(SUM($B25:J25)&gt;0,K26,0))</f>
        <v>0</v>
      </c>
      <c r="L25" s="511" t="n">
        <f aca="false">IF($Y25=1,0,$X$7*(INT(L$6/$X25)-INT(K$6/$X25))-IF(SUM($B25:K25)&gt;0,L26,0))</f>
        <v>0</v>
      </c>
      <c r="M25" s="511" t="n">
        <f aca="false">IF($Y25=1,0,$X$7*(INT(M$6/$X25)-INT(L$6/$X25))-IF(SUM($B25:L25)&gt;0,M26,0))</f>
        <v>0</v>
      </c>
      <c r="N25" s="511" t="n">
        <f aca="false">IF($Y25=1,0,$X$7*(INT(N$6/$X25)-INT(M$6/$X25))-IF(SUM($B25:M25)&gt;0,N26,0))</f>
        <v>0</v>
      </c>
      <c r="O25" s="511" t="n">
        <f aca="false">IF($Y25=1,0,$X$7*(INT(O$6/$X25)-INT(N$6/$X25))-IF(SUM($B25:N25)&gt;0,O26,0))</f>
        <v>0</v>
      </c>
      <c r="P25" s="511" t="n">
        <f aca="false">IF($Y25=1,0,$X$7*(INT(P$6/$X25)-INT(O$6/$X25))-IF(SUM($B25:O25)&gt;0,P26,0))</f>
        <v>0</v>
      </c>
      <c r="Q25" s="511" t="n">
        <f aca="false">IF($Y25=1,0,$X$7*(INT(Q$6/$X25)-INT(P$6/$X25))-IF(SUM($B25:P25)&gt;0,Q26,0))</f>
        <v>0</v>
      </c>
      <c r="R25" s="511" t="n">
        <f aca="false">IF($Y25=1,0,$X$7*(INT(R$6/$X25)-INT(Q$6/$X25))-IF(SUM($B25:Q25)&gt;0,R26,0))</f>
        <v>0</v>
      </c>
      <c r="S25" s="511" t="n">
        <f aca="false">IF($Y25=1,0,$X$7*(INT(S$6/$X25)-INT(R$6/$X25))-IF(SUM($B25:R25)&gt;0,S26,0))</f>
        <v>0</v>
      </c>
      <c r="T25" s="511" t="n">
        <f aca="false">IF($Y25=1,0,$X$7*(INT(T$6/$X25)-INT(S$6/$X25))-IF(SUM($B25:S25)&gt;0,T26,0))</f>
        <v>0</v>
      </c>
      <c r="U25" s="511" t="n">
        <f aca="false">IF($Y25=1,0,$X$7*(INT(U$6/$X25)-INT(T$6/$X25))-IF(SUM($B25:T25)&gt;0,U26,0))</f>
        <v>0</v>
      </c>
      <c r="V25" s="511" t="n">
        <f aca="false">IF($Y25=1,0,$X$7*(INT(V$6/$X25)-INT(U$6/$X25))-IF(SUM($B25:U25)&gt;0,V26,0))</f>
        <v>0</v>
      </c>
      <c r="W25" s="800" t="str">
        <f aca="false">'GT schd cost(W501D5A)'!A16</f>
        <v>Transition Seals</v>
      </c>
      <c r="X25" s="800" t="n">
        <f aca="false">IF($AD$6=1,'GTDB(W501D5A)'!B19,'GTDB(W501D5A)'!G19)</f>
        <v>8000</v>
      </c>
      <c r="Y25" s="800" t="n">
        <f aca="false">IF($AD$6=1,'GTDB(W501D5A)'!C19,'GTDB(W501D5A)'!H19)</f>
        <v>3</v>
      </c>
      <c r="Z25" s="801" t="n">
        <v>2</v>
      </c>
      <c r="AA25" s="805" t="n">
        <f aca="false">'Initial_Spares(W501D5A)'!$E$13</f>
        <v>0</v>
      </c>
      <c r="AB25" s="764" t="n">
        <f aca="false">'GT schd cost(W501D5A)'!X16+'GT schd cost(W501D5A)'!X42</f>
        <v>0</v>
      </c>
    </row>
    <row r="26" customFormat="false" ht="12.75" hidden="false" customHeight="false" outlineLevel="0" collapsed="false">
      <c r="A26" s="153" t="s">
        <v>1397</v>
      </c>
      <c r="B26" s="511" t="s">
        <v>1007</v>
      </c>
      <c r="C26" s="511" t="n">
        <f aca="false">IF(INT(C$6/$X25)*$X$7&gt;C24*($X$7+$Z25)*$Y25,C24*($X$7+$Z25)-SUM($B26:B26),INT(C$6/$X25)*$X$7-C24*($X$7+$Z25)*($Y25-1)-SUM($B26:B26))+IF($Y25&gt;1,IF(INT(C$6/$X25)&gt;0,$Z25-$AA25,0),-$AA25)</f>
        <v>0</v>
      </c>
      <c r="D26" s="511" t="n">
        <f aca="false">IF(INT(D$6/$X25)*$X$7&gt;D24*($X$7+$Z25)*$Y25,D24*($X$7+$Z25)-SUM($B26:C26),INT(D$6/$X25)*$X$7-D24*($X$7+$Z25)*($Y25-1)-SUM($B26:C26))+IF($Y25&gt;1,IF(INT(D$6/$X25)&gt;0,$Z25-$AA25,0),-$AA25)</f>
        <v>0</v>
      </c>
      <c r="E26" s="511" t="n">
        <f aca="false">IF(INT(E$6/$X25)*$X$7&gt;E24*($X$7+$Z25)*$Y25,E24*($X$7+$Z25)-SUM($B26:D26),INT(E$6/$X25)*$X$7-E24*($X$7+$Z25)*($Y25-1)-SUM($B26:D26))+IF($Y25&gt;1,IF(INT(E$6/$X25)&gt;0,$Z25-$AA25,0),-$AA25)</f>
        <v>0</v>
      </c>
      <c r="F26" s="511" t="n">
        <f aca="false">IF(INT(F$6/$X25)*$X$7&gt;F24*($X$7+$Z25)*$Y25,F24*($X$7+$Z25)-SUM($B26:E26),INT(F$6/$X25)*$X$7-F24*($X$7+$Z25)*($Y25-1)-SUM($B26:E26))+IF($Y25&gt;1,IF(INT(F$6/$X25)&gt;0,$Z25-$AA25,0),-$AA25)</f>
        <v>0</v>
      </c>
      <c r="G26" s="511" t="n">
        <f aca="false">IF(INT(G$6/$X25)*$X$7&gt;G24*($X$7+$Z25)*$Y25,G24*($X$7+$Z25)-SUM($B26:F26),INT(G$6/$X25)*$X$7-G24*($X$7+$Z25)*($Y25-1)-SUM($B26:F26))+IF($Y25&gt;1,IF(INT(G$6/$X25)&gt;0,$Z25-$AA25,0),-$AA25)</f>
        <v>0</v>
      </c>
      <c r="H26" s="511" t="n">
        <f aca="false">IF(INT(H$6/$X25)*$X$7&gt;H24*($X$7+$Z25)*$Y25,H24*($X$7+$Z25)-SUM($B26:G26),INT(H$6/$X25)*$X$7-H24*($X$7+$Z25)*($Y25-1)-SUM($B26:G26))+IF($Y25&gt;1,IF(INT(H$6/$X25)&gt;0,$Z25-$AA25,0),-$AA25)</f>
        <v>0</v>
      </c>
      <c r="I26" s="511" t="n">
        <f aca="false">IF(INT(I$6/$X25)*$X$7&gt;I24*($X$7+$Z25)*$Y25,I24*($X$7+$Z25)-SUM($B26:H26),INT(I$6/$X25)*$X$7-I24*($X$7+$Z25)*($Y25-1)-SUM($B26:H26))+IF($Y25&gt;1,IF(INT(I$6/$X25)&gt;0,$Z25-$AA25,0),-$AA25)</f>
        <v>0</v>
      </c>
      <c r="J26" s="511" t="n">
        <f aca="false">IF(INT(J$6/$X25)*$X$7&gt;J24*($X$7+$Z25)*$Y25,J24*($X$7+$Z25)-SUM($B26:I26),INT(J$6/$X25)*$X$7-J24*($X$7+$Z25)*($Y25-1)-SUM($B26:I26))+IF($Y25&gt;1,IF(INT(J$6/$X25)&gt;0,$Z25-$AA25,0),-$AA25)</f>
        <v>0</v>
      </c>
      <c r="K26" s="511" t="n">
        <f aca="false">IF(INT(K$6/$X25)*$X$7&gt;K24*($X$7+$Z25)*$Y25,K24*($X$7+$Z25)-SUM($B26:J26),INT(K$6/$X25)*$X$7-K24*($X$7+$Z25)*($Y25-1)-SUM($B26:J26))+IF($Y25&gt;1,IF(INT(K$6/$X25)&gt;0,$Z25-$AA25,0),-$AA25)</f>
        <v>0</v>
      </c>
      <c r="L26" s="511" t="n">
        <f aca="false">IF(INT(L$6/$X25)*$X$7&gt;L24*($X$7+$Z25)*$Y25,L24*($X$7+$Z25)-SUM($B26:K26),INT(L$6/$X25)*$X$7-L24*($X$7+$Z25)*($Y25-1)-SUM($B26:K26))+IF($Y25&gt;1,IF(INT(L$6/$X25)&gt;0,$Z25-$AA25,0),-$AA25)</f>
        <v>0</v>
      </c>
      <c r="M26" s="511" t="n">
        <f aca="false">IF(INT(M$6/$X25)*$X$7&gt;M24*($X$7+$Z25)*$Y25,M24*($X$7+$Z25)-SUM($B26:L26),INT(M$6/$X25)*$X$7-M24*($X$7+$Z25)*($Y25-1)-SUM($B26:L26))+IF($Y25&gt;1,IF(INT(M$6/$X25)&gt;0,$Z25-$AA25,0),-$AA25)</f>
        <v>0</v>
      </c>
      <c r="N26" s="511" t="n">
        <f aca="false">IF(INT(N$6/$X25)*$X$7&gt;N24*($X$7+$Z25)*$Y25,N24*($X$7+$Z25)-SUM($B26:M26),INT(N$6/$X25)*$X$7-N24*($X$7+$Z25)*($Y25-1)-SUM($B26:M26))+IF($Y25&gt;1,IF(INT(N$6/$X25)&gt;0,$Z25-$AA25,0),-$AA25)</f>
        <v>0</v>
      </c>
      <c r="O26" s="511" t="n">
        <f aca="false">IF(INT(O$6/$X25)*$X$7&gt;O24*($X$7+$Z25)*$Y25,O24*($X$7+$Z25)-SUM($B26:N26),INT(O$6/$X25)*$X$7-O24*($X$7+$Z25)*($Y25-1)-SUM($B26:N26))+IF($Y25&gt;1,IF(INT(O$6/$X25)&gt;0,$Z25-$AA25,0),-$AA25)</f>
        <v>0</v>
      </c>
      <c r="P26" s="511" t="n">
        <f aca="false">IF(INT(P$6/$X25)*$X$7&gt;P24*($X$7+$Z25)*$Y25,P24*($X$7+$Z25)-SUM($B26:O26),INT(P$6/$X25)*$X$7-P24*($X$7+$Z25)*($Y25-1)-SUM($B26:O26))+IF($Y25&gt;1,IF(INT(P$6/$X25)&gt;0,$Z25-$AA25,0),-$AA25)</f>
        <v>0</v>
      </c>
      <c r="Q26" s="511" t="n">
        <f aca="false">IF(INT(Q$6/$X25)*$X$7&gt;Q24*($X$7+$Z25)*$Y25,Q24*($X$7+$Z25)-SUM($B26:P26),INT(Q$6/$X25)*$X$7-Q24*($X$7+$Z25)*($Y25-1)-SUM($B26:P26))+IF($Y25&gt;1,IF(INT(Q$6/$X25)&gt;0,$Z25-$AA25,0),-$AA25)</f>
        <v>0</v>
      </c>
      <c r="R26" s="511" t="n">
        <f aca="false">IF(INT(R$6/$X25)*$X$7&gt;R24*($X$7+$Z25)*$Y25,R24*($X$7+$Z25)-SUM($B26:Q26),INT(R$6/$X25)*$X$7-R24*($X$7+$Z25)*($Y25-1)-SUM($B26:Q26))+IF($Y25&gt;1,IF(INT(R$6/$X25)&gt;0,$Z25-$AA25,0),-$AA25)</f>
        <v>0</v>
      </c>
      <c r="S26" s="511" t="n">
        <f aca="false">IF(INT(S$6/$X25)*$X$7&gt;S24*($X$7+$Z25)*$Y25,S24*($X$7+$Z25)-SUM($B26:R26),INT(S$6/$X25)*$X$7-S24*($X$7+$Z25)*($Y25-1)-SUM($B26:R26))+IF($Y25&gt;1,IF(INT(S$6/$X25)&gt;0,$Z25-$AA25,0),-$AA25)</f>
        <v>0</v>
      </c>
      <c r="T26" s="511" t="n">
        <f aca="false">IF(INT(T$6/$X25)*$X$7&gt;T24*($X$7+$Z25)*$Y25,T24*($X$7+$Z25)-SUM($B26:S26),INT(T$6/$X25)*$X$7-T24*($X$7+$Z25)*($Y25-1)-SUM($B26:S26))+IF($Y25&gt;1,IF(INT(T$6/$X25)&gt;0,$Z25-$AA25,0),-$AA25)</f>
        <v>0</v>
      </c>
      <c r="U26" s="511" t="n">
        <f aca="false">IF(INT(U$6/$X25)*$X$7&gt;U24*($X$7+$Z25)*$Y25,U24*($X$7+$Z25)-SUM($B26:T26),INT(U$6/$X25)*$X$7-U24*($X$7+$Z25)*($Y25-1)-SUM($B26:T26))+IF($Y25&gt;1,IF(INT(U$6/$X25)&gt;0,$Z25-$AA25,0),-$AA25)</f>
        <v>0</v>
      </c>
      <c r="V26" s="511" t="n">
        <f aca="false">IF(INT(V$6/$X25)*$X$7&gt;V24*($X$7+$Z25)*$Y25,V24*($X$7+$Z25)-SUM($B26:U26),INT(V$6/$X25)*$X$7-V24*($X$7+$Z25)*($Y25-1)-SUM($B26:U26))+IF($Y25&gt;1,IF(INT(V$6/$X25)&gt;0,$Z25-$AA25,0),-$AA25)</f>
        <v>0</v>
      </c>
      <c r="W26" s="803"/>
    </row>
    <row r="27" customFormat="false" ht="12.75" hidden="false" customHeight="false" outlineLevel="0" collapsed="false">
      <c r="W27" s="803"/>
    </row>
    <row r="28" customFormat="false" ht="12.75" hidden="true" customHeight="false" outlineLevel="0" collapsed="false">
      <c r="A28" s="153" t="s">
        <v>1395</v>
      </c>
      <c r="B28" s="511"/>
      <c r="C28" s="153" t="n">
        <f aca="false">INT((INT(C$6/$X29)*$X$7+$X$7+$Z29-1)/($X$7+$Z29)/$Y29)</f>
        <v>0</v>
      </c>
      <c r="D28" s="153" t="n">
        <f aca="false">INT((INT(D$6/$X29)*$X$7+$X$7+$Z29-1)/($X$7+$Z29)/$Y29)</f>
        <v>0</v>
      </c>
      <c r="E28" s="153" t="n">
        <f aca="false">INT((INT(E$6/$X29)*$X$7+$X$7+$Z29-1)/($X$7+$Z29)/$Y29)</f>
        <v>0</v>
      </c>
      <c r="F28" s="153" t="n">
        <f aca="false">INT((INT(F$6/$X29)*$X$7+$X$7+$Z29-1)/($X$7+$Z29)/$Y29)</f>
        <v>0</v>
      </c>
      <c r="G28" s="153" t="n">
        <f aca="false">INT((INT(G$6/$X29)*$X$7+$X$7+$Z29-1)/($X$7+$Z29)/$Y29)</f>
        <v>0</v>
      </c>
      <c r="H28" s="153" t="n">
        <f aca="false">INT((INT(H$6/$X29)*$X$7+$X$7+$Z29-1)/($X$7+$Z29)/$Y29)</f>
        <v>0</v>
      </c>
      <c r="I28" s="153" t="n">
        <f aca="false">INT((INT(I$6/$X29)*$X$7+$X$7+$Z29-1)/($X$7+$Z29)/$Y29)</f>
        <v>0</v>
      </c>
      <c r="J28" s="153" t="n">
        <f aca="false">INT((INT(J$6/$X29)*$X$7+$X$7+$Z29-1)/($X$7+$Z29)/$Y29)</f>
        <v>0</v>
      </c>
      <c r="K28" s="153" t="n">
        <f aca="false">INT((INT(K$6/$X29)*$X$7+$X$7+$Z29-1)/($X$7+$Z29)/$Y29)</f>
        <v>0</v>
      </c>
      <c r="L28" s="153" t="n">
        <f aca="false">INT((INT(L$6/$X29)*$X$7+$X$7+$Z29-1)/($X$7+$Z29)/$Y29)</f>
        <v>0</v>
      </c>
      <c r="M28" s="153" t="n">
        <f aca="false">INT((INT(M$6/$X29)*$X$7+$X$7+$Z29-1)/($X$7+$Z29)/$Y29)</f>
        <v>0</v>
      </c>
      <c r="N28" s="153" t="n">
        <f aca="false">INT((INT(N$6/$X29)*$X$7+$X$7+$Z29-1)/($X$7+$Z29)/$Y29)</f>
        <v>0</v>
      </c>
      <c r="O28" s="153" t="n">
        <f aca="false">INT((INT(O$6/$X29)*$X$7+$X$7+$Z29-1)/($X$7+$Z29)/$Y29)</f>
        <v>0</v>
      </c>
      <c r="P28" s="153" t="n">
        <f aca="false">INT((INT(P$6/$X29)*$X$7+$X$7+$Z29-1)/($X$7+$Z29)/$Y29)</f>
        <v>0</v>
      </c>
      <c r="Q28" s="153" t="n">
        <f aca="false">INT((INT(Q$6/$X29)*$X$7+$X$7+$Z29-1)/($X$7+$Z29)/$Y29)</f>
        <v>0</v>
      </c>
      <c r="R28" s="153" t="n">
        <f aca="false">INT((INT(R$6/$X29)*$X$7+$X$7+$Z29-1)/($X$7+$Z29)/$Y29)</f>
        <v>0</v>
      </c>
      <c r="S28" s="153" t="n">
        <f aca="false">INT((INT(S$6/$X29)*$X$7+$X$7+$Z29-1)/($X$7+$Z29)/$Y29)</f>
        <v>0</v>
      </c>
      <c r="T28" s="153" t="n">
        <f aca="false">INT((INT(T$6/$X29)*$X$7+$X$7+$Z29-1)/($X$7+$Z29)/$Y29)</f>
        <v>0</v>
      </c>
      <c r="U28" s="153" t="n">
        <f aca="false">INT((INT(U$6/$X29)*$X$7+$X$7+$Z29-1)/($X$7+$Z29)/$Y29)</f>
        <v>0</v>
      </c>
      <c r="V28" s="153" t="n">
        <f aca="false">INT((INT(V$6/$X29)*$X$7+$X$7+$Z29-1)/($X$7+$Z29)/$Y29)</f>
        <v>0</v>
      </c>
    </row>
    <row r="29" customFormat="false" ht="12.75" hidden="false" customHeight="false" outlineLevel="0" collapsed="false">
      <c r="A29" s="153" t="s">
        <v>1396</v>
      </c>
      <c r="B29" s="511" t="s">
        <v>1007</v>
      </c>
      <c r="C29" s="511" t="n">
        <f aca="false">IF($Y29=1,0,$X$7*(INT(C$6/$X29)-INT(B$6/$X29))-IF(SUM($B29:B29)&gt;0,C30,0))</f>
        <v>0</v>
      </c>
      <c r="D29" s="511" t="n">
        <f aca="false">IF($Y29=1,0,$X$7*(INT(D$6/$X29)-INT(C$6/$X29))-IF(SUM($B29:C29)&gt;0,D30,0))</f>
        <v>0</v>
      </c>
      <c r="E29" s="511" t="n">
        <f aca="false">IF($Y29=1,0,$X$7*(INT(E$6/$X29)-INT(D$6/$X29))-IF(SUM($B29:D29)&gt;0,E30,0))</f>
        <v>0</v>
      </c>
      <c r="F29" s="511" t="n">
        <f aca="false">IF($Y29=1,0,$X$7*(INT(F$6/$X29)-INT(E$6/$X29))-IF(SUM($B29:E29)&gt;0,F30,0))</f>
        <v>0</v>
      </c>
      <c r="G29" s="511" t="n">
        <f aca="false">IF($Y29=1,0,$X$7*(INT(G$6/$X29)-INT(F$6/$X29))-IF(SUM($B29:F29)&gt;0,G30,0))</f>
        <v>0</v>
      </c>
      <c r="H29" s="511" t="n">
        <f aca="false">IF($Y29=1,0,$X$7*(INT(H$6/$X29)-INT(G$6/$X29))-IF(SUM($B29:G29)&gt;0,H30,0))</f>
        <v>0</v>
      </c>
      <c r="I29" s="511" t="n">
        <f aca="false">IF($Y29=1,0,$X$7*(INT(I$6/$X29)-INT(H$6/$X29))-IF(SUM($B29:H29)&gt;0,I30,0))</f>
        <v>0</v>
      </c>
      <c r="J29" s="511" t="n">
        <f aca="false">IF($Y29=1,0,$X$7*(INT(J$6/$X29)-INT(I$6/$X29))-IF(SUM($B29:I29)&gt;0,J30,0))</f>
        <v>0</v>
      </c>
      <c r="K29" s="511" t="n">
        <f aca="false">IF($Y29=1,0,$X$7*(INT(K$6/$X29)-INT(J$6/$X29))-IF(SUM($B29:J29)&gt;0,K30,0))</f>
        <v>0</v>
      </c>
      <c r="L29" s="511" t="n">
        <f aca="false">IF($Y29=1,0,$X$7*(INT(L$6/$X29)-INT(K$6/$X29))-IF(SUM($B29:K29)&gt;0,L30,0))</f>
        <v>0</v>
      </c>
      <c r="M29" s="511" t="n">
        <f aca="false">IF($Y29=1,0,$X$7*(INT(M$6/$X29)-INT(L$6/$X29))-IF(SUM($B29:L29)&gt;0,M30,0))</f>
        <v>0</v>
      </c>
      <c r="N29" s="511" t="n">
        <f aca="false">IF($Y29=1,0,$X$7*(INT(N$6/$X29)-INT(M$6/$X29))-IF(SUM($B29:M29)&gt;0,N30,0))</f>
        <v>0</v>
      </c>
      <c r="O29" s="511" t="n">
        <f aca="false">IF($Y29=1,0,$X$7*(INT(O$6/$X29)-INT(N$6/$X29))-IF(SUM($B29:N29)&gt;0,O30,0))</f>
        <v>0</v>
      </c>
      <c r="P29" s="511" t="n">
        <f aca="false">IF($Y29=1,0,$X$7*(INT(P$6/$X29)-INT(O$6/$X29))-IF(SUM($B29:O29)&gt;0,P30,0))</f>
        <v>0</v>
      </c>
      <c r="Q29" s="511" t="n">
        <f aca="false">IF($Y29=1,0,$X$7*(INT(Q$6/$X29)-INT(P$6/$X29))-IF(SUM($B29:P29)&gt;0,Q30,0))</f>
        <v>0</v>
      </c>
      <c r="R29" s="511" t="n">
        <f aca="false">IF($Y29=1,0,$X$7*(INT(R$6/$X29)-INT(Q$6/$X29))-IF(SUM($B29:Q29)&gt;0,R30,0))</f>
        <v>0</v>
      </c>
      <c r="S29" s="511" t="n">
        <f aca="false">IF($Y29=1,0,$X$7*(INT(S$6/$X29)-INT(R$6/$X29))-IF(SUM($B29:R29)&gt;0,S30,0))</f>
        <v>0</v>
      </c>
      <c r="T29" s="511" t="n">
        <f aca="false">IF($Y29=1,0,$X$7*(INT(T$6/$X29)-INT(S$6/$X29))-IF(SUM($B29:S29)&gt;0,T30,0))</f>
        <v>0</v>
      </c>
      <c r="U29" s="511" t="n">
        <f aca="false">IF($Y29=1,0,$X$7*(INT(U$6/$X29)-INT(T$6/$X29))-IF(SUM($B29:T29)&gt;0,U30,0))</f>
        <v>0</v>
      </c>
      <c r="V29" s="511" t="n">
        <f aca="false">IF($Y29=1,0,$X$7*(INT(V$6/$X29)-INT(U$6/$X29))-IF(SUM($B29:U29)&gt;0,V30,0))</f>
        <v>0</v>
      </c>
      <c r="W29" s="800" t="str">
        <f aca="false">'GT schd cost(W501D5A)'!A17</f>
        <v>Fuel Nozzles</v>
      </c>
      <c r="X29" s="800" t="n">
        <f aca="false">IF($AD$6=1,'GTDB(W501D5A)'!B20,'GTDB(W501D5A)'!G20)</f>
        <v>8000</v>
      </c>
      <c r="Y29" s="800" t="n">
        <f aca="false">IF($AD$6=1,'GTDB(W501D5A)'!C20,'GTDB(W501D5A)'!H20)</f>
        <v>8</v>
      </c>
      <c r="Z29" s="801" t="n">
        <v>1</v>
      </c>
      <c r="AA29" s="805" t="n">
        <f aca="false">'Initial_Spares(W501D5A)'!$E$14</f>
        <v>0</v>
      </c>
      <c r="AB29" s="764" t="n">
        <f aca="false">'GT schd cost(W501D5A)'!X17+'GT schd cost(W501D5A)'!X43</f>
        <v>0</v>
      </c>
    </row>
    <row r="30" customFormat="false" ht="12.75" hidden="false" customHeight="false" outlineLevel="0" collapsed="false">
      <c r="A30" s="153" t="s">
        <v>1397</v>
      </c>
      <c r="B30" s="511" t="s">
        <v>1007</v>
      </c>
      <c r="C30" s="511" t="n">
        <f aca="false">IF(INT(C$6/$X29)*$X$7&gt;C28*($X$7+$Z29)*$Y29,C28*($X$7+$Z29)-SUM($B30:B30),INT(C$6/$X29)*$X$7-C28*($X$7+$Z29)*($Y29-1)-SUM($B30:B30))+IF($Y29&gt;1,IF(INT(C$6/$X29)&gt;0,$Z29-$AA29,0),-$AA29)</f>
        <v>0</v>
      </c>
      <c r="D30" s="511" t="n">
        <f aca="false">IF(INT(D$6/$X29)*$X$7&gt;D28*($X$7+$Z29)*$Y29,D28*($X$7+$Z29)-SUM($B30:C30),INT(D$6/$X29)*$X$7-D28*($X$7+$Z29)*($Y29-1)-SUM($B30:C30))+IF($Y29&gt;1,IF(INT(D$6/$X29)&gt;0,$Z29-$AA29,0),-$AA29)</f>
        <v>0</v>
      </c>
      <c r="E30" s="511" t="n">
        <f aca="false">IF(INT(E$6/$X29)*$X$7&gt;E28*($X$7+$Z29)*$Y29,E28*($X$7+$Z29)-SUM($B30:D30),INT(E$6/$X29)*$X$7-E28*($X$7+$Z29)*($Y29-1)-SUM($B30:D30))+IF($Y29&gt;1,IF(INT(E$6/$X29)&gt;0,$Z29-$AA29,0),-$AA29)</f>
        <v>0</v>
      </c>
      <c r="F30" s="511" t="n">
        <f aca="false">IF(INT(F$6/$X29)*$X$7&gt;F28*($X$7+$Z29)*$Y29,F28*($X$7+$Z29)-SUM($B30:E30),INT(F$6/$X29)*$X$7-F28*($X$7+$Z29)*($Y29-1)-SUM($B30:E30))+IF($Y29&gt;1,IF(INT(F$6/$X29)&gt;0,$Z29-$AA29,0),-$AA29)</f>
        <v>0</v>
      </c>
      <c r="G30" s="511" t="n">
        <f aca="false">IF(INT(G$6/$X29)*$X$7&gt;G28*($X$7+$Z29)*$Y29,G28*($X$7+$Z29)-SUM($B30:F30),INT(G$6/$X29)*$X$7-G28*($X$7+$Z29)*($Y29-1)-SUM($B30:F30))+IF($Y29&gt;1,IF(INT(G$6/$X29)&gt;0,$Z29-$AA29,0),-$AA29)</f>
        <v>0</v>
      </c>
      <c r="H30" s="511" t="n">
        <f aca="false">IF(INT(H$6/$X29)*$X$7&gt;H28*($X$7+$Z29)*$Y29,H28*($X$7+$Z29)-SUM($B30:G30),INT(H$6/$X29)*$X$7-H28*($X$7+$Z29)*($Y29-1)-SUM($B30:G30))+IF($Y29&gt;1,IF(INT(H$6/$X29)&gt;0,$Z29-$AA29,0),-$AA29)</f>
        <v>0</v>
      </c>
      <c r="I30" s="511" t="n">
        <f aca="false">IF(INT(I$6/$X29)*$X$7&gt;I28*($X$7+$Z29)*$Y29,I28*($X$7+$Z29)-SUM($B30:H30),INT(I$6/$X29)*$X$7-I28*($X$7+$Z29)*($Y29-1)-SUM($B30:H30))+IF($Y29&gt;1,IF(INT(I$6/$X29)&gt;0,$Z29-$AA29,0),-$AA29)</f>
        <v>0</v>
      </c>
      <c r="J30" s="511" t="n">
        <f aca="false">IF(INT(J$6/$X29)*$X$7&gt;J28*($X$7+$Z29)*$Y29,J28*($X$7+$Z29)-SUM($B30:I30),INT(J$6/$X29)*$X$7-J28*($X$7+$Z29)*($Y29-1)-SUM($B30:I30))+IF($Y29&gt;1,IF(INT(J$6/$X29)&gt;0,$Z29-$AA29,0),-$AA29)</f>
        <v>0</v>
      </c>
      <c r="K30" s="511" t="n">
        <f aca="false">IF(INT(K$6/$X29)*$X$7&gt;K28*($X$7+$Z29)*$Y29,K28*($X$7+$Z29)-SUM($B30:J30),INT(K$6/$X29)*$X$7-K28*($X$7+$Z29)*($Y29-1)-SUM($B30:J30))+IF($Y29&gt;1,IF(INT(K$6/$X29)&gt;0,$Z29-$AA29,0),-$AA29)</f>
        <v>0</v>
      </c>
      <c r="L30" s="511" t="n">
        <f aca="false">IF(INT(L$6/$X29)*$X$7&gt;L28*($X$7+$Z29)*$Y29,L28*($X$7+$Z29)-SUM($B30:K30),INT(L$6/$X29)*$X$7-L28*($X$7+$Z29)*($Y29-1)-SUM($B30:K30))+IF($Y29&gt;1,IF(INT(L$6/$X29)&gt;0,$Z29-$AA29,0),-$AA29)</f>
        <v>0</v>
      </c>
      <c r="M30" s="511" t="n">
        <f aca="false">IF(INT(M$6/$X29)*$X$7&gt;M28*($X$7+$Z29)*$Y29,M28*($X$7+$Z29)-SUM($B30:L30),INT(M$6/$X29)*$X$7-M28*($X$7+$Z29)*($Y29-1)-SUM($B30:L30))+IF($Y29&gt;1,IF(INT(M$6/$X29)&gt;0,$Z29-$AA29,0),-$AA29)</f>
        <v>0</v>
      </c>
      <c r="N30" s="511" t="n">
        <f aca="false">IF(INT(N$6/$X29)*$X$7&gt;N28*($X$7+$Z29)*$Y29,N28*($X$7+$Z29)-SUM($B30:M30),INT(N$6/$X29)*$X$7-N28*($X$7+$Z29)*($Y29-1)-SUM($B30:M30))+IF($Y29&gt;1,IF(INT(N$6/$X29)&gt;0,$Z29-$AA29,0),-$AA29)</f>
        <v>0</v>
      </c>
      <c r="O30" s="511" t="n">
        <f aca="false">IF(INT(O$6/$X29)*$X$7&gt;O28*($X$7+$Z29)*$Y29,O28*($X$7+$Z29)-SUM($B30:N30),INT(O$6/$X29)*$X$7-O28*($X$7+$Z29)*($Y29-1)-SUM($B30:N30))+IF($Y29&gt;1,IF(INT(O$6/$X29)&gt;0,$Z29-$AA29,0),-$AA29)</f>
        <v>0</v>
      </c>
      <c r="P30" s="511" t="n">
        <f aca="false">IF(INT(P$6/$X29)*$X$7&gt;P28*($X$7+$Z29)*$Y29,P28*($X$7+$Z29)-SUM($B30:O30),INT(P$6/$X29)*$X$7-P28*($X$7+$Z29)*($Y29-1)-SUM($B30:O30))+IF($Y29&gt;1,IF(INT(P$6/$X29)&gt;0,$Z29-$AA29,0),-$AA29)</f>
        <v>0</v>
      </c>
      <c r="Q30" s="511" t="n">
        <f aca="false">IF(INT(Q$6/$X29)*$X$7&gt;Q28*($X$7+$Z29)*$Y29,Q28*($X$7+$Z29)-SUM($B30:P30),INT(Q$6/$X29)*$X$7-Q28*($X$7+$Z29)*($Y29-1)-SUM($B30:P30))+IF($Y29&gt;1,IF(INT(Q$6/$X29)&gt;0,$Z29-$AA29,0),-$AA29)</f>
        <v>0</v>
      </c>
      <c r="R30" s="511" t="n">
        <f aca="false">IF(INT(R$6/$X29)*$X$7&gt;R28*($X$7+$Z29)*$Y29,R28*($X$7+$Z29)-SUM($B30:Q30),INT(R$6/$X29)*$X$7-R28*($X$7+$Z29)*($Y29-1)-SUM($B30:Q30))+IF($Y29&gt;1,IF(INT(R$6/$X29)&gt;0,$Z29-$AA29,0),-$AA29)</f>
        <v>0</v>
      </c>
      <c r="S30" s="511" t="n">
        <f aca="false">IF(INT(S$6/$X29)*$X$7&gt;S28*($X$7+$Z29)*$Y29,S28*($X$7+$Z29)-SUM($B30:R30),INT(S$6/$X29)*$X$7-S28*($X$7+$Z29)*($Y29-1)-SUM($B30:R30))+IF($Y29&gt;1,IF(INT(S$6/$X29)&gt;0,$Z29-$AA29,0),-$AA29)</f>
        <v>0</v>
      </c>
      <c r="T30" s="511" t="n">
        <f aca="false">IF(INT(T$6/$X29)*$X$7&gt;T28*($X$7+$Z29)*$Y29,T28*($X$7+$Z29)-SUM($B30:S30),INT(T$6/$X29)*$X$7-T28*($X$7+$Z29)*($Y29-1)-SUM($B30:S30))+IF($Y29&gt;1,IF(INT(T$6/$X29)&gt;0,$Z29-$AA29,0),-$AA29)</f>
        <v>0</v>
      </c>
      <c r="U30" s="511" t="n">
        <f aca="false">IF(INT(U$6/$X29)*$X$7&gt;U28*($X$7+$Z29)*$Y29,U28*($X$7+$Z29)-SUM($B30:T30),INT(U$6/$X29)*$X$7-U28*($X$7+$Z29)*($Y29-1)-SUM($B30:T30))+IF($Y29&gt;1,IF(INT(U$6/$X29)&gt;0,$Z29-$AA29,0),-$AA29)</f>
        <v>0</v>
      </c>
      <c r="V30" s="511" t="n">
        <f aca="false">IF(INT(V$6/$X29)*$X$7&gt;V28*($X$7+$Z29)*$Y29,V28*($X$7+$Z29)-SUM($B30:U30),INT(V$6/$X29)*$X$7-V28*($X$7+$Z29)*($Y29-1)-SUM($B30:U30))+IF($Y29&gt;1,IF(INT(V$6/$X29)&gt;0,$Z29-$AA29,0),-$AA29)</f>
        <v>0</v>
      </c>
      <c r="W30" s="803"/>
    </row>
    <row r="31" customFormat="false" ht="12.75" hidden="false" customHeight="false" outlineLevel="0" collapsed="false">
      <c r="W31" s="792"/>
    </row>
    <row r="32" customFormat="false" ht="12.75" hidden="true" customHeight="true" outlineLevel="0" collapsed="false">
      <c r="A32" s="153" t="s">
        <v>1395</v>
      </c>
      <c r="B32" s="511"/>
      <c r="C32" s="153" t="n">
        <f aca="false">INT((INT(C$6/$X33)*$X$7+$X$7+$Z33-1)/($X$7+$Z33)/$Y33)</f>
        <v>0</v>
      </c>
      <c r="D32" s="153" t="n">
        <f aca="false">INT((INT(D$6/$X33)*$X$7+$X$7+$Z33-1)/($X$7+$Z33)/$Y33)</f>
        <v>0</v>
      </c>
      <c r="E32" s="153" t="n">
        <f aca="false">INT((INT(E$6/$X33)*$X$7+$X$7+$Z33-1)/($X$7+$Z33)/$Y33)</f>
        <v>0</v>
      </c>
      <c r="F32" s="153" t="n">
        <f aca="false">INT((INT(F$6/$X33)*$X$7+$X$7+$Z33-1)/($X$7+$Z33)/$Y33)</f>
        <v>0</v>
      </c>
      <c r="G32" s="153" t="n">
        <f aca="false">INT((INT(G$6/$X33)*$X$7+$X$7+$Z33-1)/($X$7+$Z33)/$Y33)</f>
        <v>0</v>
      </c>
      <c r="H32" s="153" t="n">
        <f aca="false">INT((INT(H$6/$X33)*$X$7+$X$7+$Z33-1)/($X$7+$Z33)/$Y33)</f>
        <v>0</v>
      </c>
      <c r="I32" s="153" t="n">
        <f aca="false">INT((INT(I$6/$X33)*$X$7+$X$7+$Z33-1)/($X$7+$Z33)/$Y33)</f>
        <v>0</v>
      </c>
      <c r="J32" s="153" t="n">
        <f aca="false">INT((INT(J$6/$X33)*$X$7+$X$7+$Z33-1)/($X$7+$Z33)/$Y33)</f>
        <v>0</v>
      </c>
      <c r="K32" s="153" t="n">
        <f aca="false">INT((INT(K$6/$X33)*$X$7+$X$7+$Z33-1)/($X$7+$Z33)/$Y33)</f>
        <v>0</v>
      </c>
      <c r="L32" s="153" t="n">
        <f aca="false">INT((INT(L$6/$X33)*$X$7+$X$7+$Z33-1)/($X$7+$Z33)/$Y33)</f>
        <v>0</v>
      </c>
      <c r="M32" s="153" t="n">
        <f aca="false">INT((INT(M$6/$X33)*$X$7+$X$7+$Z33-1)/($X$7+$Z33)/$Y33)</f>
        <v>0</v>
      </c>
      <c r="N32" s="153" t="n">
        <f aca="false">INT((INT(N$6/$X33)*$X$7+$X$7+$Z33-1)/($X$7+$Z33)/$Y33)</f>
        <v>0</v>
      </c>
      <c r="O32" s="153" t="n">
        <f aca="false">INT((INT(O$6/$X33)*$X$7+$X$7+$Z33-1)/($X$7+$Z33)/$Y33)</f>
        <v>0</v>
      </c>
      <c r="P32" s="153" t="n">
        <f aca="false">INT((INT(P$6/$X33)*$X$7+$X$7+$Z33-1)/($X$7+$Z33)/$Y33)</f>
        <v>0</v>
      </c>
      <c r="Q32" s="153" t="n">
        <f aca="false">INT((INT(Q$6/$X33)*$X$7+$X$7+$Z33-1)/($X$7+$Z33)/$Y33)</f>
        <v>0</v>
      </c>
      <c r="R32" s="153" t="n">
        <f aca="false">INT((INT(R$6/$X33)*$X$7+$X$7+$Z33-1)/($X$7+$Z33)/$Y33)</f>
        <v>0</v>
      </c>
      <c r="S32" s="153" t="n">
        <f aca="false">INT((INT(S$6/$X33)*$X$7+$X$7+$Z33-1)/($X$7+$Z33)/$Y33)</f>
        <v>0</v>
      </c>
      <c r="T32" s="153" t="n">
        <f aca="false">INT((INT(T$6/$X33)*$X$7+$X$7+$Z33-1)/($X$7+$Z33)/$Y33)</f>
        <v>0</v>
      </c>
      <c r="U32" s="153" t="n">
        <f aca="false">INT((INT(U$6/$X33)*$X$7+$X$7+$Z33-1)/($X$7+$Z33)/$Y33)</f>
        <v>0</v>
      </c>
      <c r="V32" s="153" t="n">
        <f aca="false">INT((INT(V$6/$X33)*$X$7+$X$7+$Z33-1)/($X$7+$Z33)/$Y33)</f>
        <v>0</v>
      </c>
    </row>
    <row r="33" customFormat="false" ht="13.5" hidden="false" customHeight="true" outlineLevel="0" collapsed="false">
      <c r="A33" s="153" t="s">
        <v>1396</v>
      </c>
      <c r="B33" s="511" t="s">
        <v>1007</v>
      </c>
      <c r="C33" s="511" t="n">
        <f aca="false">IF($Y33=1,0,$X$7*(INT(C$6/$X33)-INT(B$6/$X33))-IF(SUM($B33:B33)&gt;0,C34,0))</f>
        <v>0</v>
      </c>
      <c r="D33" s="511" t="n">
        <f aca="false">IF($Y33=1,0,$X$7*(INT(D$6/$X33)-INT(C$6/$X33))-IF(SUM($B33:C33)&gt;0,D34,0))</f>
        <v>0</v>
      </c>
      <c r="E33" s="511" t="n">
        <f aca="false">IF($Y33=1,0,$X$7*(INT(E$6/$X33)-INT(D$6/$X33))-IF(SUM($B33:D33)&gt;0,E34,0))</f>
        <v>0</v>
      </c>
      <c r="F33" s="511" t="n">
        <f aca="false">IF($Y33=1,0,$X$7*(INT(F$6/$X33)-INT(E$6/$X33))-IF(SUM($B33:E33)&gt;0,F34,0))</f>
        <v>0</v>
      </c>
      <c r="G33" s="511" t="n">
        <f aca="false">IF($Y33=1,0,$X$7*(INT(G$6/$X33)-INT(F$6/$X33))-IF(SUM($B33:F33)&gt;0,G34,0))</f>
        <v>0</v>
      </c>
      <c r="H33" s="511" t="n">
        <f aca="false">IF($Y33=1,0,$X$7*(INT(H$6/$X33)-INT(G$6/$X33))-IF(SUM($B33:G33)&gt;0,H34,0))</f>
        <v>0</v>
      </c>
      <c r="I33" s="511" t="n">
        <f aca="false">IF($Y33=1,0,$X$7*(INT(I$6/$X33)-INT(H$6/$X33))-IF(SUM($B33:H33)&gt;0,I34,0))</f>
        <v>0</v>
      </c>
      <c r="J33" s="511" t="n">
        <f aca="false">IF($Y33=1,0,$X$7*(INT(J$6/$X33)-INT(I$6/$X33))-IF(SUM($B33:I33)&gt;0,J34,0))</f>
        <v>0</v>
      </c>
      <c r="K33" s="511" t="n">
        <f aca="false">IF($Y33=1,0,$X$7*(INT(K$6/$X33)-INT(J$6/$X33))-IF(SUM($B33:J33)&gt;0,K34,0))</f>
        <v>0</v>
      </c>
      <c r="L33" s="511" t="n">
        <f aca="false">IF($Y33=1,0,$X$7*(INT(L$6/$X33)-INT(K$6/$X33))-IF(SUM($B33:K33)&gt;0,L34,0))</f>
        <v>0</v>
      </c>
      <c r="M33" s="511" t="n">
        <f aca="false">IF($Y33=1,0,$X$7*(INT(M$6/$X33)-INT(L$6/$X33))-IF(SUM($B33:L33)&gt;0,M34,0))</f>
        <v>0</v>
      </c>
      <c r="N33" s="511" t="n">
        <f aca="false">IF($Y33=1,0,$X$7*(INT(N$6/$X33)-INT(M$6/$X33))-IF(SUM($B33:M33)&gt;0,N34,0))</f>
        <v>0</v>
      </c>
      <c r="O33" s="511" t="n">
        <f aca="false">IF($Y33=1,0,$X$7*(INT(O$6/$X33)-INT(N$6/$X33))-IF(SUM($B33:N33)&gt;0,O34,0))</f>
        <v>0</v>
      </c>
      <c r="P33" s="511" t="n">
        <f aca="false">IF($Y33=1,0,$X$7*(INT(P$6/$X33)-INT(O$6/$X33))-IF(SUM($B33:O33)&gt;0,P34,0))</f>
        <v>0</v>
      </c>
      <c r="Q33" s="511" t="n">
        <f aca="false">IF($Y33=1,0,$X$7*(INT(Q$6/$X33)-INT(P$6/$X33))-IF(SUM($B33:P33)&gt;0,Q34,0))</f>
        <v>0</v>
      </c>
      <c r="R33" s="511" t="n">
        <f aca="false">IF($Y33=1,0,$X$7*(INT(R$6/$X33)-INT(Q$6/$X33))-IF(SUM($B33:Q33)&gt;0,R34,0))</f>
        <v>0</v>
      </c>
      <c r="S33" s="511" t="n">
        <f aca="false">IF($Y33=1,0,$X$7*(INT(S$6/$X33)-INT(R$6/$X33))-IF(SUM($B33:R33)&gt;0,S34,0))</f>
        <v>0</v>
      </c>
      <c r="T33" s="511" t="n">
        <f aca="false">IF($Y33=1,0,$X$7*(INT(T$6/$X33)-INT(S$6/$X33))-IF(SUM($B33:S33)&gt;0,T34,0))</f>
        <v>0</v>
      </c>
      <c r="U33" s="511" t="n">
        <f aca="false">IF($Y33=1,0,$X$7*(INT(U$6/$X33)-INT(T$6/$X33))-IF(SUM($B33:T33)&gt;0,U34,0))</f>
        <v>0</v>
      </c>
      <c r="V33" s="511" t="n">
        <f aca="false">IF($Y33=1,0,$X$7*(INT(V$6/$X33)-INT(U$6/$X33))-IF(SUM($B33:U33)&gt;0,V34,0))</f>
        <v>0</v>
      </c>
      <c r="W33" s="800" t="str">
        <f aca="false">'GT schd cost(W501D5A)'!A18</f>
        <v>Clamshells</v>
      </c>
      <c r="X33" s="800" t="n">
        <f aca="false">IF($AD$6=1,'GTDB(W501D5A)'!B21,'GTDB(W501D5A)'!G21)</f>
        <v>8000</v>
      </c>
      <c r="Y33" s="800" t="n">
        <f aca="false">IF($AD$6=1,'GTDB(W501D5A)'!C21,'GTDB(W501D5A)'!H21)</f>
        <v>8</v>
      </c>
      <c r="Z33" s="801" t="n">
        <v>1</v>
      </c>
      <c r="AA33" s="805" t="n">
        <f aca="false">'Initial_Spares(W501D5A)'!$E$15</f>
        <v>0</v>
      </c>
      <c r="AB33" s="764" t="n">
        <f aca="false">'GT schd cost(W501D5A)'!X18+'GT schd cost(W501D5A)'!X44</f>
        <v>0</v>
      </c>
    </row>
    <row r="34" customFormat="false" ht="12.75" hidden="false" customHeight="false" outlineLevel="0" collapsed="false">
      <c r="A34" s="153" t="s">
        <v>1397</v>
      </c>
      <c r="B34" s="511" t="s">
        <v>1007</v>
      </c>
      <c r="C34" s="511" t="n">
        <f aca="false">IF(INT(C$6/$X33)*$X$7&gt;C32*($X$7+$Z33)*$Y33,C32*($X$7+$Z33)-SUM($B34:B34),INT(C$6/$X33)*$X$7-C32*($X$7+$Z33)*($Y33-1)-SUM($B34:B34))+IF($Y33&gt;1,IF(INT(C$6/$X33)&gt;0,$Z33-$AA33,0),-$AA33)</f>
        <v>0</v>
      </c>
      <c r="D34" s="511" t="n">
        <f aca="false">IF(INT(D$6/$X33)*$X$7&gt;D32*($X$7+$Z33)*$Y33,D32*($X$7+$Z33)-SUM($B34:C34),INT(D$6/$X33)*$X$7-D32*($X$7+$Z33)*($Y33-1)-SUM($B34:C34))+IF($Y33&gt;1,IF(INT(D$6/$X33)&gt;0,$Z33-$AA33,0),-$AA33)</f>
        <v>0</v>
      </c>
      <c r="E34" s="511" t="n">
        <f aca="false">IF(INT(E$6/$X33)*$X$7&gt;E32*($X$7+$Z33)*$Y33,E32*($X$7+$Z33)-SUM($B34:D34),INT(E$6/$X33)*$X$7-E32*($X$7+$Z33)*($Y33-1)-SUM($B34:D34))+IF($Y33&gt;1,IF(INT(E$6/$X33)&gt;0,$Z33-$AA33,0),-$AA33)</f>
        <v>0</v>
      </c>
      <c r="F34" s="511" t="n">
        <f aca="false">IF(INT(F$6/$X33)*$X$7&gt;F32*($X$7+$Z33)*$Y33,F32*($X$7+$Z33)-SUM($B34:E34),INT(F$6/$X33)*$X$7-F32*($X$7+$Z33)*($Y33-1)-SUM($B34:E34))+IF($Y33&gt;1,IF(INT(F$6/$X33)&gt;0,$Z33-$AA33,0),-$AA33)</f>
        <v>0</v>
      </c>
      <c r="G34" s="511" t="n">
        <f aca="false">IF(INT(G$6/$X33)*$X$7&gt;G32*($X$7+$Z33)*$Y33,G32*($X$7+$Z33)-SUM($B34:F34),INT(G$6/$X33)*$X$7-G32*($X$7+$Z33)*($Y33-1)-SUM($B34:F34))+IF($Y33&gt;1,IF(INT(G$6/$X33)&gt;0,$Z33-$AA33,0),-$AA33)</f>
        <v>0</v>
      </c>
      <c r="H34" s="511" t="n">
        <f aca="false">IF(INT(H$6/$X33)*$X$7&gt;H32*($X$7+$Z33)*$Y33,H32*($X$7+$Z33)-SUM($B34:G34),INT(H$6/$X33)*$X$7-H32*($X$7+$Z33)*($Y33-1)-SUM($B34:G34))+IF($Y33&gt;1,IF(INT(H$6/$X33)&gt;0,$Z33-$AA33,0),-$AA33)</f>
        <v>0</v>
      </c>
      <c r="I34" s="511" t="n">
        <f aca="false">IF(INT(I$6/$X33)*$X$7&gt;I32*($X$7+$Z33)*$Y33,I32*($X$7+$Z33)-SUM($B34:H34),INT(I$6/$X33)*$X$7-I32*($X$7+$Z33)*($Y33-1)-SUM($B34:H34))+IF($Y33&gt;1,IF(INT(I$6/$X33)&gt;0,$Z33-$AA33,0),-$AA33)</f>
        <v>0</v>
      </c>
      <c r="J34" s="511" t="n">
        <f aca="false">IF(INT(J$6/$X33)*$X$7&gt;J32*($X$7+$Z33)*$Y33,J32*($X$7+$Z33)-SUM($B34:I34),INT(J$6/$X33)*$X$7-J32*($X$7+$Z33)*($Y33-1)-SUM($B34:I34))+IF($Y33&gt;1,IF(INT(J$6/$X33)&gt;0,$Z33-$AA33,0),-$AA33)</f>
        <v>0</v>
      </c>
      <c r="K34" s="511" t="n">
        <f aca="false">IF(INT(K$6/$X33)*$X$7&gt;K32*($X$7+$Z33)*$Y33,K32*($X$7+$Z33)-SUM($B34:J34),INT(K$6/$X33)*$X$7-K32*($X$7+$Z33)*($Y33-1)-SUM($B34:J34))+IF($Y33&gt;1,IF(INT(K$6/$X33)&gt;0,$Z33-$AA33,0),-$AA33)</f>
        <v>0</v>
      </c>
      <c r="L34" s="511" t="n">
        <f aca="false">IF(INT(L$6/$X33)*$X$7&gt;L32*($X$7+$Z33)*$Y33,L32*($X$7+$Z33)-SUM($B34:K34),INT(L$6/$X33)*$X$7-L32*($X$7+$Z33)*($Y33-1)-SUM($B34:K34))+IF($Y33&gt;1,IF(INT(L$6/$X33)&gt;0,$Z33-$AA33,0),-$AA33)</f>
        <v>0</v>
      </c>
      <c r="M34" s="511" t="n">
        <f aca="false">IF(INT(M$6/$X33)*$X$7&gt;M32*($X$7+$Z33)*$Y33,M32*($X$7+$Z33)-SUM($B34:L34),INT(M$6/$X33)*$X$7-M32*($X$7+$Z33)*($Y33-1)-SUM($B34:L34))+IF($Y33&gt;1,IF(INT(M$6/$X33)&gt;0,$Z33-$AA33,0),-$AA33)</f>
        <v>0</v>
      </c>
      <c r="N34" s="511" t="n">
        <f aca="false">IF(INT(N$6/$X33)*$X$7&gt;N32*($X$7+$Z33)*$Y33,N32*($X$7+$Z33)-SUM($B34:M34),INT(N$6/$X33)*$X$7-N32*($X$7+$Z33)*($Y33-1)-SUM($B34:M34))+IF($Y33&gt;1,IF(INT(N$6/$X33)&gt;0,$Z33-$AA33,0),-$AA33)</f>
        <v>0</v>
      </c>
      <c r="O34" s="511" t="n">
        <f aca="false">IF(INT(O$6/$X33)*$X$7&gt;O32*($X$7+$Z33)*$Y33,O32*($X$7+$Z33)-SUM($B34:N34),INT(O$6/$X33)*$X$7-O32*($X$7+$Z33)*($Y33-1)-SUM($B34:N34))+IF($Y33&gt;1,IF(INT(O$6/$X33)&gt;0,$Z33-$AA33,0),-$AA33)</f>
        <v>0</v>
      </c>
      <c r="P34" s="511" t="n">
        <f aca="false">IF(INT(P$6/$X33)*$X$7&gt;P32*($X$7+$Z33)*$Y33,P32*($X$7+$Z33)-SUM($B34:O34),INT(P$6/$X33)*$X$7-P32*($X$7+$Z33)*($Y33-1)-SUM($B34:O34))+IF($Y33&gt;1,IF(INT(P$6/$X33)&gt;0,$Z33-$AA33,0),-$AA33)</f>
        <v>0</v>
      </c>
      <c r="Q34" s="511" t="n">
        <f aca="false">IF(INT(Q$6/$X33)*$X$7&gt;Q32*($X$7+$Z33)*$Y33,Q32*($X$7+$Z33)-SUM($B34:P34),INT(Q$6/$X33)*$X$7-Q32*($X$7+$Z33)*($Y33-1)-SUM($B34:P34))+IF($Y33&gt;1,IF(INT(Q$6/$X33)&gt;0,$Z33-$AA33,0),-$AA33)</f>
        <v>0</v>
      </c>
      <c r="R34" s="511" t="n">
        <f aca="false">IF(INT(R$6/$X33)*$X$7&gt;R32*($X$7+$Z33)*$Y33,R32*($X$7+$Z33)-SUM($B34:Q34),INT(R$6/$X33)*$X$7-R32*($X$7+$Z33)*($Y33-1)-SUM($B34:Q34))+IF($Y33&gt;1,IF(INT(R$6/$X33)&gt;0,$Z33-$AA33,0),-$AA33)</f>
        <v>0</v>
      </c>
      <c r="S34" s="511" t="n">
        <f aca="false">IF(INT(S$6/$X33)*$X$7&gt;S32*($X$7+$Z33)*$Y33,S32*($X$7+$Z33)-SUM($B34:R34),INT(S$6/$X33)*$X$7-S32*($X$7+$Z33)*($Y33-1)-SUM($B34:R34))+IF($Y33&gt;1,IF(INT(S$6/$X33)&gt;0,$Z33-$AA33,0),-$AA33)</f>
        <v>0</v>
      </c>
      <c r="T34" s="511" t="n">
        <f aca="false">IF(INT(T$6/$X33)*$X$7&gt;T32*($X$7+$Z33)*$Y33,T32*($X$7+$Z33)-SUM($B34:S34),INT(T$6/$X33)*$X$7-T32*($X$7+$Z33)*($Y33-1)-SUM($B34:S34))+IF($Y33&gt;1,IF(INT(T$6/$X33)&gt;0,$Z33-$AA33,0),-$AA33)</f>
        <v>0</v>
      </c>
      <c r="U34" s="511" t="n">
        <f aca="false">IF(INT(U$6/$X33)*$X$7&gt;U32*($X$7+$Z33)*$Y33,U32*($X$7+$Z33)-SUM($B34:T34),INT(U$6/$X33)*$X$7-U32*($X$7+$Z33)*($Y33-1)-SUM($B34:T34))+IF($Y33&gt;1,IF(INT(U$6/$X33)&gt;0,$Z33-$AA33,0),-$AA33)</f>
        <v>0</v>
      </c>
      <c r="V34" s="511" t="n">
        <f aca="false">IF(INT(V$6/$X33)*$X$7&gt;V32*($X$7+$Z33)*$Y33,V32*($X$7+$Z33)-SUM($B34:U34),INT(V$6/$X33)*$X$7-V32*($X$7+$Z33)*($Y33-1)-SUM($B34:U34))+IF($Y33&gt;1,IF(INT(V$6/$X33)&gt;0,$Z33-$AA33,0),-$AA33)</f>
        <v>0</v>
      </c>
      <c r="W34" s="803"/>
      <c r="AA34" s="157"/>
      <c r="AB34" s="157"/>
    </row>
    <row r="35" customFormat="false" ht="12.75" hidden="false" customHeight="false" outlineLevel="0" collapsed="false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785"/>
      <c r="X35" s="157"/>
      <c r="Y35" s="157"/>
      <c r="Z35" s="157"/>
      <c r="AA35" s="157"/>
      <c r="AB35" s="157"/>
    </row>
    <row r="36" customFormat="false" ht="12.75" hidden="true" customHeight="false" outlineLevel="0" collapsed="false">
      <c r="A36" s="153" t="s">
        <v>1395</v>
      </c>
      <c r="B36" s="511"/>
      <c r="C36" s="153" t="n">
        <f aca="false">INT((INT(C$6/$X37)*$X$7+$X$7+$Z37-1)/($X$7+$Z37)/$Y37)</f>
        <v>0</v>
      </c>
      <c r="D36" s="153" t="n">
        <f aca="false">INT((INT(D$6/$X37)*$X$7+$X$7+$Z37-1)/($X$7+$Z37)/$Y37)</f>
        <v>0</v>
      </c>
      <c r="E36" s="153" t="n">
        <f aca="false">INT((INT(E$6/$X37)*$X$7+$X$7+$Z37-1)/($X$7+$Z37)/$Y37)</f>
        <v>0</v>
      </c>
      <c r="F36" s="153" t="n">
        <f aca="false">INT((INT(F$6/$X37)*$X$7+$X$7+$Z37-1)/($X$7+$Z37)/$Y37)</f>
        <v>0</v>
      </c>
      <c r="G36" s="153" t="n">
        <f aca="false">INT((INT(G$6/$X37)*$X$7+$X$7+$Z37-1)/($X$7+$Z37)/$Y37)</f>
        <v>0</v>
      </c>
      <c r="H36" s="153" t="n">
        <f aca="false">INT((INT(H$6/$X37)*$X$7+$X$7+$Z37-1)/($X$7+$Z37)/$Y37)</f>
        <v>0</v>
      </c>
      <c r="I36" s="153" t="n">
        <f aca="false">INT((INT(I$6/$X37)*$X$7+$X$7+$Z37-1)/($X$7+$Z37)/$Y37)</f>
        <v>0</v>
      </c>
      <c r="J36" s="153" t="n">
        <f aca="false">INT((INT(J$6/$X37)*$X$7+$X$7+$Z37-1)/($X$7+$Z37)/$Y37)</f>
        <v>0</v>
      </c>
      <c r="K36" s="153" t="n">
        <f aca="false">INT((INT(K$6/$X37)*$X$7+$X$7+$Z37-1)/($X$7+$Z37)/$Y37)</f>
        <v>0</v>
      </c>
      <c r="L36" s="153" t="n">
        <f aca="false">INT((INT(L$6/$X37)*$X$7+$X$7+$Z37-1)/($X$7+$Z37)/$Y37)</f>
        <v>0</v>
      </c>
      <c r="M36" s="153" t="n">
        <f aca="false">INT((INT(M$6/$X37)*$X$7+$X$7+$Z37-1)/($X$7+$Z37)/$Y37)</f>
        <v>0</v>
      </c>
      <c r="N36" s="153" t="n">
        <f aca="false">INT((INT(N$6/$X37)*$X$7+$X$7+$Z37-1)/($X$7+$Z37)/$Y37)</f>
        <v>0</v>
      </c>
      <c r="O36" s="153" t="n">
        <f aca="false">INT((INT(O$6/$X37)*$X$7+$X$7+$Z37-1)/($X$7+$Z37)/$Y37)</f>
        <v>0</v>
      </c>
      <c r="P36" s="153" t="n">
        <f aca="false">INT((INT(P$6/$X37)*$X$7+$X$7+$Z37-1)/($X$7+$Z37)/$Y37)</f>
        <v>0</v>
      </c>
      <c r="Q36" s="153" t="n">
        <f aca="false">INT((INT(Q$6/$X37)*$X$7+$X$7+$Z37-1)/($X$7+$Z37)/$Y37)</f>
        <v>0</v>
      </c>
      <c r="R36" s="153" t="n">
        <f aca="false">INT((INT(R$6/$X37)*$X$7+$X$7+$Z37-1)/($X$7+$Z37)/$Y37)</f>
        <v>0</v>
      </c>
      <c r="S36" s="153" t="n">
        <f aca="false">INT((INT(S$6/$X37)*$X$7+$X$7+$Z37-1)/($X$7+$Z37)/$Y37)</f>
        <v>0</v>
      </c>
      <c r="T36" s="153" t="n">
        <f aca="false">INT((INT(T$6/$X37)*$X$7+$X$7+$Z37-1)/($X$7+$Z37)/$Y37)</f>
        <v>0</v>
      </c>
      <c r="U36" s="153" t="n">
        <f aca="false">INT((INT(U$6/$X37)*$X$7+$X$7+$Z37-1)/($X$7+$Z37)/$Y37)</f>
        <v>0</v>
      </c>
      <c r="V36" s="153" t="n">
        <f aca="false">INT((INT(V$6/$X37)*$X$7+$X$7+$Z37-1)/($X$7+$Z37)/$Y37)</f>
        <v>0</v>
      </c>
      <c r="W36" s="157"/>
      <c r="X36" s="157"/>
      <c r="Y36" s="157"/>
      <c r="Z36" s="157"/>
      <c r="AA36" s="157"/>
      <c r="AB36" s="157"/>
    </row>
    <row r="37" customFormat="false" ht="12.75" hidden="false" customHeight="false" outlineLevel="0" collapsed="false">
      <c r="A37" s="153" t="s">
        <v>1396</v>
      </c>
      <c r="B37" s="511" t="s">
        <v>1007</v>
      </c>
      <c r="C37" s="511" t="n">
        <f aca="false">IF($Y37=1,0,$X$7*(INT(C$6/$X37)-INT(B$6/$X37))-IF(SUM($B37:B37)&gt;0,C38,0))</f>
        <v>0</v>
      </c>
      <c r="D37" s="511" t="n">
        <f aca="false">IF($Y37=1,0,$X$7*(INT(D$6/$X37)-INT(C$6/$X37))-IF(SUM($B37:C37)&gt;0,D38,0))</f>
        <v>0</v>
      </c>
      <c r="E37" s="511" t="n">
        <f aca="false">IF($Y37=1,0,$X$7*(INT(E$6/$X37)-INT(D$6/$X37))-IF(SUM($B37:D37)&gt;0,E38,0))</f>
        <v>0</v>
      </c>
      <c r="F37" s="511" t="n">
        <f aca="false">IF($Y37=1,0,$X$7*(INT(F$6/$X37)-INT(E$6/$X37))-IF(SUM($B37:E37)&gt;0,F38,0))</f>
        <v>0</v>
      </c>
      <c r="G37" s="511" t="n">
        <f aca="false">IF($Y37=1,0,$X$7*(INT(G$6/$X37)-INT(F$6/$X37))-IF(SUM($B37:F37)&gt;0,G38,0))</f>
        <v>0</v>
      </c>
      <c r="H37" s="511" t="n">
        <f aca="false">IF($Y37=1,0,$X$7*(INT(H$6/$X37)-INT(G$6/$X37))-IF(SUM($B37:G37)&gt;0,H38,0))</f>
        <v>0</v>
      </c>
      <c r="I37" s="511" t="n">
        <f aca="false">IF($Y37=1,0,$X$7*(INT(I$6/$X37)-INT(H$6/$X37))-IF(SUM($B37:H37)&gt;0,I38,0))</f>
        <v>0</v>
      </c>
      <c r="J37" s="511" t="n">
        <f aca="false">IF($Y37=1,0,$X$7*(INT(J$6/$X37)-INT(I$6/$X37))-IF(SUM($B37:I37)&gt;0,J38,0))</f>
        <v>0</v>
      </c>
      <c r="K37" s="511" t="n">
        <f aca="false">IF($Y37=1,0,$X$7*(INT(K$6/$X37)-INT(J$6/$X37))-IF(SUM($B37:J37)&gt;0,K38,0))</f>
        <v>0</v>
      </c>
      <c r="L37" s="511" t="n">
        <f aca="false">IF($Y37=1,0,$X$7*(INT(L$6/$X37)-INT(K$6/$X37))-IF(SUM($B37:K37)&gt;0,L38,0))</f>
        <v>0</v>
      </c>
      <c r="M37" s="511" t="n">
        <f aca="false">IF($Y37=1,0,$X$7*(INT(M$6/$X37)-INT(L$6/$X37))-IF(SUM($B37:L37)&gt;0,M38,0))</f>
        <v>0</v>
      </c>
      <c r="N37" s="511" t="n">
        <f aca="false">IF($Y37=1,0,$X$7*(INT(N$6/$X37)-INT(M$6/$X37))-IF(SUM($B37:M37)&gt;0,N38,0))</f>
        <v>0</v>
      </c>
      <c r="O37" s="511" t="n">
        <f aca="false">IF($Y37=1,0,$X$7*(INT(O$6/$X37)-INT(N$6/$X37))-IF(SUM($B37:N37)&gt;0,O38,0))</f>
        <v>0</v>
      </c>
      <c r="P37" s="511" t="n">
        <f aca="false">IF($Y37=1,0,$X$7*(INT(P$6/$X37)-INT(O$6/$X37))-IF(SUM($B37:O37)&gt;0,P38,0))</f>
        <v>0</v>
      </c>
      <c r="Q37" s="511" t="n">
        <f aca="false">IF($Y37=1,0,$X$7*(INT(Q$6/$X37)-INT(P$6/$X37))-IF(SUM($B37:P37)&gt;0,Q38,0))</f>
        <v>0</v>
      </c>
      <c r="R37" s="511" t="n">
        <f aca="false">IF($Y37=1,0,$X$7*(INT(R$6/$X37)-INT(Q$6/$X37))-IF(SUM($B37:Q37)&gt;0,R38,0))</f>
        <v>0</v>
      </c>
      <c r="S37" s="511" t="n">
        <f aca="false">IF($Y37=1,0,$X$7*(INT(S$6/$X37)-INT(R$6/$X37))-IF(SUM($B37:R37)&gt;0,S38,0))</f>
        <v>0</v>
      </c>
      <c r="T37" s="511" t="n">
        <f aca="false">IF($Y37=1,0,$X$7*(INT(T$6/$X37)-INT(S$6/$X37))-IF(SUM($B37:S37)&gt;0,T38,0))</f>
        <v>0</v>
      </c>
      <c r="U37" s="511" t="n">
        <f aca="false">IF($Y37=1,0,$X$7*(INT(U$6/$X37)-INT(T$6/$X37))-IF(SUM($B37:T37)&gt;0,U38,0))</f>
        <v>0</v>
      </c>
      <c r="V37" s="511" t="n">
        <f aca="false">IF($Y37=1,0,$X$7*(INT(V$6/$X37)-INT(U$6/$X37))-IF(SUM($B37:U37)&gt;0,V38,0))</f>
        <v>0</v>
      </c>
      <c r="W37" s="800" t="str">
        <f aca="false">'GT schd cost(W501D5A)'!A19</f>
        <v>Row 1 Blades</v>
      </c>
      <c r="X37" s="800" t="n">
        <f aca="false">IF($AD$6=1,'GTDB(W501D5A)'!B22,'GTDB(W501D5A)'!G22)</f>
        <v>24000</v>
      </c>
      <c r="Y37" s="800" t="n">
        <f aca="false">IF($AD$6=1,'GTDB(W501D5A)'!C22,'GTDB(W501D5A)'!H22)</f>
        <v>2</v>
      </c>
      <c r="Z37" s="801" t="n">
        <v>1</v>
      </c>
      <c r="AA37" s="805" t="n">
        <f aca="false">'Initial_Spares(W501D5A)'!$E$16</f>
        <v>0</v>
      </c>
      <c r="AB37" s="764" t="n">
        <f aca="false">'GT schd cost(W501D5A)'!X19+'GT schd cost(W501D5A)'!X45</f>
        <v>0</v>
      </c>
    </row>
    <row r="38" customFormat="false" ht="12.75" hidden="false" customHeight="false" outlineLevel="0" collapsed="false">
      <c r="A38" s="153" t="s">
        <v>1397</v>
      </c>
      <c r="B38" s="511" t="s">
        <v>1007</v>
      </c>
      <c r="C38" s="511" t="n">
        <f aca="false">IF(INT(C$6/$X37)*$X$7&gt;C36*($X$7+$Z37)*$Y37,C36*($X$7+$Z37)-SUM($B38:B38),INT(C$6/$X37)*$X$7-C36*($X$7+$Z37)*($Y37-1)-SUM($B38:B38))+IF($Y37&gt;1,IF(INT(C$6/$X37)&gt;0,$Z37-$AA37,0),-$AA37)</f>
        <v>0</v>
      </c>
      <c r="D38" s="511" t="n">
        <f aca="false">IF(INT(D$6/$X37)*$X$7&gt;D36*($X$7+$Z37)*$Y37,D36*($X$7+$Z37)-SUM($B38:C38),INT(D$6/$X37)*$X$7-D36*($X$7+$Z37)*($Y37-1)-SUM($B38:C38))+IF($Y37&gt;1,IF(INT(D$6/$X37)&gt;0,$Z37-$AA37,0),-$AA37)</f>
        <v>0</v>
      </c>
      <c r="E38" s="511" t="n">
        <f aca="false">IF(INT(E$6/$X37)*$X$7&gt;E36*($X$7+$Z37)*$Y37,E36*($X$7+$Z37)-SUM($B38:D38),INT(E$6/$X37)*$X$7-E36*($X$7+$Z37)*($Y37-1)-SUM($B38:D38))+IF($Y37&gt;1,IF(INT(E$6/$X37)&gt;0,$Z37-$AA37,0),-$AA37)</f>
        <v>0</v>
      </c>
      <c r="F38" s="511" t="n">
        <f aca="false">IF(INT(F$6/$X37)*$X$7&gt;F36*($X$7+$Z37)*$Y37,F36*($X$7+$Z37)-SUM($B38:E38),INT(F$6/$X37)*$X$7-F36*($X$7+$Z37)*($Y37-1)-SUM($B38:E38))+IF($Y37&gt;1,IF(INT(F$6/$X37)&gt;0,$Z37-$AA37,0),-$AA37)</f>
        <v>0</v>
      </c>
      <c r="G38" s="511" t="n">
        <f aca="false">IF(INT(G$6/$X37)*$X$7&gt;G36*($X$7+$Z37)*$Y37,G36*($X$7+$Z37)-SUM($B38:F38),INT(G$6/$X37)*$X$7-G36*($X$7+$Z37)*($Y37-1)-SUM($B38:F38))+IF($Y37&gt;1,IF(INT(G$6/$X37)&gt;0,$Z37-$AA37,0),-$AA37)</f>
        <v>0</v>
      </c>
      <c r="H38" s="511" t="n">
        <f aca="false">IF(INT(H$6/$X37)*$X$7&gt;H36*($X$7+$Z37)*$Y37,H36*($X$7+$Z37)-SUM($B38:G38),INT(H$6/$X37)*$X$7-H36*($X$7+$Z37)*($Y37-1)-SUM($B38:G38))+IF($Y37&gt;1,IF(INT(H$6/$X37)&gt;0,$Z37-$AA37,0),-$AA37)</f>
        <v>0</v>
      </c>
      <c r="I38" s="511" t="n">
        <f aca="false">IF(INT(I$6/$X37)*$X$7&gt;I36*($X$7+$Z37)*$Y37,I36*($X$7+$Z37)-SUM($B38:H38),INT(I$6/$X37)*$X$7-I36*($X$7+$Z37)*($Y37-1)-SUM($B38:H38))+IF($Y37&gt;1,IF(INT(I$6/$X37)&gt;0,$Z37-$AA37,0),-$AA37)</f>
        <v>0</v>
      </c>
      <c r="J38" s="511" t="n">
        <f aca="false">IF(INT(J$6/$X37)*$X$7&gt;J36*($X$7+$Z37)*$Y37,J36*($X$7+$Z37)-SUM($B38:I38),INT(J$6/$X37)*$X$7-J36*($X$7+$Z37)*($Y37-1)-SUM($B38:I38))+IF($Y37&gt;1,IF(INT(J$6/$X37)&gt;0,$Z37-$AA37,0),-$AA37)</f>
        <v>0</v>
      </c>
      <c r="K38" s="511" t="n">
        <f aca="false">IF(INT(K$6/$X37)*$X$7&gt;K36*($X$7+$Z37)*$Y37,K36*($X$7+$Z37)-SUM($B38:J38),INT(K$6/$X37)*$X$7-K36*($X$7+$Z37)*($Y37-1)-SUM($B38:J38))+IF($Y37&gt;1,IF(INT(K$6/$X37)&gt;0,$Z37-$AA37,0),-$AA37)</f>
        <v>0</v>
      </c>
      <c r="L38" s="511" t="n">
        <f aca="false">IF(INT(L$6/$X37)*$X$7&gt;L36*($X$7+$Z37)*$Y37,L36*($X$7+$Z37)-SUM($B38:K38),INT(L$6/$X37)*$X$7-L36*($X$7+$Z37)*($Y37-1)-SUM($B38:K38))+IF($Y37&gt;1,IF(INT(L$6/$X37)&gt;0,$Z37-$AA37,0),-$AA37)</f>
        <v>0</v>
      </c>
      <c r="M38" s="511" t="n">
        <f aca="false">IF(INT(M$6/$X37)*$X$7&gt;M36*($X$7+$Z37)*$Y37,M36*($X$7+$Z37)-SUM($B38:L38),INT(M$6/$X37)*$X$7-M36*($X$7+$Z37)*($Y37-1)-SUM($B38:L38))+IF($Y37&gt;1,IF(INT(M$6/$X37)&gt;0,$Z37-$AA37,0),-$AA37)</f>
        <v>0</v>
      </c>
      <c r="N38" s="511" t="n">
        <f aca="false">IF(INT(N$6/$X37)*$X$7&gt;N36*($X$7+$Z37)*$Y37,N36*($X$7+$Z37)-SUM($B38:M38),INT(N$6/$X37)*$X$7-N36*($X$7+$Z37)*($Y37-1)-SUM($B38:M38))+IF($Y37&gt;1,IF(INT(N$6/$X37)&gt;0,$Z37-$AA37,0),-$AA37)</f>
        <v>0</v>
      </c>
      <c r="O38" s="511" t="n">
        <f aca="false">IF(INT(O$6/$X37)*$X$7&gt;O36*($X$7+$Z37)*$Y37,O36*($X$7+$Z37)-SUM($B38:N38),INT(O$6/$X37)*$X$7-O36*($X$7+$Z37)*($Y37-1)-SUM($B38:N38))+IF($Y37&gt;1,IF(INT(O$6/$X37)&gt;0,$Z37-$AA37,0),-$AA37)</f>
        <v>0</v>
      </c>
      <c r="P38" s="511" t="n">
        <f aca="false">IF(INT(P$6/$X37)*$X$7&gt;P36*($X$7+$Z37)*$Y37,P36*($X$7+$Z37)-SUM($B38:O38),INT(P$6/$X37)*$X$7-P36*($X$7+$Z37)*($Y37-1)-SUM($B38:O38))+IF($Y37&gt;1,IF(INT(P$6/$X37)&gt;0,$Z37-$AA37,0),-$AA37)</f>
        <v>0</v>
      </c>
      <c r="Q38" s="511" t="n">
        <f aca="false">IF(INT(Q$6/$X37)*$X$7&gt;Q36*($X$7+$Z37)*$Y37,Q36*($X$7+$Z37)-SUM($B38:P38),INT(Q$6/$X37)*$X$7-Q36*($X$7+$Z37)*($Y37-1)-SUM($B38:P38))+IF($Y37&gt;1,IF(INT(Q$6/$X37)&gt;0,$Z37-$AA37,0),-$AA37)</f>
        <v>0</v>
      </c>
      <c r="R38" s="511" t="n">
        <f aca="false">IF(INT(R$6/$X37)*$X$7&gt;R36*($X$7+$Z37)*$Y37,R36*($X$7+$Z37)-SUM($B38:Q38),INT(R$6/$X37)*$X$7-R36*($X$7+$Z37)*($Y37-1)-SUM($B38:Q38))+IF($Y37&gt;1,IF(INT(R$6/$X37)&gt;0,$Z37-$AA37,0),-$AA37)</f>
        <v>0</v>
      </c>
      <c r="S38" s="511" t="n">
        <f aca="false">IF(INT(S$6/$X37)*$X$7&gt;S36*($X$7+$Z37)*$Y37,S36*($X$7+$Z37)-SUM($B38:R38),INT(S$6/$X37)*$X$7-S36*($X$7+$Z37)*($Y37-1)-SUM($B38:R38))+IF($Y37&gt;1,IF(INT(S$6/$X37)&gt;0,$Z37-$AA37,0),-$AA37)</f>
        <v>0</v>
      </c>
      <c r="T38" s="511" t="n">
        <f aca="false">IF(INT(T$6/$X37)*$X$7&gt;T36*($X$7+$Z37)*$Y37,T36*($X$7+$Z37)-SUM($B38:S38),INT(T$6/$X37)*$X$7-T36*($X$7+$Z37)*($Y37-1)-SUM($B38:S38))+IF($Y37&gt;1,IF(INT(T$6/$X37)&gt;0,$Z37-$AA37,0),-$AA37)</f>
        <v>0</v>
      </c>
      <c r="U38" s="511" t="n">
        <f aca="false">IF(INT(U$6/$X37)*$X$7&gt;U36*($X$7+$Z37)*$Y37,U36*($X$7+$Z37)-SUM($B38:T38),INT(U$6/$X37)*$X$7-U36*($X$7+$Z37)*($Y37-1)-SUM($B38:T38))+IF($Y37&gt;1,IF(INT(U$6/$X37)&gt;0,$Z37-$AA37,0),-$AA37)</f>
        <v>0</v>
      </c>
      <c r="V38" s="511" t="n">
        <f aca="false">IF(INT(V$6/$X37)*$X$7&gt;V36*($X$7+$Z37)*$Y37,V36*($X$7+$Z37)-SUM($B38:U38),INT(V$6/$X37)*$X$7-V36*($X$7+$Z37)*($Y37-1)-SUM($B38:U38))+IF($Y37&gt;1,IF(INT(V$6/$X37)&gt;0,$Z37-$AA37,0),-$AA37)</f>
        <v>0</v>
      </c>
      <c r="W38" s="803"/>
      <c r="AA38" s="157"/>
      <c r="AB38" s="157"/>
    </row>
    <row r="39" customFormat="false" ht="12.75" hidden="false" customHeight="false" outlineLevel="0" collapsed="false">
      <c r="A39" s="157"/>
      <c r="B39" s="518"/>
      <c r="C39" s="518"/>
      <c r="D39" s="518"/>
      <c r="E39" s="518"/>
      <c r="F39" s="518"/>
      <c r="G39" s="518"/>
      <c r="H39" s="518"/>
      <c r="I39" s="806"/>
      <c r="J39" s="518"/>
      <c r="K39" s="518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785"/>
      <c r="X39" s="157"/>
      <c r="Y39" s="157"/>
      <c r="Z39" s="157"/>
      <c r="AA39" s="157"/>
      <c r="AB39" s="157"/>
    </row>
    <row r="40" customFormat="false" ht="12.75" hidden="true" customHeight="false" outlineLevel="0" collapsed="false">
      <c r="A40" s="153" t="s">
        <v>1395</v>
      </c>
      <c r="B40" s="511"/>
      <c r="C40" s="153" t="n">
        <f aca="false">INT((INT(C$6/$X41)*$X$7+$X$7+$Z41-1)/($X$7+$Z41)/$Y41)</f>
        <v>0</v>
      </c>
      <c r="D40" s="153" t="n">
        <f aca="false">INT((INT(D$6/$X41)*$X$7+$X$7+$Z41-1)/($X$7+$Z41)/$Y41)</f>
        <v>0</v>
      </c>
      <c r="E40" s="153" t="n">
        <f aca="false">INT((INT(E$6/$X41)*$X$7+$X$7+$Z41-1)/($X$7+$Z41)/$Y41)</f>
        <v>0</v>
      </c>
      <c r="F40" s="153" t="n">
        <f aca="false">INT((INT(F$6/$X41)*$X$7+$X$7+$Z41-1)/($X$7+$Z41)/$Y41)</f>
        <v>0</v>
      </c>
      <c r="G40" s="153" t="n">
        <f aca="false">INT((INT(G$6/$X41)*$X$7+$X$7+$Z41-1)/($X$7+$Z41)/$Y41)</f>
        <v>0</v>
      </c>
      <c r="H40" s="153" t="n">
        <f aca="false">INT((INT(H$6/$X41)*$X$7+$X$7+$Z41-1)/($X$7+$Z41)/$Y41)</f>
        <v>0</v>
      </c>
      <c r="I40" s="153" t="n">
        <f aca="false">INT((INT(I$6/$X41)*$X$7+$X$7+$Z41-1)/($X$7+$Z41)/$Y41)</f>
        <v>0</v>
      </c>
      <c r="J40" s="153" t="n">
        <f aca="false">INT((INT(J$6/$X41)*$X$7+$X$7+$Z41-1)/($X$7+$Z41)/$Y41)</f>
        <v>0</v>
      </c>
      <c r="K40" s="153" t="n">
        <f aca="false">INT((INT(K$6/$X41)*$X$7+$X$7+$Z41-1)/($X$7+$Z41)/$Y41)</f>
        <v>0</v>
      </c>
      <c r="L40" s="153" t="n">
        <f aca="false">INT((INT(L$6/$X41)*$X$7+$X$7+$Z41-1)/($X$7+$Z41)/$Y41)</f>
        <v>0</v>
      </c>
      <c r="M40" s="153" t="n">
        <f aca="false">INT((INT(M$6/$X41)*$X$7+$X$7+$Z41-1)/($X$7+$Z41)/$Y41)</f>
        <v>0</v>
      </c>
      <c r="N40" s="153" t="n">
        <f aca="false">INT((INT(N$6/$X41)*$X$7+$X$7+$Z41-1)/($X$7+$Z41)/$Y41)</f>
        <v>0</v>
      </c>
      <c r="O40" s="153" t="n">
        <f aca="false">INT((INT(O$6/$X41)*$X$7+$X$7+$Z41-1)/($X$7+$Z41)/$Y41)</f>
        <v>0</v>
      </c>
      <c r="P40" s="153" t="n">
        <f aca="false">INT((INT(P$6/$X41)*$X$7+$X$7+$Z41-1)/($X$7+$Z41)/$Y41)</f>
        <v>0</v>
      </c>
      <c r="Q40" s="153" t="n">
        <f aca="false">INT((INT(Q$6/$X41)*$X$7+$X$7+$Z41-1)/($X$7+$Z41)/$Y41)</f>
        <v>0</v>
      </c>
      <c r="R40" s="153" t="n">
        <f aca="false">INT((INT(R$6/$X41)*$X$7+$X$7+$Z41-1)/($X$7+$Z41)/$Y41)</f>
        <v>0</v>
      </c>
      <c r="S40" s="153" t="n">
        <f aca="false">INT((INT(S$6/$X41)*$X$7+$X$7+$Z41-1)/($X$7+$Z41)/$Y41)</f>
        <v>0</v>
      </c>
      <c r="T40" s="153" t="n">
        <f aca="false">INT((INT(T$6/$X41)*$X$7+$X$7+$Z41-1)/($X$7+$Z41)/$Y41)</f>
        <v>0</v>
      </c>
      <c r="U40" s="153" t="n">
        <f aca="false">INT((INT(U$6/$X41)*$X$7+$X$7+$Z41-1)/($X$7+$Z41)/$Y41)</f>
        <v>0</v>
      </c>
      <c r="V40" s="153" t="n">
        <f aca="false">INT((INT(V$6/$X41)*$X$7+$X$7+$Z41-1)/($X$7+$Z41)/$Y41)</f>
        <v>0</v>
      </c>
      <c r="W40" s="157"/>
      <c r="X40" s="157"/>
      <c r="Y40" s="157"/>
      <c r="Z40" s="157"/>
      <c r="AA40" s="157"/>
      <c r="AB40" s="157"/>
    </row>
    <row r="41" customFormat="false" ht="12.75" hidden="false" customHeight="false" outlineLevel="0" collapsed="false">
      <c r="A41" s="153" t="s">
        <v>1396</v>
      </c>
      <c r="B41" s="511" t="s">
        <v>1007</v>
      </c>
      <c r="C41" s="511" t="n">
        <f aca="false">IF($Y41=1,0,$X$7*(INT(C$6/$X41)-INT(B$6/$X41))-IF(SUM($B41:B41)&gt;0,C42,0))</f>
        <v>0</v>
      </c>
      <c r="D41" s="511" t="n">
        <f aca="false">IF($Y41=1,0,$X$7*(INT(D$6/$X41)-INT(C$6/$X41))-IF(SUM($B41:C41)&gt;0,D42,0))</f>
        <v>0</v>
      </c>
      <c r="E41" s="511" t="n">
        <f aca="false">IF($Y41=1,0,$X$7*(INT(E$6/$X41)-INT(D$6/$X41))-IF(SUM($B41:D41)&gt;0,E42,0))</f>
        <v>0</v>
      </c>
      <c r="F41" s="511" t="n">
        <f aca="false">IF($Y41=1,0,$X$7*(INT(F$6/$X41)-INT(E$6/$X41))-IF(SUM($B41:E41)&gt;0,F42,0))</f>
        <v>0</v>
      </c>
      <c r="G41" s="511" t="n">
        <f aca="false">IF($Y41=1,0,$X$7*(INT(G$6/$X41)-INT(F$6/$X41))-IF(SUM($B41:F41)&gt;0,G42,0))</f>
        <v>0</v>
      </c>
      <c r="H41" s="511" t="n">
        <f aca="false">IF($Y41=1,0,$X$7*(INT(H$6/$X41)-INT(G$6/$X41))-IF(SUM($B41:G41)&gt;0,H42,0))</f>
        <v>0</v>
      </c>
      <c r="I41" s="511" t="n">
        <f aca="false">IF($Y41=1,0,$X$7*(INT(I$6/$X41)-INT(H$6/$X41))-IF(SUM($B41:H41)&gt;0,I42,0))</f>
        <v>0</v>
      </c>
      <c r="J41" s="511" t="n">
        <f aca="false">IF($Y41=1,0,$X$7*(INT(J$6/$X41)-INT(I$6/$X41))-IF(SUM($B41:I41)&gt;0,J42,0))</f>
        <v>0</v>
      </c>
      <c r="K41" s="511" t="n">
        <f aca="false">IF($Y41=1,0,$X$7*(INT(K$6/$X41)-INT(J$6/$X41))-IF(SUM($B41:J41)&gt;0,K42,0))</f>
        <v>0</v>
      </c>
      <c r="L41" s="511" t="n">
        <f aca="false">IF($Y41=1,0,$X$7*(INT(L$6/$X41)-INT(K$6/$X41))-IF(SUM($B41:K41)&gt;0,L42,0))</f>
        <v>0</v>
      </c>
      <c r="M41" s="511" t="n">
        <f aca="false">IF($Y41=1,0,$X$7*(INT(M$6/$X41)-INT(L$6/$X41))-IF(SUM($B41:L41)&gt;0,M42,0))</f>
        <v>0</v>
      </c>
      <c r="N41" s="511" t="n">
        <f aca="false">IF($Y41=1,0,$X$7*(INT(N$6/$X41)-INT(M$6/$X41))-IF(SUM($B41:M41)&gt;0,N42,0))</f>
        <v>0</v>
      </c>
      <c r="O41" s="511" t="n">
        <f aca="false">IF($Y41=1,0,$X$7*(INT(O$6/$X41)-INT(N$6/$X41))-IF(SUM($B41:N41)&gt;0,O42,0))</f>
        <v>0</v>
      </c>
      <c r="P41" s="511" t="n">
        <f aca="false">IF($Y41=1,0,$X$7*(INT(P$6/$X41)-INT(O$6/$X41))-IF(SUM($B41:O41)&gt;0,P42,0))</f>
        <v>0</v>
      </c>
      <c r="Q41" s="511" t="n">
        <f aca="false">IF($Y41=1,0,$X$7*(INT(Q$6/$X41)-INT(P$6/$X41))-IF(SUM($B41:P41)&gt;0,Q42,0))</f>
        <v>0</v>
      </c>
      <c r="R41" s="511" t="n">
        <f aca="false">IF($Y41=1,0,$X$7*(INT(R$6/$X41)-INT(Q$6/$X41))-IF(SUM($B41:Q41)&gt;0,R42,0))</f>
        <v>0</v>
      </c>
      <c r="S41" s="511" t="n">
        <f aca="false">IF($Y41=1,0,$X$7*(INT(S$6/$X41)-INT(R$6/$X41))-IF(SUM($B41:R41)&gt;0,S42,0))</f>
        <v>0</v>
      </c>
      <c r="T41" s="511" t="n">
        <f aca="false">IF($Y41=1,0,$X$7*(INT(T$6/$X41)-INT(S$6/$X41))-IF(SUM($B41:S41)&gt;0,T42,0))</f>
        <v>0</v>
      </c>
      <c r="U41" s="511" t="n">
        <f aca="false">IF($Y41=1,0,$X$7*(INT(U$6/$X41)-INT(T$6/$X41))-IF(SUM($B41:T41)&gt;0,U42,0))</f>
        <v>0</v>
      </c>
      <c r="V41" s="511" t="n">
        <f aca="false">IF($Y41=1,0,$X$7*(INT(V$6/$X41)-INT(U$6/$X41))-IF(SUM($B41:U41)&gt;0,V42,0))</f>
        <v>0</v>
      </c>
      <c r="W41" s="800" t="str">
        <f aca="false">'GT schd cost(W501D5A)'!A20</f>
        <v>Row 2 Blades</v>
      </c>
      <c r="X41" s="800" t="n">
        <f aca="false">IF($AD$6=1,'GTDB(W501D5A)'!B23,'GTDB(W501D5A)'!G23)</f>
        <v>24000</v>
      </c>
      <c r="Y41" s="800" t="n">
        <f aca="false">IF($AD$6=1,'GTDB(W501D5A)'!C23,'GTDB(W501D5A)'!H23)</f>
        <v>3</v>
      </c>
      <c r="Z41" s="801" t="n">
        <v>1</v>
      </c>
      <c r="AA41" s="805" t="n">
        <f aca="false">'Initial_Spares(W501D5A)'!$E$17</f>
        <v>0</v>
      </c>
      <c r="AB41" s="764" t="n">
        <f aca="false">'GT schd cost(W501D5A)'!X20+'GT schd cost(W501D5A)'!X46</f>
        <v>0</v>
      </c>
    </row>
    <row r="42" customFormat="false" ht="12.75" hidden="false" customHeight="false" outlineLevel="0" collapsed="false">
      <c r="A42" s="153" t="s">
        <v>1397</v>
      </c>
      <c r="B42" s="511" t="s">
        <v>1007</v>
      </c>
      <c r="C42" s="511" t="n">
        <f aca="false">IF(INT(C$6/$X41)*$X$7&gt;C40*($X$7+$Z41)*$Y41,C40*($X$7+$Z41)-SUM($B42:B42),INT(C$6/$X41)*$X$7-C40*($X$7+$Z41)*($Y41-1)-SUM($B42:B42))+IF($Y41&gt;1,IF(INT(C$6/$X41)&gt;0,$Z41-$AA41,0),-$AA41)</f>
        <v>0</v>
      </c>
      <c r="D42" s="511" t="n">
        <f aca="false">IF(INT(D$6/$X41)*$X$7&gt;D40*($X$7+$Z41)*$Y41,D40*($X$7+$Z41)-SUM($B42:C42),INT(D$6/$X41)*$X$7-D40*($X$7+$Z41)*($Y41-1)-SUM($B42:C42))+IF($Y41&gt;1,IF(INT(D$6/$X41)&gt;0,$Z41-$AA41,0),-$AA41)</f>
        <v>0</v>
      </c>
      <c r="E42" s="511" t="n">
        <f aca="false">IF(INT(E$6/$X41)*$X$7&gt;E40*($X$7+$Z41)*$Y41,E40*($X$7+$Z41)-SUM($B42:D42),INT(E$6/$X41)*$X$7-E40*($X$7+$Z41)*($Y41-1)-SUM($B42:D42))+IF($Y41&gt;1,IF(INT(E$6/$X41)&gt;0,$Z41-$AA41,0),-$AA41)</f>
        <v>0</v>
      </c>
      <c r="F42" s="511" t="n">
        <f aca="false">IF(INT(F$6/$X41)*$X$7&gt;F40*($X$7+$Z41)*$Y41,F40*($X$7+$Z41)-SUM($B42:E42),INT(F$6/$X41)*$X$7-F40*($X$7+$Z41)*($Y41-1)-SUM($B42:E42))+IF($Y41&gt;1,IF(INT(F$6/$X41)&gt;0,$Z41-$AA41,0),-$AA41)</f>
        <v>0</v>
      </c>
      <c r="G42" s="511" t="n">
        <f aca="false">IF(INT(G$6/$X41)*$X$7&gt;G40*($X$7+$Z41)*$Y41,G40*($X$7+$Z41)-SUM($B42:F42),INT(G$6/$X41)*$X$7-G40*($X$7+$Z41)*($Y41-1)-SUM($B42:F42))+IF($Y41&gt;1,IF(INT(G$6/$X41)&gt;0,$Z41-$AA41,0),-$AA41)</f>
        <v>0</v>
      </c>
      <c r="H42" s="511" t="n">
        <f aca="false">IF(INT(H$6/$X41)*$X$7&gt;H40*($X$7+$Z41)*$Y41,H40*($X$7+$Z41)-SUM($B42:G42),INT(H$6/$X41)*$X$7-H40*($X$7+$Z41)*($Y41-1)-SUM($B42:G42))+IF($Y41&gt;1,IF(INT(H$6/$X41)&gt;0,$Z41-$AA41,0),-$AA41)</f>
        <v>0</v>
      </c>
      <c r="I42" s="511" t="n">
        <f aca="false">IF(INT(I$6/$X41)*$X$7&gt;I40*($X$7+$Z41)*$Y41,I40*($X$7+$Z41)-SUM($B42:H42),INT(I$6/$X41)*$X$7-I40*($X$7+$Z41)*($Y41-1)-SUM($B42:H42))+IF($Y41&gt;1,IF(INT(I$6/$X41)&gt;0,$Z41-$AA41,0),-$AA41)</f>
        <v>0</v>
      </c>
      <c r="J42" s="511" t="n">
        <f aca="false">IF(INT(J$6/$X41)*$X$7&gt;J40*($X$7+$Z41)*$Y41,J40*($X$7+$Z41)-SUM($B42:I42),INT(J$6/$X41)*$X$7-J40*($X$7+$Z41)*($Y41-1)-SUM($B42:I42))+IF($Y41&gt;1,IF(INT(J$6/$X41)&gt;0,$Z41-$AA41,0),-$AA41)</f>
        <v>0</v>
      </c>
      <c r="K42" s="511" t="n">
        <f aca="false">IF(INT(K$6/$X41)*$X$7&gt;K40*($X$7+$Z41)*$Y41,K40*($X$7+$Z41)-SUM($B42:J42),INT(K$6/$X41)*$X$7-K40*($X$7+$Z41)*($Y41-1)-SUM($B42:J42))+IF($Y41&gt;1,IF(INT(K$6/$X41)&gt;0,$Z41-$AA41,0),-$AA41)</f>
        <v>0</v>
      </c>
      <c r="L42" s="511" t="n">
        <f aca="false">IF(INT(L$6/$X41)*$X$7&gt;L40*($X$7+$Z41)*$Y41,L40*($X$7+$Z41)-SUM($B42:K42),INT(L$6/$X41)*$X$7-L40*($X$7+$Z41)*($Y41-1)-SUM($B42:K42))+IF($Y41&gt;1,IF(INT(L$6/$X41)&gt;0,$Z41-$AA41,0),-$AA41)</f>
        <v>0</v>
      </c>
      <c r="M42" s="511" t="n">
        <f aca="false">IF(INT(M$6/$X41)*$X$7&gt;M40*($X$7+$Z41)*$Y41,M40*($X$7+$Z41)-SUM($B42:L42),INT(M$6/$X41)*$X$7-M40*($X$7+$Z41)*($Y41-1)-SUM($B42:L42))+IF($Y41&gt;1,IF(INT(M$6/$X41)&gt;0,$Z41-$AA41,0),-$AA41)</f>
        <v>0</v>
      </c>
      <c r="N42" s="511" t="n">
        <f aca="false">IF(INT(N$6/$X41)*$X$7&gt;N40*($X$7+$Z41)*$Y41,N40*($X$7+$Z41)-SUM($B42:M42),INT(N$6/$X41)*$X$7-N40*($X$7+$Z41)*($Y41-1)-SUM($B42:M42))+IF($Y41&gt;1,IF(INT(N$6/$X41)&gt;0,$Z41-$AA41,0),-$AA41)</f>
        <v>0</v>
      </c>
      <c r="O42" s="511" t="n">
        <f aca="false">IF(INT(O$6/$X41)*$X$7&gt;O40*($X$7+$Z41)*$Y41,O40*($X$7+$Z41)-SUM($B42:N42),INT(O$6/$X41)*$X$7-O40*($X$7+$Z41)*($Y41-1)-SUM($B42:N42))+IF($Y41&gt;1,IF(INT(O$6/$X41)&gt;0,$Z41-$AA41,0),-$AA41)</f>
        <v>0</v>
      </c>
      <c r="P42" s="511" t="n">
        <f aca="false">IF(INT(P$6/$X41)*$X$7&gt;P40*($X$7+$Z41)*$Y41,P40*($X$7+$Z41)-SUM($B42:O42),INT(P$6/$X41)*$X$7-P40*($X$7+$Z41)*($Y41-1)-SUM($B42:O42))+IF($Y41&gt;1,IF(INT(P$6/$X41)&gt;0,$Z41-$AA41,0),-$AA41)</f>
        <v>0</v>
      </c>
      <c r="Q42" s="511" t="n">
        <f aca="false">IF(INT(Q$6/$X41)*$X$7&gt;Q40*($X$7+$Z41)*$Y41,Q40*($X$7+$Z41)-SUM($B42:P42),INT(Q$6/$X41)*$X$7-Q40*($X$7+$Z41)*($Y41-1)-SUM($B42:P42))+IF($Y41&gt;1,IF(INT(Q$6/$X41)&gt;0,$Z41-$AA41,0),-$AA41)</f>
        <v>0</v>
      </c>
      <c r="R42" s="511" t="n">
        <f aca="false">IF(INT(R$6/$X41)*$X$7&gt;R40*($X$7+$Z41)*$Y41,R40*($X$7+$Z41)-SUM($B42:Q42),INT(R$6/$X41)*$X$7-R40*($X$7+$Z41)*($Y41-1)-SUM($B42:Q42))+IF($Y41&gt;1,IF(INT(R$6/$X41)&gt;0,$Z41-$AA41,0),-$AA41)</f>
        <v>0</v>
      </c>
      <c r="S42" s="511" t="n">
        <f aca="false">IF(INT(S$6/$X41)*$X$7&gt;S40*($X$7+$Z41)*$Y41,S40*($X$7+$Z41)-SUM($B42:R42),INT(S$6/$X41)*$X$7-S40*($X$7+$Z41)*($Y41-1)-SUM($B42:R42))+IF($Y41&gt;1,IF(INT(S$6/$X41)&gt;0,$Z41-$AA41,0),-$AA41)</f>
        <v>0</v>
      </c>
      <c r="T42" s="511" t="n">
        <f aca="false">IF(INT(T$6/$X41)*$X$7&gt;T40*($X$7+$Z41)*$Y41,T40*($X$7+$Z41)-SUM($B42:S42),INT(T$6/$X41)*$X$7-T40*($X$7+$Z41)*($Y41-1)-SUM($B42:S42))+IF($Y41&gt;1,IF(INT(T$6/$X41)&gt;0,$Z41-$AA41,0),-$AA41)</f>
        <v>0</v>
      </c>
      <c r="U42" s="511" t="n">
        <f aca="false">IF(INT(U$6/$X41)*$X$7&gt;U40*($X$7+$Z41)*$Y41,U40*($X$7+$Z41)-SUM($B42:T42),INT(U$6/$X41)*$X$7-U40*($X$7+$Z41)*($Y41-1)-SUM($B42:T42))+IF($Y41&gt;1,IF(INT(U$6/$X41)&gt;0,$Z41-$AA41,0),-$AA41)</f>
        <v>0</v>
      </c>
      <c r="V42" s="511" t="n">
        <f aca="false">IF(INT(V$6/$X41)*$X$7&gt;V40*($X$7+$Z41)*$Y41,V40*($X$7+$Z41)-SUM($B42:U42),INT(V$6/$X41)*$X$7-V40*($X$7+$Z41)*($Y41-1)-SUM($B42:U42))+IF($Y41&gt;1,IF(INT(V$6/$X41)&gt;0,$Z41-$AA41,0),-$AA41)</f>
        <v>0</v>
      </c>
      <c r="W42" s="803"/>
      <c r="AA42" s="157"/>
      <c r="AB42" s="157"/>
    </row>
    <row r="43" customFormat="false" ht="12.75" hidden="false" customHeight="false" outlineLevel="0" collapsed="false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785"/>
      <c r="X43" s="157"/>
      <c r="Y43" s="157"/>
      <c r="Z43" s="157"/>
      <c r="AA43" s="157"/>
      <c r="AB43" s="157"/>
    </row>
    <row r="44" customFormat="false" ht="12.75" hidden="true" customHeight="false" outlineLevel="0" collapsed="false">
      <c r="A44" s="153" t="s">
        <v>1395</v>
      </c>
      <c r="B44" s="511"/>
      <c r="C44" s="153" t="n">
        <f aca="false">INT((INT(C$6/$X45)*$X$7+$X$7+$Z45-1)/($X$7+$Z45)/$Y45)</f>
        <v>0</v>
      </c>
      <c r="D44" s="153" t="n">
        <f aca="false">INT((INT(D$6/$X45)*$X$7+$X$7+$Z45-1)/($X$7+$Z45)/$Y45)</f>
        <v>0</v>
      </c>
      <c r="E44" s="153" t="n">
        <f aca="false">INT((INT(E$6/$X45)*$X$7+$X$7+$Z45-1)/($X$7+$Z45)/$Y45)</f>
        <v>0</v>
      </c>
      <c r="F44" s="153" t="n">
        <f aca="false">INT((INT(F$6/$X45)*$X$7+$X$7+$Z45-1)/($X$7+$Z45)/$Y45)</f>
        <v>0</v>
      </c>
      <c r="G44" s="153" t="n">
        <f aca="false">INT((INT(G$6/$X45)*$X$7+$X$7+$Z45-1)/($X$7+$Z45)/$Y45)</f>
        <v>0</v>
      </c>
      <c r="H44" s="153" t="n">
        <f aca="false">INT((INT(H$6/$X45)*$X$7+$X$7+$Z45-1)/($X$7+$Z45)/$Y45)</f>
        <v>0</v>
      </c>
      <c r="I44" s="153" t="n">
        <f aca="false">INT((INT(I$6/$X45)*$X$7+$X$7+$Z45-1)/($X$7+$Z45)/$Y45)</f>
        <v>0</v>
      </c>
      <c r="J44" s="153" t="n">
        <f aca="false">INT((INT(J$6/$X45)*$X$7+$X$7+$Z45-1)/($X$7+$Z45)/$Y45)</f>
        <v>0</v>
      </c>
      <c r="K44" s="153" t="n">
        <f aca="false">INT((INT(K$6/$X45)*$X$7+$X$7+$Z45-1)/($X$7+$Z45)/$Y45)</f>
        <v>0</v>
      </c>
      <c r="L44" s="153" t="n">
        <f aca="false">INT((INT(L$6/$X45)*$X$7+$X$7+$Z45-1)/($X$7+$Z45)/$Y45)</f>
        <v>0</v>
      </c>
      <c r="M44" s="153" t="n">
        <f aca="false">INT((INT(M$6/$X45)*$X$7+$X$7+$Z45-1)/($X$7+$Z45)/$Y45)</f>
        <v>0</v>
      </c>
      <c r="N44" s="153" t="n">
        <f aca="false">INT((INT(N$6/$X45)*$X$7+$X$7+$Z45-1)/($X$7+$Z45)/$Y45)</f>
        <v>0</v>
      </c>
      <c r="O44" s="153" t="n">
        <f aca="false">INT((INT(O$6/$X45)*$X$7+$X$7+$Z45-1)/($X$7+$Z45)/$Y45)</f>
        <v>0</v>
      </c>
      <c r="P44" s="153" t="n">
        <f aca="false">INT((INT(P$6/$X45)*$X$7+$X$7+$Z45-1)/($X$7+$Z45)/$Y45)</f>
        <v>0</v>
      </c>
      <c r="Q44" s="153" t="n">
        <f aca="false">INT((INT(Q$6/$X45)*$X$7+$X$7+$Z45-1)/($X$7+$Z45)/$Y45)</f>
        <v>0</v>
      </c>
      <c r="R44" s="153" t="n">
        <f aca="false">INT((INT(R$6/$X45)*$X$7+$X$7+$Z45-1)/($X$7+$Z45)/$Y45)</f>
        <v>0</v>
      </c>
      <c r="S44" s="153" t="n">
        <f aca="false">INT((INT(S$6/$X45)*$X$7+$X$7+$Z45-1)/($X$7+$Z45)/$Y45)</f>
        <v>0</v>
      </c>
      <c r="T44" s="153" t="n">
        <f aca="false">INT((INT(T$6/$X45)*$X$7+$X$7+$Z45-1)/($X$7+$Z45)/$Y45)</f>
        <v>0</v>
      </c>
      <c r="U44" s="153" t="n">
        <f aca="false">INT((INT(U$6/$X45)*$X$7+$X$7+$Z45-1)/($X$7+$Z45)/$Y45)</f>
        <v>0</v>
      </c>
      <c r="V44" s="153" t="n">
        <f aca="false">INT((INT(V$6/$X45)*$X$7+$X$7+$Z45-1)/($X$7+$Z45)/$Y45)</f>
        <v>0</v>
      </c>
      <c r="W44" s="157"/>
      <c r="X44" s="157"/>
      <c r="Y44" s="157"/>
      <c r="Z44" s="157"/>
      <c r="AA44" s="157"/>
      <c r="AB44" s="157"/>
    </row>
    <row r="45" customFormat="false" ht="12.75" hidden="false" customHeight="false" outlineLevel="0" collapsed="false">
      <c r="A45" s="153" t="s">
        <v>1396</v>
      </c>
      <c r="B45" s="511" t="s">
        <v>1007</v>
      </c>
      <c r="C45" s="511" t="n">
        <f aca="false">IF($Y45=1,0,$X$7*(INT(C$6/$X45)-INT(B$6/$X45))-IF(SUM($B45:B45)&gt;0,C46,0))</f>
        <v>0</v>
      </c>
      <c r="D45" s="511" t="n">
        <f aca="false">IF($Y45=1,0,$X$7*(INT(D$6/$X45)-INT(C$6/$X45))-IF(SUM($B45:C45)&gt;0,D46,0))</f>
        <v>0</v>
      </c>
      <c r="E45" s="511" t="n">
        <f aca="false">IF($Y45=1,0,$X$7*(INT(E$6/$X45)-INT(D$6/$X45))-IF(SUM($B45:D45)&gt;0,E46,0))</f>
        <v>0</v>
      </c>
      <c r="F45" s="511" t="n">
        <f aca="false">IF($Y45=1,0,$X$7*(INT(F$6/$X45)-INT(E$6/$X45))-IF(SUM($B45:E45)&gt;0,F46,0))</f>
        <v>0</v>
      </c>
      <c r="G45" s="511" t="n">
        <f aca="false">IF($Y45=1,0,$X$7*(INT(G$6/$X45)-INT(F$6/$X45))-IF(SUM($B45:F45)&gt;0,G46,0))</f>
        <v>0</v>
      </c>
      <c r="H45" s="511" t="n">
        <f aca="false">IF($Y45=1,0,$X$7*(INT(H$6/$X45)-INT(G$6/$X45))-IF(SUM($B45:G45)&gt;0,H46,0))</f>
        <v>0</v>
      </c>
      <c r="I45" s="511" t="n">
        <f aca="false">IF($Y45=1,0,$X$7*(INT(I$6/$X45)-INT(H$6/$X45))-IF(SUM($B45:H45)&gt;0,I46,0))</f>
        <v>0</v>
      </c>
      <c r="J45" s="511" t="n">
        <f aca="false">IF($Y45=1,0,$X$7*(INT(J$6/$X45)-INT(I$6/$X45))-IF(SUM($B45:I45)&gt;0,J46,0))</f>
        <v>0</v>
      </c>
      <c r="K45" s="511" t="n">
        <f aca="false">IF($Y45=1,0,$X$7*(INT(K$6/$X45)-INT(J$6/$X45))-IF(SUM($B45:J45)&gt;0,K46,0))</f>
        <v>0</v>
      </c>
      <c r="L45" s="511" t="n">
        <f aca="false">IF($Y45=1,0,$X$7*(INT(L$6/$X45)-INT(K$6/$X45))-IF(SUM($B45:K45)&gt;0,L46,0))</f>
        <v>0</v>
      </c>
      <c r="M45" s="511" t="n">
        <f aca="false">IF($Y45=1,0,$X$7*(INT(M$6/$X45)-INT(L$6/$X45))-IF(SUM($B45:L45)&gt;0,M46,0))</f>
        <v>0</v>
      </c>
      <c r="N45" s="511" t="n">
        <f aca="false">IF($Y45=1,0,$X$7*(INT(N$6/$X45)-INT(M$6/$X45))-IF(SUM($B45:M45)&gt;0,N46,0))</f>
        <v>0</v>
      </c>
      <c r="O45" s="511" t="n">
        <f aca="false">IF($Y45=1,0,$X$7*(INT(O$6/$X45)-INT(N$6/$X45))-IF(SUM($B45:N45)&gt;0,O46,0))</f>
        <v>0</v>
      </c>
      <c r="P45" s="511" t="n">
        <f aca="false">IF($Y45=1,0,$X$7*(INT(P$6/$X45)-INT(O$6/$X45))-IF(SUM($B45:O45)&gt;0,P46,0))</f>
        <v>0</v>
      </c>
      <c r="Q45" s="511" t="n">
        <f aca="false">IF($Y45=1,0,$X$7*(INT(Q$6/$X45)-INT(P$6/$X45))-IF(SUM($B45:P45)&gt;0,Q46,0))</f>
        <v>0</v>
      </c>
      <c r="R45" s="511" t="n">
        <f aca="false">IF($Y45=1,0,$X$7*(INT(R$6/$X45)-INT(Q$6/$X45))-IF(SUM($B45:Q45)&gt;0,R46,0))</f>
        <v>0</v>
      </c>
      <c r="S45" s="511" t="n">
        <f aca="false">IF($Y45=1,0,$X$7*(INT(S$6/$X45)-INT(R$6/$X45))-IF(SUM($B45:R45)&gt;0,S46,0))</f>
        <v>0</v>
      </c>
      <c r="T45" s="511" t="n">
        <f aca="false">IF($Y45=1,0,$X$7*(INT(T$6/$X45)-INT(S$6/$X45))-IF(SUM($B45:S45)&gt;0,T46,0))</f>
        <v>0</v>
      </c>
      <c r="U45" s="511" t="n">
        <f aca="false">IF($Y45=1,0,$X$7*(INT(U$6/$X45)-INT(T$6/$X45))-IF(SUM($B45:T45)&gt;0,U46,0))</f>
        <v>0</v>
      </c>
      <c r="V45" s="511" t="n">
        <f aca="false">IF($Y45=1,0,$X$7*(INT(V$6/$X45)-INT(U$6/$X45))-IF(SUM($B45:U45)&gt;0,V46,0))</f>
        <v>0</v>
      </c>
      <c r="W45" s="800" t="str">
        <f aca="false">'GT schd cost(W501D5A)'!A21</f>
        <v>Row 3 Blades</v>
      </c>
      <c r="X45" s="800" t="n">
        <f aca="false">IF($AD$6=1,'GTDB(W501D5A)'!B24,'GTDB(W501D5A)'!G24)</f>
        <v>24000</v>
      </c>
      <c r="Y45" s="800" t="n">
        <f aca="false">IF($AD$6=1,'GTDB(W501D5A)'!C24,'GTDB(W501D5A)'!H24)</f>
        <v>4</v>
      </c>
      <c r="Z45" s="801" t="n">
        <v>1</v>
      </c>
      <c r="AA45" s="805" t="n">
        <f aca="false">'Initial_Spares(W501D5A)'!$E$18</f>
        <v>0</v>
      </c>
      <c r="AB45" s="764" t="n">
        <f aca="false">'GT schd cost(W501D5A)'!X21+'GT schd cost(W501D5A)'!X47</f>
        <v>0</v>
      </c>
    </row>
    <row r="46" customFormat="false" ht="12.75" hidden="false" customHeight="false" outlineLevel="0" collapsed="false">
      <c r="A46" s="153" t="s">
        <v>1397</v>
      </c>
      <c r="B46" s="511" t="s">
        <v>1007</v>
      </c>
      <c r="C46" s="511" t="n">
        <f aca="false">IF(INT(C$6/$X45)*$X$7&gt;C44*($X$7+$Z45)*$Y45,C44*($X$7+$Z45)-SUM($B46:B46),INT(C$6/$X45)*$X$7-C44*($X$7+$Z45)*($Y45-1)-SUM($B46:B46))+IF($Y45&gt;1,IF(INT(C$6/$X45)&gt;0,$Z45-$AA45,0),-$AA45)</f>
        <v>0</v>
      </c>
      <c r="D46" s="511" t="n">
        <f aca="false">IF(INT(D$6/$X45)*$X$7&gt;D44*($X$7+$Z45)*$Y45,D44*($X$7+$Z45)-SUM($B46:C46),INT(D$6/$X45)*$X$7-D44*($X$7+$Z45)*($Y45-1)-SUM($B46:C46))+IF($Y45&gt;1,IF(INT(D$6/$X45)&gt;0,$Z45-$AA45,0),-$AA45)</f>
        <v>0</v>
      </c>
      <c r="E46" s="511" t="n">
        <f aca="false">IF(INT(E$6/$X45)*$X$7&gt;E44*($X$7+$Z45)*$Y45,E44*($X$7+$Z45)-SUM($B46:D46),INT(E$6/$X45)*$X$7-E44*($X$7+$Z45)*($Y45-1)-SUM($B46:D46))+IF($Y45&gt;1,IF(INT(E$6/$X45)&gt;0,$Z45-$AA45,0),-$AA45)</f>
        <v>0</v>
      </c>
      <c r="F46" s="511" t="n">
        <f aca="false">IF(INT(F$6/$X45)*$X$7&gt;F44*($X$7+$Z45)*$Y45,F44*($X$7+$Z45)-SUM($B46:E46),INT(F$6/$X45)*$X$7-F44*($X$7+$Z45)*($Y45-1)-SUM($B46:E46))+IF($Y45&gt;1,IF(INT(F$6/$X45)&gt;0,$Z45-$AA45,0),-$AA45)</f>
        <v>0</v>
      </c>
      <c r="G46" s="511" t="n">
        <f aca="false">IF(INT(G$6/$X45)*$X$7&gt;G44*($X$7+$Z45)*$Y45,G44*($X$7+$Z45)-SUM($B46:F46),INT(G$6/$X45)*$X$7-G44*($X$7+$Z45)*($Y45-1)-SUM($B46:F46))+IF($Y45&gt;1,IF(INT(G$6/$X45)&gt;0,$Z45-$AA45,0),-$AA45)</f>
        <v>0</v>
      </c>
      <c r="H46" s="511" t="n">
        <f aca="false">IF(INT(H$6/$X45)*$X$7&gt;H44*($X$7+$Z45)*$Y45,H44*($X$7+$Z45)-SUM($B46:G46),INT(H$6/$X45)*$X$7-H44*($X$7+$Z45)*($Y45-1)-SUM($B46:G46))+IF($Y45&gt;1,IF(INT(H$6/$X45)&gt;0,$Z45-$AA45,0),-$AA45)</f>
        <v>0</v>
      </c>
      <c r="I46" s="511" t="n">
        <f aca="false">IF(INT(I$6/$X45)*$X$7&gt;I44*($X$7+$Z45)*$Y45,I44*($X$7+$Z45)-SUM($B46:H46),INT(I$6/$X45)*$X$7-I44*($X$7+$Z45)*($Y45-1)-SUM($B46:H46))+IF($Y45&gt;1,IF(INT(I$6/$X45)&gt;0,$Z45-$AA45,0),-$AA45)</f>
        <v>0</v>
      </c>
      <c r="J46" s="511" t="n">
        <f aca="false">IF(INT(J$6/$X45)*$X$7&gt;J44*($X$7+$Z45)*$Y45,J44*($X$7+$Z45)-SUM($B46:I46),INT(J$6/$X45)*$X$7-J44*($X$7+$Z45)*($Y45-1)-SUM($B46:I46))+IF($Y45&gt;1,IF(INT(J$6/$X45)&gt;0,$Z45-$AA45,0),-$AA45)</f>
        <v>0</v>
      </c>
      <c r="K46" s="511" t="n">
        <f aca="false">IF(INT(K$6/$X45)*$X$7&gt;K44*($X$7+$Z45)*$Y45,K44*($X$7+$Z45)-SUM($B46:J46),INT(K$6/$X45)*$X$7-K44*($X$7+$Z45)*($Y45-1)-SUM($B46:J46))+IF($Y45&gt;1,IF(INT(K$6/$X45)&gt;0,$Z45-$AA45,0),-$AA45)</f>
        <v>0</v>
      </c>
      <c r="L46" s="511" t="n">
        <f aca="false">IF(INT(L$6/$X45)*$X$7&gt;L44*($X$7+$Z45)*$Y45,L44*($X$7+$Z45)-SUM($B46:K46),INT(L$6/$X45)*$X$7-L44*($X$7+$Z45)*($Y45-1)-SUM($B46:K46))+IF($Y45&gt;1,IF(INT(L$6/$X45)&gt;0,$Z45-$AA45,0),-$AA45)</f>
        <v>0</v>
      </c>
      <c r="M46" s="511" t="n">
        <f aca="false">IF(INT(M$6/$X45)*$X$7&gt;M44*($X$7+$Z45)*$Y45,M44*($X$7+$Z45)-SUM($B46:L46),INT(M$6/$X45)*$X$7-M44*($X$7+$Z45)*($Y45-1)-SUM($B46:L46))+IF($Y45&gt;1,IF(INT(M$6/$X45)&gt;0,$Z45-$AA45,0),-$AA45)</f>
        <v>0</v>
      </c>
      <c r="N46" s="511" t="n">
        <f aca="false">IF(INT(N$6/$X45)*$X$7&gt;N44*($X$7+$Z45)*$Y45,N44*($X$7+$Z45)-SUM($B46:M46),INT(N$6/$X45)*$X$7-N44*($X$7+$Z45)*($Y45-1)-SUM($B46:M46))+IF($Y45&gt;1,IF(INT(N$6/$X45)&gt;0,$Z45-$AA45,0),-$AA45)</f>
        <v>0</v>
      </c>
      <c r="O46" s="511" t="n">
        <f aca="false">IF(INT(O$6/$X45)*$X$7&gt;O44*($X$7+$Z45)*$Y45,O44*($X$7+$Z45)-SUM($B46:N46),INT(O$6/$X45)*$X$7-O44*($X$7+$Z45)*($Y45-1)-SUM($B46:N46))+IF($Y45&gt;1,IF(INT(O$6/$X45)&gt;0,$Z45-$AA45,0),-$AA45)</f>
        <v>0</v>
      </c>
      <c r="P46" s="511" t="n">
        <f aca="false">IF(INT(P$6/$X45)*$X$7&gt;P44*($X$7+$Z45)*$Y45,P44*($X$7+$Z45)-SUM($B46:O46),INT(P$6/$X45)*$X$7-P44*($X$7+$Z45)*($Y45-1)-SUM($B46:O46))+IF($Y45&gt;1,IF(INT(P$6/$X45)&gt;0,$Z45-$AA45,0),-$AA45)</f>
        <v>0</v>
      </c>
      <c r="Q46" s="511" t="n">
        <f aca="false">IF(INT(Q$6/$X45)*$X$7&gt;Q44*($X$7+$Z45)*$Y45,Q44*($X$7+$Z45)-SUM($B46:P46),INT(Q$6/$X45)*$X$7-Q44*($X$7+$Z45)*($Y45-1)-SUM($B46:P46))+IF($Y45&gt;1,IF(INT(Q$6/$X45)&gt;0,$Z45-$AA45,0),-$AA45)</f>
        <v>0</v>
      </c>
      <c r="R46" s="511" t="n">
        <f aca="false">IF(INT(R$6/$X45)*$X$7&gt;R44*($X$7+$Z45)*$Y45,R44*($X$7+$Z45)-SUM($B46:Q46),INT(R$6/$X45)*$X$7-R44*($X$7+$Z45)*($Y45-1)-SUM($B46:Q46))+IF($Y45&gt;1,IF(INT(R$6/$X45)&gt;0,$Z45-$AA45,0),-$AA45)</f>
        <v>0</v>
      </c>
      <c r="S46" s="511" t="n">
        <f aca="false">IF(INT(S$6/$X45)*$X$7&gt;S44*($X$7+$Z45)*$Y45,S44*($X$7+$Z45)-SUM($B46:R46),INT(S$6/$X45)*$X$7-S44*($X$7+$Z45)*($Y45-1)-SUM($B46:R46))+IF($Y45&gt;1,IF(INT(S$6/$X45)&gt;0,$Z45-$AA45,0),-$AA45)</f>
        <v>0</v>
      </c>
      <c r="T46" s="511" t="n">
        <f aca="false">IF(INT(T$6/$X45)*$X$7&gt;T44*($X$7+$Z45)*$Y45,T44*($X$7+$Z45)-SUM($B46:S46),INT(T$6/$X45)*$X$7-T44*($X$7+$Z45)*($Y45-1)-SUM($B46:S46))+IF($Y45&gt;1,IF(INT(T$6/$X45)&gt;0,$Z45-$AA45,0),-$AA45)</f>
        <v>0</v>
      </c>
      <c r="U46" s="511" t="n">
        <f aca="false">IF(INT(U$6/$X45)*$X$7&gt;U44*($X$7+$Z45)*$Y45,U44*($X$7+$Z45)-SUM($B46:T46),INT(U$6/$X45)*$X$7-U44*($X$7+$Z45)*($Y45-1)-SUM($B46:T46))+IF($Y45&gt;1,IF(INT(U$6/$X45)&gt;0,$Z45-$AA45,0),-$AA45)</f>
        <v>0</v>
      </c>
      <c r="V46" s="511" t="n">
        <f aca="false">IF(INT(V$6/$X45)*$X$7&gt;V44*($X$7+$Z45)*$Y45,V44*($X$7+$Z45)-SUM($B46:U46),INT(V$6/$X45)*$X$7-V44*($X$7+$Z45)*($Y45-1)-SUM($B46:U46))+IF($Y45&gt;1,IF(INT(V$6/$X45)&gt;0,$Z45-$AA45,0),-$AA45)</f>
        <v>0</v>
      </c>
      <c r="W46" s="803"/>
      <c r="AA46" s="157"/>
      <c r="AB46" s="157"/>
    </row>
    <row r="47" customFormat="false" ht="12.75" hidden="false" customHeight="false" outlineLevel="0" collapsed="false">
      <c r="A47" s="157"/>
      <c r="B47" s="518"/>
      <c r="C47" s="518"/>
      <c r="D47" s="518"/>
      <c r="E47" s="518"/>
      <c r="F47" s="518"/>
      <c r="G47" s="518"/>
      <c r="H47" s="518"/>
      <c r="I47" s="518"/>
      <c r="J47" s="518"/>
      <c r="K47" s="518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785"/>
      <c r="X47" s="157"/>
      <c r="Y47" s="157"/>
      <c r="Z47" s="157"/>
      <c r="AA47" s="157"/>
      <c r="AB47" s="157"/>
    </row>
    <row r="48" customFormat="false" ht="12.75" hidden="true" customHeight="false" outlineLevel="0" collapsed="false">
      <c r="A48" s="153" t="s">
        <v>1395</v>
      </c>
      <c r="B48" s="511"/>
      <c r="C48" s="153" t="n">
        <f aca="false">INT((INT(C$6/$X49)*$X$7+$X$7+$Z49-1)/($X$7+$Z49)/$Y49)</f>
        <v>0</v>
      </c>
      <c r="D48" s="153" t="n">
        <f aca="false">INT((INT(D$6/$X49)*$X$7+$X$7+$Z49-1)/($X$7+$Z49)/$Y49)</f>
        <v>0</v>
      </c>
      <c r="E48" s="153" t="n">
        <f aca="false">INT((INT(E$6/$X49)*$X$7+$X$7+$Z49-1)/($X$7+$Z49)/$Y49)</f>
        <v>0</v>
      </c>
      <c r="F48" s="153" t="n">
        <f aca="false">INT((INT(F$6/$X49)*$X$7+$X$7+$Z49-1)/($X$7+$Z49)/$Y49)</f>
        <v>0</v>
      </c>
      <c r="G48" s="153" t="n">
        <f aca="false">INT((INT(G$6/$X49)*$X$7+$X$7+$Z49-1)/($X$7+$Z49)/$Y49)</f>
        <v>0</v>
      </c>
      <c r="H48" s="153" t="n">
        <f aca="false">INT((INT(H$6/$X49)*$X$7+$X$7+$Z49-1)/($X$7+$Z49)/$Y49)</f>
        <v>0</v>
      </c>
      <c r="I48" s="153" t="n">
        <f aca="false">INT((INT(I$6/$X49)*$X$7+$X$7+$Z49-1)/($X$7+$Z49)/$Y49)</f>
        <v>0</v>
      </c>
      <c r="J48" s="153" t="n">
        <f aca="false">INT((INT(J$6/$X49)*$X$7+$X$7+$Z49-1)/($X$7+$Z49)/$Y49)</f>
        <v>0</v>
      </c>
      <c r="K48" s="153" t="n">
        <f aca="false">INT((INT(K$6/$X49)*$X$7+$X$7+$Z49-1)/($X$7+$Z49)/$Y49)</f>
        <v>0</v>
      </c>
      <c r="L48" s="153" t="n">
        <f aca="false">INT((INT(L$6/$X49)*$X$7+$X$7+$Z49-1)/($X$7+$Z49)/$Y49)</f>
        <v>0</v>
      </c>
      <c r="M48" s="153" t="n">
        <f aca="false">INT((INT(M$6/$X49)*$X$7+$X$7+$Z49-1)/($X$7+$Z49)/$Y49)</f>
        <v>0</v>
      </c>
      <c r="N48" s="153" t="n">
        <f aca="false">INT((INT(N$6/$X49)*$X$7+$X$7+$Z49-1)/($X$7+$Z49)/$Y49)</f>
        <v>0</v>
      </c>
      <c r="O48" s="153" t="n">
        <f aca="false">INT((INT(O$6/$X49)*$X$7+$X$7+$Z49-1)/($X$7+$Z49)/$Y49)</f>
        <v>0</v>
      </c>
      <c r="P48" s="153" t="n">
        <f aca="false">INT((INT(P$6/$X49)*$X$7+$X$7+$Z49-1)/($X$7+$Z49)/$Y49)</f>
        <v>0</v>
      </c>
      <c r="Q48" s="153" t="n">
        <f aca="false">INT((INT(Q$6/$X49)*$X$7+$X$7+$Z49-1)/($X$7+$Z49)/$Y49)</f>
        <v>0</v>
      </c>
      <c r="R48" s="153" t="n">
        <f aca="false">INT((INT(R$6/$X49)*$X$7+$X$7+$Z49-1)/($X$7+$Z49)/$Y49)</f>
        <v>0</v>
      </c>
      <c r="S48" s="153" t="n">
        <f aca="false">INT((INT(S$6/$X49)*$X$7+$X$7+$Z49-1)/($X$7+$Z49)/$Y49)</f>
        <v>0</v>
      </c>
      <c r="T48" s="153" t="n">
        <f aca="false">INT((INT(T$6/$X49)*$X$7+$X$7+$Z49-1)/($X$7+$Z49)/$Y49)</f>
        <v>0</v>
      </c>
      <c r="U48" s="153" t="n">
        <f aca="false">INT((INT(U$6/$X49)*$X$7+$X$7+$Z49-1)/($X$7+$Z49)/$Y49)</f>
        <v>0</v>
      </c>
      <c r="V48" s="153" t="n">
        <f aca="false">INT((INT(V$6/$X49)*$X$7+$X$7+$Z49-1)/($X$7+$Z49)/$Y49)</f>
        <v>0</v>
      </c>
      <c r="W48" s="157"/>
      <c r="X48" s="157"/>
      <c r="Y48" s="157"/>
      <c r="Z48" s="157"/>
      <c r="AA48" s="157"/>
      <c r="AB48" s="157"/>
    </row>
    <row r="49" customFormat="false" ht="12.75" hidden="false" customHeight="false" outlineLevel="0" collapsed="false">
      <c r="A49" s="153" t="s">
        <v>1396</v>
      </c>
      <c r="B49" s="511" t="s">
        <v>1007</v>
      </c>
      <c r="C49" s="511" t="n">
        <f aca="false">IF($Y49=1,0,$X$7*(INT(C$6/$X49)-INT(B$6/$X49))-IF(SUM($B49:B49)&gt;0,C50,0))</f>
        <v>0</v>
      </c>
      <c r="D49" s="511" t="n">
        <f aca="false">IF($Y49=1,0,$X$7*(INT(D$6/$X49)-INT(C$6/$X49))-IF(SUM($B49:C49)&gt;0,D50,0))</f>
        <v>0</v>
      </c>
      <c r="E49" s="511" t="n">
        <f aca="false">IF($Y49=1,0,$X$7*(INT(E$6/$X49)-INT(D$6/$X49))-IF(SUM($B49:D49)&gt;0,E50,0))</f>
        <v>0</v>
      </c>
      <c r="F49" s="511" t="n">
        <f aca="false">IF($Y49=1,0,$X$7*(INT(F$6/$X49)-INT(E$6/$X49))-IF(SUM($B49:E49)&gt;0,F50,0))</f>
        <v>0</v>
      </c>
      <c r="G49" s="511" t="n">
        <f aca="false">IF($Y49=1,0,$X$7*(INT(G$6/$X49)-INT(F$6/$X49))-IF(SUM($B49:F49)&gt;0,G50,0))</f>
        <v>0</v>
      </c>
      <c r="H49" s="511" t="n">
        <f aca="false">IF($Y49=1,0,$X$7*(INT(H$6/$X49)-INT(G$6/$X49))-IF(SUM($B49:G49)&gt;0,H50,0))</f>
        <v>0</v>
      </c>
      <c r="I49" s="511" t="n">
        <f aca="false">IF($Y49=1,0,$X$7*(INT(I$6/$X49)-INT(H$6/$X49))-IF(SUM($B49:H49)&gt;0,I50,0))</f>
        <v>0</v>
      </c>
      <c r="J49" s="511" t="n">
        <f aca="false">IF($Y49=1,0,$X$7*(INT(J$6/$X49)-INT(I$6/$X49))-IF(SUM($B49:I49)&gt;0,J50,0))</f>
        <v>0</v>
      </c>
      <c r="K49" s="511" t="n">
        <f aca="false">IF($Y49=1,0,$X$7*(INT(K$6/$X49)-INT(J$6/$X49))-IF(SUM($B49:J49)&gt;0,K50,0))</f>
        <v>0</v>
      </c>
      <c r="L49" s="511" t="n">
        <f aca="false">IF($Y49=1,0,$X$7*(INT(L$6/$X49)-INT(K$6/$X49))-IF(SUM($B49:K49)&gt;0,L50,0))</f>
        <v>0</v>
      </c>
      <c r="M49" s="511" t="n">
        <f aca="false">IF($Y49=1,0,$X$7*(INT(M$6/$X49)-INT(L$6/$X49))-IF(SUM($B49:L49)&gt;0,M50,0))</f>
        <v>0</v>
      </c>
      <c r="N49" s="511" t="n">
        <f aca="false">IF($Y49=1,0,$X$7*(INT(N$6/$X49)-INT(M$6/$X49))-IF(SUM($B49:M49)&gt;0,N50,0))</f>
        <v>0</v>
      </c>
      <c r="O49" s="511" t="n">
        <f aca="false">IF($Y49=1,0,$X$7*(INT(O$6/$X49)-INT(N$6/$X49))-IF(SUM($B49:N49)&gt;0,O50,0))</f>
        <v>0</v>
      </c>
      <c r="P49" s="511" t="n">
        <f aca="false">IF($Y49=1,0,$X$7*(INT(P$6/$X49)-INT(O$6/$X49))-IF(SUM($B49:O49)&gt;0,P50,0))</f>
        <v>0</v>
      </c>
      <c r="Q49" s="511" t="n">
        <f aca="false">IF($Y49=1,0,$X$7*(INT(Q$6/$X49)-INT(P$6/$X49))-IF(SUM($B49:P49)&gt;0,Q50,0))</f>
        <v>0</v>
      </c>
      <c r="R49" s="511" t="n">
        <f aca="false">IF($Y49=1,0,$X$7*(INT(R$6/$X49)-INT(Q$6/$X49))-IF(SUM($B49:Q49)&gt;0,R50,0))</f>
        <v>0</v>
      </c>
      <c r="S49" s="511" t="n">
        <f aca="false">IF($Y49=1,0,$X$7*(INT(S$6/$X49)-INT(R$6/$X49))-IF(SUM($B49:R49)&gt;0,S50,0))</f>
        <v>0</v>
      </c>
      <c r="T49" s="511" t="n">
        <f aca="false">IF($Y49=1,0,$X$7*(INT(T$6/$X49)-INT(S$6/$X49))-IF(SUM($B49:S49)&gt;0,T50,0))</f>
        <v>0</v>
      </c>
      <c r="U49" s="511" t="n">
        <f aca="false">IF($Y49=1,0,$X$7*(INT(U$6/$X49)-INT(T$6/$X49))-IF(SUM($B49:T49)&gt;0,U50,0))</f>
        <v>0</v>
      </c>
      <c r="V49" s="511" t="n">
        <f aca="false">IF($Y49=1,0,$X$7*(INT(V$6/$X49)-INT(U$6/$X49))-IF(SUM($B49:U49)&gt;0,V50,0))</f>
        <v>0</v>
      </c>
      <c r="W49" s="800" t="str">
        <f aca="false">'GT schd cost(W501D5A)'!A22</f>
        <v>Row 4 Blades</v>
      </c>
      <c r="X49" s="800" t="n">
        <f aca="false">IF($AD$6=1,'GTDB(W501D5A)'!B25,'GTDB(W501D5A)'!G25)</f>
        <v>48000</v>
      </c>
      <c r="Y49" s="800" t="n">
        <f aca="false">IF($AD$6=1,'GTDB(W501D5A)'!C25,'GTDB(W501D5A)'!H25)</f>
        <v>2</v>
      </c>
      <c r="Z49" s="801" t="n">
        <v>1</v>
      </c>
      <c r="AA49" s="805" t="n">
        <f aca="false">'Initial_Spares(W501D5A)'!$E$19</f>
        <v>0</v>
      </c>
      <c r="AB49" s="764" t="n">
        <f aca="false">'GT schd cost(W501D5A)'!X22+'GT schd cost(W501D5A)'!X48</f>
        <v>0</v>
      </c>
    </row>
    <row r="50" customFormat="false" ht="12.75" hidden="false" customHeight="false" outlineLevel="0" collapsed="false">
      <c r="A50" s="153" t="s">
        <v>1397</v>
      </c>
      <c r="B50" s="511" t="s">
        <v>1007</v>
      </c>
      <c r="C50" s="511" t="n">
        <f aca="false">IF(INT(C$6/$X49)*$X$7&gt;C48*($X$7+$Z49)*$Y49,C48*($X$7+$Z49)-SUM($B50:B50),INT(C$6/$X49)*$X$7-C48*($X$7+$Z49)*($Y49-1)-SUM($B50:B50))+IF($Y49&gt;1,IF(INT(C$6/$X49)&gt;0,$Z49-$AA49,0),-$AA49)</f>
        <v>0</v>
      </c>
      <c r="D50" s="511" t="n">
        <f aca="false">IF(INT(D$6/$X49)*$X$7&gt;D48*($X$7+$Z49)*$Y49,D48*($X$7+$Z49)-SUM($B50:C50),INT(D$6/$X49)*$X$7-D48*($X$7+$Z49)*($Y49-1)-SUM($B50:C50))+IF($Y49&gt;1,IF(INT(D$6/$X49)&gt;0,$Z49-$AA49,0),-$AA49)</f>
        <v>0</v>
      </c>
      <c r="E50" s="511" t="n">
        <f aca="false">IF(INT(E$6/$X49)*$X$7&gt;E48*($X$7+$Z49)*$Y49,E48*($X$7+$Z49)-SUM($B50:D50),INT(E$6/$X49)*$X$7-E48*($X$7+$Z49)*($Y49-1)-SUM($B50:D50))+IF($Y49&gt;1,IF(INT(E$6/$X49)&gt;0,$Z49-$AA49,0),-$AA49)</f>
        <v>0</v>
      </c>
      <c r="F50" s="511" t="n">
        <f aca="false">IF(INT(F$6/$X49)*$X$7&gt;F48*($X$7+$Z49)*$Y49,F48*($X$7+$Z49)-SUM($B50:E50),INT(F$6/$X49)*$X$7-F48*($X$7+$Z49)*($Y49-1)-SUM($B50:E50))+IF($Y49&gt;1,IF(INT(F$6/$X49)&gt;0,$Z49-$AA49,0),-$AA49)</f>
        <v>0</v>
      </c>
      <c r="G50" s="511" t="n">
        <f aca="false">IF(INT(G$6/$X49)*$X$7&gt;G48*($X$7+$Z49)*$Y49,G48*($X$7+$Z49)-SUM($B50:F50),INT(G$6/$X49)*$X$7-G48*($X$7+$Z49)*($Y49-1)-SUM($B50:F50))+IF($Y49&gt;1,IF(INT(G$6/$X49)&gt;0,$Z49-$AA49,0),-$AA49)</f>
        <v>0</v>
      </c>
      <c r="H50" s="511" t="n">
        <f aca="false">IF(INT(H$6/$X49)*$X$7&gt;H48*($X$7+$Z49)*$Y49,H48*($X$7+$Z49)-SUM($B50:G50),INT(H$6/$X49)*$X$7-H48*($X$7+$Z49)*($Y49-1)-SUM($B50:G50))+IF($Y49&gt;1,IF(INT(H$6/$X49)&gt;0,$Z49-$AA49,0),-$AA49)</f>
        <v>0</v>
      </c>
      <c r="I50" s="511" t="n">
        <f aca="false">IF(INT(I$6/$X49)*$X$7&gt;I48*($X$7+$Z49)*$Y49,I48*($X$7+$Z49)-SUM($B50:H50),INT(I$6/$X49)*$X$7-I48*($X$7+$Z49)*($Y49-1)-SUM($B50:H50))+IF($Y49&gt;1,IF(INT(I$6/$X49)&gt;0,$Z49-$AA49,0),-$AA49)</f>
        <v>0</v>
      </c>
      <c r="J50" s="511" t="n">
        <f aca="false">IF(INT(J$6/$X49)*$X$7&gt;J48*($X$7+$Z49)*$Y49,J48*($X$7+$Z49)-SUM($B50:I50),INT(J$6/$X49)*$X$7-J48*($X$7+$Z49)*($Y49-1)-SUM($B50:I50))+IF($Y49&gt;1,IF(INT(J$6/$X49)&gt;0,$Z49-$AA49,0),-$AA49)</f>
        <v>0</v>
      </c>
      <c r="K50" s="511" t="n">
        <f aca="false">IF(INT(K$6/$X49)*$X$7&gt;K48*($X$7+$Z49)*$Y49,K48*($X$7+$Z49)-SUM($B50:J50),INT(K$6/$X49)*$X$7-K48*($X$7+$Z49)*($Y49-1)-SUM($B50:J50))+IF($Y49&gt;1,IF(INT(K$6/$X49)&gt;0,$Z49-$AA49,0),-$AA49)</f>
        <v>0</v>
      </c>
      <c r="L50" s="511" t="n">
        <f aca="false">IF(INT(L$6/$X49)*$X$7&gt;L48*($X$7+$Z49)*$Y49,L48*($X$7+$Z49)-SUM($B50:K50),INT(L$6/$X49)*$X$7-L48*($X$7+$Z49)*($Y49-1)-SUM($B50:K50))+IF($Y49&gt;1,IF(INT(L$6/$X49)&gt;0,$Z49-$AA49,0),-$AA49)</f>
        <v>0</v>
      </c>
      <c r="M50" s="511" t="n">
        <f aca="false">IF(INT(M$6/$X49)*$X$7&gt;M48*($X$7+$Z49)*$Y49,M48*($X$7+$Z49)-SUM($B50:L50),INT(M$6/$X49)*$X$7-M48*($X$7+$Z49)*($Y49-1)-SUM($B50:L50))+IF($Y49&gt;1,IF(INT(M$6/$X49)&gt;0,$Z49-$AA49,0),-$AA49)</f>
        <v>0</v>
      </c>
      <c r="N50" s="511" t="n">
        <f aca="false">IF(INT(N$6/$X49)*$X$7&gt;N48*($X$7+$Z49)*$Y49,N48*($X$7+$Z49)-SUM($B50:M50),INT(N$6/$X49)*$X$7-N48*($X$7+$Z49)*($Y49-1)-SUM($B50:M50))+IF($Y49&gt;1,IF(INT(N$6/$X49)&gt;0,$Z49-$AA49,0),-$AA49)</f>
        <v>0</v>
      </c>
      <c r="O50" s="511" t="n">
        <f aca="false">IF(INT(O$6/$X49)*$X$7&gt;O48*($X$7+$Z49)*$Y49,O48*($X$7+$Z49)-SUM($B50:N50),INT(O$6/$X49)*$X$7-O48*($X$7+$Z49)*($Y49-1)-SUM($B50:N50))+IF($Y49&gt;1,IF(INT(O$6/$X49)&gt;0,$Z49-$AA49,0),-$AA49)</f>
        <v>0</v>
      </c>
      <c r="P50" s="511" t="n">
        <f aca="false">IF(INT(P$6/$X49)*$X$7&gt;P48*($X$7+$Z49)*$Y49,P48*($X$7+$Z49)-SUM($B50:O50),INT(P$6/$X49)*$X$7-P48*($X$7+$Z49)*($Y49-1)-SUM($B50:O50))+IF($Y49&gt;1,IF(INT(P$6/$X49)&gt;0,$Z49-$AA49,0),-$AA49)</f>
        <v>0</v>
      </c>
      <c r="Q50" s="511" t="n">
        <f aca="false">IF(INT(Q$6/$X49)*$X$7&gt;Q48*($X$7+$Z49)*$Y49,Q48*($X$7+$Z49)-SUM($B50:P50),INT(Q$6/$X49)*$X$7-Q48*($X$7+$Z49)*($Y49-1)-SUM($B50:P50))+IF($Y49&gt;1,IF(INT(Q$6/$X49)&gt;0,$Z49-$AA49,0),-$AA49)</f>
        <v>0</v>
      </c>
      <c r="R50" s="511" t="n">
        <f aca="false">IF(INT(R$6/$X49)*$X$7&gt;R48*($X$7+$Z49)*$Y49,R48*($X$7+$Z49)-SUM($B50:Q50),INT(R$6/$X49)*$X$7-R48*($X$7+$Z49)*($Y49-1)-SUM($B50:Q50))+IF($Y49&gt;1,IF(INT(R$6/$X49)&gt;0,$Z49-$AA49,0),-$AA49)</f>
        <v>0</v>
      </c>
      <c r="S50" s="511" t="n">
        <f aca="false">IF(INT(S$6/$X49)*$X$7&gt;S48*($X$7+$Z49)*$Y49,S48*($X$7+$Z49)-SUM($B50:R50),INT(S$6/$X49)*$X$7-S48*($X$7+$Z49)*($Y49-1)-SUM($B50:R50))+IF($Y49&gt;1,IF(INT(S$6/$X49)&gt;0,$Z49-$AA49,0),-$AA49)</f>
        <v>0</v>
      </c>
      <c r="T50" s="511" t="n">
        <f aca="false">IF(INT(T$6/$X49)*$X$7&gt;T48*($X$7+$Z49)*$Y49,T48*($X$7+$Z49)-SUM($B50:S50),INT(T$6/$X49)*$X$7-T48*($X$7+$Z49)*($Y49-1)-SUM($B50:S50))+IF($Y49&gt;1,IF(INT(T$6/$X49)&gt;0,$Z49-$AA49,0),-$AA49)</f>
        <v>0</v>
      </c>
      <c r="U50" s="511" t="n">
        <f aca="false">IF(INT(U$6/$X49)*$X$7&gt;U48*($X$7+$Z49)*$Y49,U48*($X$7+$Z49)-SUM($B50:T50),INT(U$6/$X49)*$X$7-U48*($X$7+$Z49)*($Y49-1)-SUM($B50:T50))+IF($Y49&gt;1,IF(INT(U$6/$X49)&gt;0,$Z49-$AA49,0),-$AA49)</f>
        <v>0</v>
      </c>
      <c r="V50" s="511" t="n">
        <f aca="false">IF(INT(V$6/$X49)*$X$7&gt;V48*($X$7+$Z49)*$Y49,V48*($X$7+$Z49)-SUM($B50:U50),INT(V$6/$X49)*$X$7-V48*($X$7+$Z49)*($Y49-1)-SUM($B50:U50))+IF($Y49&gt;1,IF(INT(V$6/$X49)&gt;0,$Z49-$AA49,0),-$AA49)</f>
        <v>0</v>
      </c>
      <c r="W50" s="803"/>
      <c r="AA50" s="157"/>
      <c r="AB50" s="157"/>
    </row>
    <row r="51" customFormat="false" ht="12.75" hidden="false" customHeight="false" outlineLevel="0" collapsed="false">
      <c r="A51" s="157"/>
      <c r="B51" s="157"/>
      <c r="C51" s="518"/>
      <c r="D51" s="518"/>
      <c r="E51" s="518"/>
      <c r="F51" s="518"/>
      <c r="G51" s="518"/>
      <c r="H51" s="518"/>
      <c r="I51" s="518"/>
      <c r="J51" s="518"/>
      <c r="K51" s="518"/>
      <c r="L51" s="518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785"/>
      <c r="X51" s="157"/>
      <c r="Y51" s="157"/>
      <c r="Z51" s="157"/>
      <c r="AA51" s="157"/>
      <c r="AB51" s="157"/>
    </row>
    <row r="52" customFormat="false" ht="12.75" hidden="true" customHeight="false" outlineLevel="0" collapsed="false">
      <c r="A52" s="153" t="s">
        <v>1395</v>
      </c>
      <c r="B52" s="511"/>
      <c r="C52" s="153" t="n">
        <f aca="false">INT((INT(C$6/$X53)*$X$7+$X$7+$Z53-1)/($X$7+$Z53)/$Y53)</f>
        <v>0</v>
      </c>
      <c r="D52" s="153" t="n">
        <f aca="false">INT((INT(D$6/$X53)*$X$7+$X$7+$Z53-1)/($X$7+$Z53)/$Y53)</f>
        <v>0</v>
      </c>
      <c r="E52" s="153" t="n">
        <f aca="false">INT((INT(E$6/$X53)*$X$7+$X$7+$Z53-1)/($X$7+$Z53)/$Y53)</f>
        <v>0</v>
      </c>
      <c r="F52" s="153" t="n">
        <f aca="false">INT((INT(F$6/$X53)*$X$7+$X$7+$Z53-1)/($X$7+$Z53)/$Y53)</f>
        <v>0</v>
      </c>
      <c r="G52" s="153" t="n">
        <f aca="false">INT((INT(G$6/$X53)*$X$7+$X$7+$Z53-1)/($X$7+$Z53)/$Y53)</f>
        <v>0</v>
      </c>
      <c r="H52" s="153" t="n">
        <f aca="false">INT((INT(H$6/$X53)*$X$7+$X$7+$Z53-1)/($X$7+$Z53)/$Y53)</f>
        <v>0</v>
      </c>
      <c r="I52" s="153" t="n">
        <f aca="false">INT((INT(I$6/$X53)*$X$7+$X$7+$Z53-1)/($X$7+$Z53)/$Y53)</f>
        <v>0</v>
      </c>
      <c r="J52" s="153" t="n">
        <f aca="false">INT((INT(J$6/$X53)*$X$7+$X$7+$Z53-1)/($X$7+$Z53)/$Y53)</f>
        <v>0</v>
      </c>
      <c r="K52" s="153" t="n">
        <f aca="false">INT((INT(K$6/$X53)*$X$7+$X$7+$Z53-1)/($X$7+$Z53)/$Y53)</f>
        <v>0</v>
      </c>
      <c r="L52" s="153" t="n">
        <f aca="false">INT((INT(L$6/$X53)*$X$7+$X$7+$Z53-1)/($X$7+$Z53)/$Y53)</f>
        <v>0</v>
      </c>
      <c r="M52" s="153" t="n">
        <f aca="false">INT((INT(M$6/$X53)*$X$7+$X$7+$Z53-1)/($X$7+$Z53)/$Y53)</f>
        <v>0</v>
      </c>
      <c r="N52" s="153" t="n">
        <f aca="false">INT((INT(N$6/$X53)*$X$7+$X$7+$Z53-1)/($X$7+$Z53)/$Y53)</f>
        <v>0</v>
      </c>
      <c r="O52" s="153" t="n">
        <f aca="false">INT((INT(O$6/$X53)*$X$7+$X$7+$Z53-1)/($X$7+$Z53)/$Y53)</f>
        <v>0</v>
      </c>
      <c r="P52" s="153" t="n">
        <f aca="false">INT((INT(P$6/$X53)*$X$7+$X$7+$Z53-1)/($X$7+$Z53)/$Y53)</f>
        <v>0</v>
      </c>
      <c r="Q52" s="153" t="n">
        <f aca="false">INT((INT(Q$6/$X53)*$X$7+$X$7+$Z53-1)/($X$7+$Z53)/$Y53)</f>
        <v>0</v>
      </c>
      <c r="R52" s="153" t="n">
        <f aca="false">INT((INT(R$6/$X53)*$X$7+$X$7+$Z53-1)/($X$7+$Z53)/$Y53)</f>
        <v>0</v>
      </c>
      <c r="S52" s="153" t="n">
        <f aca="false">INT((INT(S$6/$X53)*$X$7+$X$7+$Z53-1)/($X$7+$Z53)/$Y53)</f>
        <v>0</v>
      </c>
      <c r="T52" s="153" t="n">
        <f aca="false">INT((INT(T$6/$X53)*$X$7+$X$7+$Z53-1)/($X$7+$Z53)/$Y53)</f>
        <v>0</v>
      </c>
      <c r="U52" s="153" t="n">
        <f aca="false">INT((INT(U$6/$X53)*$X$7+$X$7+$Z53-1)/($X$7+$Z53)/$Y53)</f>
        <v>0</v>
      </c>
      <c r="V52" s="153" t="n">
        <f aca="false">INT((INT(V$6/$X53)*$X$7+$X$7+$Z53-1)/($X$7+$Z53)/$Y53)</f>
        <v>0</v>
      </c>
      <c r="W52" s="157"/>
      <c r="X52" s="157"/>
      <c r="Y52" s="157"/>
      <c r="Z52" s="157"/>
      <c r="AA52" s="157"/>
      <c r="AB52" s="157"/>
    </row>
    <row r="53" customFormat="false" ht="12.75" hidden="false" customHeight="false" outlineLevel="0" collapsed="false">
      <c r="A53" s="153" t="s">
        <v>1396</v>
      </c>
      <c r="B53" s="511" t="s">
        <v>1007</v>
      </c>
      <c r="C53" s="511" t="n">
        <f aca="false">IF($Y53=1,0,$X$7*(INT(C$6/$X53)-INT(B$6/$X53))-IF(SUM($B53:B53)&gt;0,C54,0))</f>
        <v>0</v>
      </c>
      <c r="D53" s="511" t="n">
        <f aca="false">IF($Y53=1,0,$X$7*(INT(D$6/$X53)-INT(C$6/$X53))-IF(SUM($B53:C53)&gt;0,D54,0))</f>
        <v>0</v>
      </c>
      <c r="E53" s="511" t="n">
        <f aca="false">IF($Y53=1,0,$X$7*(INT(E$6/$X53)-INT(D$6/$X53))-IF(SUM($B53:D53)&gt;0,E54,0))</f>
        <v>0</v>
      </c>
      <c r="F53" s="511" t="n">
        <f aca="false">IF($Y53=1,0,$X$7*(INT(F$6/$X53)-INT(E$6/$X53))-IF(SUM($B53:E53)&gt;0,F54,0))</f>
        <v>0</v>
      </c>
      <c r="G53" s="511" t="n">
        <f aca="false">IF($Y53=1,0,$X$7*(INT(G$6/$X53)-INT(F$6/$X53))-IF(SUM($B53:F53)&gt;0,G54,0))</f>
        <v>0</v>
      </c>
      <c r="H53" s="511" t="n">
        <f aca="false">IF($Y53=1,0,$X$7*(INT(H$6/$X53)-INT(G$6/$X53))-IF(SUM($B53:G53)&gt;0,H54,0))</f>
        <v>0</v>
      </c>
      <c r="I53" s="511" t="n">
        <f aca="false">IF($Y53=1,0,$X$7*(INT(I$6/$X53)-INT(H$6/$X53))-IF(SUM($B53:H53)&gt;0,I54,0))</f>
        <v>0</v>
      </c>
      <c r="J53" s="511" t="n">
        <f aca="false">IF($Y53=1,0,$X$7*(INT(J$6/$X53)-INT(I$6/$X53))-IF(SUM($B53:I53)&gt;0,J54,0))</f>
        <v>0</v>
      </c>
      <c r="K53" s="511" t="n">
        <f aca="false">IF($Y53=1,0,$X$7*(INT(K$6/$X53)-INT(J$6/$X53))-IF(SUM($B53:J53)&gt;0,K54,0))</f>
        <v>0</v>
      </c>
      <c r="L53" s="511" t="n">
        <f aca="false">IF($Y53=1,0,$X$7*(INT(L$6/$X53)-INT(K$6/$X53))-IF(SUM($B53:K53)&gt;0,L54,0))</f>
        <v>0</v>
      </c>
      <c r="M53" s="511" t="n">
        <f aca="false">IF($Y53=1,0,$X$7*(INT(M$6/$X53)-INT(L$6/$X53))-IF(SUM($B53:L53)&gt;0,M54,0))</f>
        <v>0</v>
      </c>
      <c r="N53" s="511" t="n">
        <f aca="false">IF($Y53=1,0,$X$7*(INT(N$6/$X53)-INT(M$6/$X53))-IF(SUM($B53:M53)&gt;0,N54,0))</f>
        <v>0</v>
      </c>
      <c r="O53" s="511" t="n">
        <f aca="false">IF($Y53=1,0,$X$7*(INT(O$6/$X53)-INT(N$6/$X53))-IF(SUM($B53:N53)&gt;0,O54,0))</f>
        <v>0</v>
      </c>
      <c r="P53" s="511" t="n">
        <f aca="false">IF($Y53=1,0,$X$7*(INT(P$6/$X53)-INT(O$6/$X53))-IF(SUM($B53:O53)&gt;0,P54,0))</f>
        <v>0</v>
      </c>
      <c r="Q53" s="511" t="n">
        <f aca="false">IF($Y53=1,0,$X$7*(INT(Q$6/$X53)-INT(P$6/$X53))-IF(SUM($B53:P53)&gt;0,Q54,0))</f>
        <v>0</v>
      </c>
      <c r="R53" s="511" t="n">
        <f aca="false">IF($Y53=1,0,$X$7*(INT(R$6/$X53)-INT(Q$6/$X53))-IF(SUM($B53:Q53)&gt;0,R54,0))</f>
        <v>0</v>
      </c>
      <c r="S53" s="511" t="n">
        <f aca="false">IF($Y53=1,0,$X$7*(INT(S$6/$X53)-INT(R$6/$X53))-IF(SUM($B53:R53)&gt;0,S54,0))</f>
        <v>0</v>
      </c>
      <c r="T53" s="511" t="n">
        <f aca="false">IF($Y53=1,0,$X$7*(INT(T$6/$X53)-INT(S$6/$X53))-IF(SUM($B53:S53)&gt;0,T54,0))</f>
        <v>0</v>
      </c>
      <c r="U53" s="511" t="n">
        <f aca="false">IF($Y53=1,0,$X$7*(INT(U$6/$X53)-INT(T$6/$X53))-IF(SUM($B53:T53)&gt;0,U54,0))</f>
        <v>0</v>
      </c>
      <c r="V53" s="511" t="n">
        <f aca="false">IF($Y53=1,0,$X$7*(INT(V$6/$X53)-INT(U$6/$X53))-IF(SUM($B53:U53)&gt;0,V54,0))</f>
        <v>0</v>
      </c>
      <c r="W53" s="800" t="str">
        <f aca="false">'GT schd cost(W501D5A)'!A23</f>
        <v>Row 1 Vanes </v>
      </c>
      <c r="X53" s="800" t="n">
        <f aca="false">IF($AD$6=1,'GTDB(W501D5A)'!B26,'GTDB(W501D5A)'!G26)</f>
        <v>24000</v>
      </c>
      <c r="Y53" s="800" t="n">
        <f aca="false">IF($AD$6=1,'GTDB(W501D5A)'!C26,'GTDB(W501D5A)'!H26)</f>
        <v>2</v>
      </c>
      <c r="Z53" s="801" t="n">
        <v>1</v>
      </c>
      <c r="AA53" s="805" t="n">
        <f aca="false">'Initial_Spares(W501D5A)'!$E$20</f>
        <v>0</v>
      </c>
      <c r="AB53" s="764" t="n">
        <f aca="false">'GT schd cost(W501D5A)'!X23+'GT schd cost(W501D5A)'!X49</f>
        <v>0</v>
      </c>
    </row>
    <row r="54" customFormat="false" ht="12.75" hidden="false" customHeight="false" outlineLevel="0" collapsed="false">
      <c r="A54" s="153" t="s">
        <v>1397</v>
      </c>
      <c r="B54" s="511" t="s">
        <v>1007</v>
      </c>
      <c r="C54" s="511" t="n">
        <f aca="false">IF(INT(C$6/$X53)*$X$7&gt;C52*($X$7+$Z53)*$Y53,C52*($X$7+$Z53)-SUM($B54:B54),INT(C$6/$X53)*$X$7-C52*($X$7+$Z53)*($Y53-1)-SUM($B54:B54))+IF($Y53&gt;1,IF(INT(C$6/$X53)&gt;0,$Z53-$AA53,0),-$AA53)</f>
        <v>0</v>
      </c>
      <c r="D54" s="511" t="n">
        <f aca="false">IF(INT(D$6/$X53)*$X$7&gt;D52*($X$7+$Z53)*$Y53,D52*($X$7+$Z53)-SUM($B54:C54),INT(D$6/$X53)*$X$7-D52*($X$7+$Z53)*($Y53-1)-SUM($B54:C54))+IF($Y53&gt;1,IF(INT(D$6/$X53)&gt;0,$Z53-$AA53,0),-$AA53)</f>
        <v>0</v>
      </c>
      <c r="E54" s="511" t="n">
        <f aca="false">IF(INT(E$6/$X53)*$X$7&gt;E52*($X$7+$Z53)*$Y53,E52*($X$7+$Z53)-SUM($B54:D54),INT(E$6/$X53)*$X$7-E52*($X$7+$Z53)*($Y53-1)-SUM($B54:D54))+IF($Y53&gt;1,IF(INT(E$6/$X53)&gt;0,$Z53-$AA53,0),-$AA53)</f>
        <v>0</v>
      </c>
      <c r="F54" s="511" t="n">
        <f aca="false">IF(INT(F$6/$X53)*$X$7&gt;F52*($X$7+$Z53)*$Y53,F52*($X$7+$Z53)-SUM($B54:E54),INT(F$6/$X53)*$X$7-F52*($X$7+$Z53)*($Y53-1)-SUM($B54:E54))+IF($Y53&gt;1,IF(INT(F$6/$X53)&gt;0,$Z53-$AA53,0),-$AA53)</f>
        <v>0</v>
      </c>
      <c r="G54" s="511" t="n">
        <f aca="false">IF(INT(G$6/$X53)*$X$7&gt;G52*($X$7+$Z53)*$Y53,G52*($X$7+$Z53)-SUM($B54:F54),INT(G$6/$X53)*$X$7-G52*($X$7+$Z53)*($Y53-1)-SUM($B54:F54))+IF($Y53&gt;1,IF(INT(G$6/$X53)&gt;0,$Z53-$AA53,0),-$AA53)</f>
        <v>0</v>
      </c>
      <c r="H54" s="511" t="n">
        <f aca="false">IF(INT(H$6/$X53)*$X$7&gt;H52*($X$7+$Z53)*$Y53,H52*($X$7+$Z53)-SUM($B54:G54),INT(H$6/$X53)*$X$7-H52*($X$7+$Z53)*($Y53-1)-SUM($B54:G54))+IF($Y53&gt;1,IF(INT(H$6/$X53)&gt;0,$Z53-$AA53,0),-$AA53)</f>
        <v>0</v>
      </c>
      <c r="I54" s="511" t="n">
        <f aca="false">IF(INT(I$6/$X53)*$X$7&gt;I52*($X$7+$Z53)*$Y53,I52*($X$7+$Z53)-SUM($B54:H54),INT(I$6/$X53)*$X$7-I52*($X$7+$Z53)*($Y53-1)-SUM($B54:H54))+IF($Y53&gt;1,IF(INT(I$6/$X53)&gt;0,$Z53-$AA53,0),-$AA53)</f>
        <v>0</v>
      </c>
      <c r="J54" s="511" t="n">
        <f aca="false">IF(INT(J$6/$X53)*$X$7&gt;J52*($X$7+$Z53)*$Y53,J52*($X$7+$Z53)-SUM($B54:I54),INT(J$6/$X53)*$X$7-J52*($X$7+$Z53)*($Y53-1)-SUM($B54:I54))+IF($Y53&gt;1,IF(INT(J$6/$X53)&gt;0,$Z53-$AA53,0),-$AA53)</f>
        <v>0</v>
      </c>
      <c r="K54" s="511" t="n">
        <f aca="false">IF(INT(K$6/$X53)*$X$7&gt;K52*($X$7+$Z53)*$Y53,K52*($X$7+$Z53)-SUM($B54:J54),INT(K$6/$X53)*$X$7-K52*($X$7+$Z53)*($Y53-1)-SUM($B54:J54))+IF($Y53&gt;1,IF(INT(K$6/$X53)&gt;0,$Z53-$AA53,0),-$AA53)</f>
        <v>0</v>
      </c>
      <c r="L54" s="511" t="n">
        <f aca="false">IF(INT(L$6/$X53)*$X$7&gt;L52*($X$7+$Z53)*$Y53,L52*($X$7+$Z53)-SUM($B54:K54),INT(L$6/$X53)*$X$7-L52*($X$7+$Z53)*($Y53-1)-SUM($B54:K54))+IF($Y53&gt;1,IF(INT(L$6/$X53)&gt;0,$Z53-$AA53,0),-$AA53)</f>
        <v>0</v>
      </c>
      <c r="M54" s="511" t="n">
        <f aca="false">IF(INT(M$6/$X53)*$X$7&gt;M52*($X$7+$Z53)*$Y53,M52*($X$7+$Z53)-SUM($B54:L54),INT(M$6/$X53)*$X$7-M52*($X$7+$Z53)*($Y53-1)-SUM($B54:L54))+IF($Y53&gt;1,IF(INT(M$6/$X53)&gt;0,$Z53-$AA53,0),-$AA53)</f>
        <v>0</v>
      </c>
      <c r="N54" s="511" t="n">
        <f aca="false">IF(INT(N$6/$X53)*$X$7&gt;N52*($X$7+$Z53)*$Y53,N52*($X$7+$Z53)-SUM($B54:M54),INT(N$6/$X53)*$X$7-N52*($X$7+$Z53)*($Y53-1)-SUM($B54:M54))+IF($Y53&gt;1,IF(INT(N$6/$X53)&gt;0,$Z53-$AA53,0),-$AA53)</f>
        <v>0</v>
      </c>
      <c r="O54" s="511" t="n">
        <f aca="false">IF(INT(O$6/$X53)*$X$7&gt;O52*($X$7+$Z53)*$Y53,O52*($X$7+$Z53)-SUM($B54:N54),INT(O$6/$X53)*$X$7-O52*($X$7+$Z53)*($Y53-1)-SUM($B54:N54))+IF($Y53&gt;1,IF(INT(O$6/$X53)&gt;0,$Z53-$AA53,0),-$AA53)</f>
        <v>0</v>
      </c>
      <c r="P54" s="511" t="n">
        <f aca="false">IF(INT(P$6/$X53)*$X$7&gt;P52*($X$7+$Z53)*$Y53,P52*($X$7+$Z53)-SUM($B54:O54),INT(P$6/$X53)*$X$7-P52*($X$7+$Z53)*($Y53-1)-SUM($B54:O54))+IF($Y53&gt;1,IF(INT(P$6/$X53)&gt;0,$Z53-$AA53,0),-$AA53)</f>
        <v>0</v>
      </c>
      <c r="Q54" s="511" t="n">
        <f aca="false">IF(INT(Q$6/$X53)*$X$7&gt;Q52*($X$7+$Z53)*$Y53,Q52*($X$7+$Z53)-SUM($B54:P54),INT(Q$6/$X53)*$X$7-Q52*($X$7+$Z53)*($Y53-1)-SUM($B54:P54))+IF($Y53&gt;1,IF(INT(Q$6/$X53)&gt;0,$Z53-$AA53,0),-$AA53)</f>
        <v>0</v>
      </c>
      <c r="R54" s="511" t="n">
        <f aca="false">IF(INT(R$6/$X53)*$X$7&gt;R52*($X$7+$Z53)*$Y53,R52*($X$7+$Z53)-SUM($B54:Q54),INT(R$6/$X53)*$X$7-R52*($X$7+$Z53)*($Y53-1)-SUM($B54:Q54))+IF($Y53&gt;1,IF(INT(R$6/$X53)&gt;0,$Z53-$AA53,0),-$AA53)</f>
        <v>0</v>
      </c>
      <c r="S54" s="511" t="n">
        <f aca="false">IF(INT(S$6/$X53)*$X$7&gt;S52*($X$7+$Z53)*$Y53,S52*($X$7+$Z53)-SUM($B54:R54),INT(S$6/$X53)*$X$7-S52*($X$7+$Z53)*($Y53-1)-SUM($B54:R54))+IF($Y53&gt;1,IF(INT(S$6/$X53)&gt;0,$Z53-$AA53,0),-$AA53)</f>
        <v>0</v>
      </c>
      <c r="T54" s="511" t="n">
        <f aca="false">IF(INT(T$6/$X53)*$X$7&gt;T52*($X$7+$Z53)*$Y53,T52*($X$7+$Z53)-SUM($B54:S54),INT(T$6/$X53)*$X$7-T52*($X$7+$Z53)*($Y53-1)-SUM($B54:S54))+IF($Y53&gt;1,IF(INT(T$6/$X53)&gt;0,$Z53-$AA53,0),-$AA53)</f>
        <v>0</v>
      </c>
      <c r="U54" s="511" t="n">
        <f aca="false">IF(INT(U$6/$X53)*$X$7&gt;U52*($X$7+$Z53)*$Y53,U52*($X$7+$Z53)-SUM($B54:T54),INT(U$6/$X53)*$X$7-U52*($X$7+$Z53)*($Y53-1)-SUM($B54:T54))+IF($Y53&gt;1,IF(INT(U$6/$X53)&gt;0,$Z53-$AA53,0),-$AA53)</f>
        <v>0</v>
      </c>
      <c r="V54" s="511" t="n">
        <f aca="false">IF(INT(V$6/$X53)*$X$7&gt;V52*($X$7+$Z53)*$Y53,V52*($X$7+$Z53)-SUM($B54:U54),INT(V$6/$X53)*$X$7-V52*($X$7+$Z53)*($Y53-1)-SUM($B54:U54))+IF($Y53&gt;1,IF(INT(V$6/$X53)&gt;0,$Z53-$AA53,0),-$AA53)</f>
        <v>0</v>
      </c>
      <c r="W54" s="803"/>
      <c r="AA54" s="157"/>
      <c r="AB54" s="157"/>
    </row>
    <row r="55" customFormat="false" ht="12.75" hidden="false" customHeight="false" outlineLevel="0" collapsed="false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790"/>
      <c r="X55" s="157"/>
      <c r="Y55" s="157"/>
      <c r="Z55" s="157"/>
      <c r="AA55" s="157"/>
      <c r="AB55" s="157"/>
    </row>
    <row r="56" customFormat="false" ht="12.75" hidden="true" customHeight="false" outlineLevel="0" collapsed="false">
      <c r="A56" s="153" t="s">
        <v>1395</v>
      </c>
      <c r="B56" s="511"/>
      <c r="C56" s="153" t="n">
        <f aca="false">INT((INT(C$6/$X57)*$X$7+$X$7+$Z57-1)/($X$7+$Z57)/$Y57)</f>
        <v>0</v>
      </c>
      <c r="D56" s="153" t="n">
        <f aca="false">INT((INT(D$6/$X57)*$X$7+$X$7+$Z57-1)/($X$7+$Z57)/$Y57)</f>
        <v>0</v>
      </c>
      <c r="E56" s="153" t="n">
        <f aca="false">INT((INT(E$6/$X57)*$X$7+$X$7+$Z57-1)/($X$7+$Z57)/$Y57)</f>
        <v>0</v>
      </c>
      <c r="F56" s="153" t="n">
        <f aca="false">INT((INT(F$6/$X57)*$X$7+$X$7+$Z57-1)/($X$7+$Z57)/$Y57)</f>
        <v>0</v>
      </c>
      <c r="G56" s="153" t="n">
        <f aca="false">INT((INT(G$6/$X57)*$X$7+$X$7+$Z57-1)/($X$7+$Z57)/$Y57)</f>
        <v>0</v>
      </c>
      <c r="H56" s="153" t="n">
        <f aca="false">INT((INT(H$6/$X57)*$X$7+$X$7+$Z57-1)/($X$7+$Z57)/$Y57)</f>
        <v>0</v>
      </c>
      <c r="I56" s="153" t="n">
        <f aca="false">INT((INT(I$6/$X57)*$X$7+$X$7+$Z57-1)/($X$7+$Z57)/$Y57)</f>
        <v>0</v>
      </c>
      <c r="J56" s="153" t="n">
        <f aca="false">INT((INT(J$6/$X57)*$X$7+$X$7+$Z57-1)/($X$7+$Z57)/$Y57)</f>
        <v>0</v>
      </c>
      <c r="K56" s="153" t="n">
        <f aca="false">INT((INT(K$6/$X57)*$X$7+$X$7+$Z57-1)/($X$7+$Z57)/$Y57)</f>
        <v>0</v>
      </c>
      <c r="L56" s="153" t="n">
        <f aca="false">INT((INT(L$6/$X57)*$X$7+$X$7+$Z57-1)/($X$7+$Z57)/$Y57)</f>
        <v>0</v>
      </c>
      <c r="M56" s="153" t="n">
        <f aca="false">INT((INT(M$6/$X57)*$X$7+$X$7+$Z57-1)/($X$7+$Z57)/$Y57)</f>
        <v>0</v>
      </c>
      <c r="N56" s="153" t="n">
        <f aca="false">INT((INT(N$6/$X57)*$X$7+$X$7+$Z57-1)/($X$7+$Z57)/$Y57)</f>
        <v>0</v>
      </c>
      <c r="O56" s="153" t="n">
        <f aca="false">INT((INT(O$6/$X57)*$X$7+$X$7+$Z57-1)/($X$7+$Z57)/$Y57)</f>
        <v>0</v>
      </c>
      <c r="P56" s="153" t="n">
        <f aca="false">INT((INT(P$6/$X57)*$X$7+$X$7+$Z57-1)/($X$7+$Z57)/$Y57)</f>
        <v>0</v>
      </c>
      <c r="Q56" s="153" t="n">
        <f aca="false">INT((INT(Q$6/$X57)*$X$7+$X$7+$Z57-1)/($X$7+$Z57)/$Y57)</f>
        <v>0</v>
      </c>
      <c r="R56" s="153" t="n">
        <f aca="false">INT((INT(R$6/$X57)*$X$7+$X$7+$Z57-1)/($X$7+$Z57)/$Y57)</f>
        <v>0</v>
      </c>
      <c r="S56" s="153" t="n">
        <f aca="false">INT((INT(S$6/$X57)*$X$7+$X$7+$Z57-1)/($X$7+$Z57)/$Y57)</f>
        <v>0</v>
      </c>
      <c r="T56" s="153" t="n">
        <f aca="false">INT((INT(T$6/$X57)*$X$7+$X$7+$Z57-1)/($X$7+$Z57)/$Y57)</f>
        <v>0</v>
      </c>
      <c r="U56" s="153" t="n">
        <f aca="false">INT((INT(U$6/$X57)*$X$7+$X$7+$Z57-1)/($X$7+$Z57)/$Y57)</f>
        <v>0</v>
      </c>
      <c r="V56" s="153" t="n">
        <f aca="false">INT((INT(V$6/$X57)*$X$7+$X$7+$Z57-1)/($X$7+$Z57)/$Y57)</f>
        <v>0</v>
      </c>
      <c r="W56" s="157"/>
      <c r="X56" s="157"/>
      <c r="Y56" s="157"/>
      <c r="Z56" s="157"/>
      <c r="AA56" s="157"/>
      <c r="AB56" s="157"/>
    </row>
    <row r="57" customFormat="false" ht="12.75" hidden="false" customHeight="false" outlineLevel="0" collapsed="false">
      <c r="A57" s="153" t="s">
        <v>1396</v>
      </c>
      <c r="B57" s="511" t="s">
        <v>1007</v>
      </c>
      <c r="C57" s="511" t="n">
        <f aca="false">IF($Y57=1,0,$X$7*(INT(C$6/$X57)-INT(B$6/$X57))-IF(SUM($B57:B57)&gt;0,C58,0))</f>
        <v>0</v>
      </c>
      <c r="D57" s="511" t="n">
        <f aca="false">IF($Y57=1,0,$X$7*(INT(D$6/$X57)-INT(C$6/$X57))-IF(SUM($B57:C57)&gt;0,D58,0))</f>
        <v>0</v>
      </c>
      <c r="E57" s="511" t="n">
        <f aca="false">IF($Y57=1,0,$X$7*(INT(E$6/$X57)-INT(D$6/$X57))-IF(SUM($B57:D57)&gt;0,E58,0))</f>
        <v>0</v>
      </c>
      <c r="F57" s="511" t="n">
        <f aca="false">IF($Y57=1,0,$X$7*(INT(F$6/$X57)-INT(E$6/$X57))-IF(SUM($B57:E57)&gt;0,F58,0))</f>
        <v>0</v>
      </c>
      <c r="G57" s="511" t="n">
        <f aca="false">IF($Y57=1,0,$X$7*(INT(G$6/$X57)-INT(F$6/$X57))-IF(SUM($B57:F57)&gt;0,G58,0))</f>
        <v>0</v>
      </c>
      <c r="H57" s="511" t="n">
        <f aca="false">IF($Y57=1,0,$X$7*(INT(H$6/$X57)-INT(G$6/$X57))-IF(SUM($B57:G57)&gt;0,H58,0))</f>
        <v>0</v>
      </c>
      <c r="I57" s="511" t="n">
        <f aca="false">IF($Y57=1,0,$X$7*(INT(I$6/$X57)-INT(H$6/$X57))-IF(SUM($B57:H57)&gt;0,I58,0))</f>
        <v>0</v>
      </c>
      <c r="J57" s="511" t="n">
        <f aca="false">IF($Y57=1,0,$X$7*(INT(J$6/$X57)-INT(I$6/$X57))-IF(SUM($B57:I57)&gt;0,J58,0))</f>
        <v>0</v>
      </c>
      <c r="K57" s="511" t="n">
        <f aca="false">IF($Y57=1,0,$X$7*(INT(K$6/$X57)-INT(J$6/$X57))-IF(SUM($B57:J57)&gt;0,K58,0))</f>
        <v>0</v>
      </c>
      <c r="L57" s="511" t="n">
        <f aca="false">IF($Y57=1,0,$X$7*(INT(L$6/$X57)-INT(K$6/$X57))-IF(SUM($B57:K57)&gt;0,L58,0))</f>
        <v>0</v>
      </c>
      <c r="M57" s="511" t="n">
        <f aca="false">IF($Y57=1,0,$X$7*(INT(M$6/$X57)-INT(L$6/$X57))-IF(SUM($B57:L57)&gt;0,M58,0))</f>
        <v>0</v>
      </c>
      <c r="N57" s="511" t="n">
        <f aca="false">IF($Y57=1,0,$X$7*(INT(N$6/$X57)-INT(M$6/$X57))-IF(SUM($B57:M57)&gt;0,N58,0))</f>
        <v>0</v>
      </c>
      <c r="O57" s="511" t="n">
        <f aca="false">IF($Y57=1,0,$X$7*(INT(O$6/$X57)-INT(N$6/$X57))-IF(SUM($B57:N57)&gt;0,O58,0))</f>
        <v>0</v>
      </c>
      <c r="P57" s="511" t="n">
        <f aca="false">IF($Y57=1,0,$X$7*(INT(P$6/$X57)-INT(O$6/$X57))-IF(SUM($B57:O57)&gt;0,P58,0))</f>
        <v>0</v>
      </c>
      <c r="Q57" s="511" t="n">
        <f aca="false">IF($Y57=1,0,$X$7*(INT(Q$6/$X57)-INT(P$6/$X57))-IF(SUM($B57:P57)&gt;0,Q58,0))</f>
        <v>0</v>
      </c>
      <c r="R57" s="511" t="n">
        <f aca="false">IF($Y57=1,0,$X$7*(INT(R$6/$X57)-INT(Q$6/$X57))-IF(SUM($B57:Q57)&gt;0,R58,0))</f>
        <v>0</v>
      </c>
      <c r="S57" s="511" t="n">
        <f aca="false">IF($Y57=1,0,$X$7*(INT(S$6/$X57)-INT(R$6/$X57))-IF(SUM($B57:R57)&gt;0,S58,0))</f>
        <v>0</v>
      </c>
      <c r="T57" s="511" t="n">
        <f aca="false">IF($Y57=1,0,$X$7*(INT(T$6/$X57)-INT(S$6/$X57))-IF(SUM($B57:S57)&gt;0,T58,0))</f>
        <v>0</v>
      </c>
      <c r="U57" s="511" t="n">
        <f aca="false">IF($Y57=1,0,$X$7*(INT(U$6/$X57)-INT(T$6/$X57))-IF(SUM($B57:T57)&gt;0,U58,0))</f>
        <v>0</v>
      </c>
      <c r="V57" s="511" t="n">
        <f aca="false">IF($Y57=1,0,$X$7*(INT(V$6/$X57)-INT(U$6/$X57))-IF(SUM($B57:U57)&gt;0,V58,0))</f>
        <v>0</v>
      </c>
      <c r="W57" s="800" t="str">
        <f aca="false">'GT schd cost(W501D5A)'!A24</f>
        <v>Row 2 Vanes</v>
      </c>
      <c r="X57" s="800" t="n">
        <f aca="false">IF($AD$6=1,'GTDB(W501D5A)'!B27,'GTDB(W501D5A)'!G27)</f>
        <v>24000</v>
      </c>
      <c r="Y57" s="800" t="n">
        <f aca="false">IF($AD$6=1,'GTDB(W501D5A)'!C27,'GTDB(W501D5A)'!H27)</f>
        <v>3</v>
      </c>
      <c r="Z57" s="801" t="n">
        <v>1</v>
      </c>
      <c r="AA57" s="805" t="n">
        <f aca="false">'Initial_Spares(W501D5A)'!$E$21</f>
        <v>0</v>
      </c>
      <c r="AB57" s="764" t="n">
        <f aca="false">'GT schd cost(W501D5A)'!X24+'GT schd cost(W501D5A)'!X50</f>
        <v>0</v>
      </c>
    </row>
    <row r="58" customFormat="false" ht="12.75" hidden="false" customHeight="false" outlineLevel="0" collapsed="false">
      <c r="A58" s="153" t="s">
        <v>1397</v>
      </c>
      <c r="B58" s="511" t="s">
        <v>1007</v>
      </c>
      <c r="C58" s="511" t="n">
        <f aca="false">IF(INT(C$6/$X57)*$X$7&gt;C56*($X$7+$Z57)*$Y57,C56*($X$7+$Z57)-SUM($B58:B58),INT(C$6/$X57)*$X$7-C56*($X$7+$Z57)*($Y57-1)-SUM($B58:B58))+IF($Y57&gt;1,IF(INT(C$6/$X57)&gt;0,$Z57-$AA57,0),-$AA57)</f>
        <v>0</v>
      </c>
      <c r="D58" s="511" t="n">
        <f aca="false">IF(INT(D$6/$X57)*$X$7&gt;D56*($X$7+$Z57)*$Y57,D56*($X$7+$Z57)-SUM($B58:C58),INT(D$6/$X57)*$X$7-D56*($X$7+$Z57)*($Y57-1)-SUM($B58:C58))+IF($Y57&gt;1,IF(INT(D$6/$X57)&gt;0,$Z57-$AA57,0),-$AA57)</f>
        <v>0</v>
      </c>
      <c r="E58" s="511" t="n">
        <f aca="false">IF(INT(E$6/$X57)*$X$7&gt;E56*($X$7+$Z57)*$Y57,E56*($X$7+$Z57)-SUM($B58:D58),INT(E$6/$X57)*$X$7-E56*($X$7+$Z57)*($Y57-1)-SUM($B58:D58))+IF($Y57&gt;1,IF(INT(E$6/$X57)&gt;0,$Z57-$AA57,0),-$AA57)</f>
        <v>0</v>
      </c>
      <c r="F58" s="511" t="n">
        <f aca="false">IF(INT(F$6/$X57)*$X$7&gt;F56*($X$7+$Z57)*$Y57,F56*($X$7+$Z57)-SUM($B58:E58),INT(F$6/$X57)*$X$7-F56*($X$7+$Z57)*($Y57-1)-SUM($B58:E58))+IF($Y57&gt;1,IF(INT(F$6/$X57)&gt;0,$Z57-$AA57,0),-$AA57)</f>
        <v>0</v>
      </c>
      <c r="G58" s="511" t="n">
        <f aca="false">IF(INT(G$6/$X57)*$X$7&gt;G56*($X$7+$Z57)*$Y57,G56*($X$7+$Z57)-SUM($B58:F58),INT(G$6/$X57)*$X$7-G56*($X$7+$Z57)*($Y57-1)-SUM($B58:F58))+IF($Y57&gt;1,IF(INT(G$6/$X57)&gt;0,$Z57-$AA57,0),-$AA57)</f>
        <v>0</v>
      </c>
      <c r="H58" s="511" t="n">
        <f aca="false">IF(INT(H$6/$X57)*$X$7&gt;H56*($X$7+$Z57)*$Y57,H56*($X$7+$Z57)-SUM($B58:G58),INT(H$6/$X57)*$X$7-H56*($X$7+$Z57)*($Y57-1)-SUM($B58:G58))+IF($Y57&gt;1,IF(INT(H$6/$X57)&gt;0,$Z57-$AA57,0),-$AA57)</f>
        <v>0</v>
      </c>
      <c r="I58" s="511" t="n">
        <f aca="false">IF(INT(I$6/$X57)*$X$7&gt;I56*($X$7+$Z57)*$Y57,I56*($X$7+$Z57)-SUM($B58:H58),INT(I$6/$X57)*$X$7-I56*($X$7+$Z57)*($Y57-1)-SUM($B58:H58))+IF($Y57&gt;1,IF(INT(I$6/$X57)&gt;0,$Z57-$AA57,0),-$AA57)</f>
        <v>0</v>
      </c>
      <c r="J58" s="511" t="n">
        <f aca="false">IF(INT(J$6/$X57)*$X$7&gt;J56*($X$7+$Z57)*$Y57,J56*($X$7+$Z57)-SUM($B58:I58),INT(J$6/$X57)*$X$7-J56*($X$7+$Z57)*($Y57-1)-SUM($B58:I58))+IF($Y57&gt;1,IF(INT(J$6/$X57)&gt;0,$Z57-$AA57,0),-$AA57)</f>
        <v>0</v>
      </c>
      <c r="K58" s="511" t="n">
        <f aca="false">IF(INT(K$6/$X57)*$X$7&gt;K56*($X$7+$Z57)*$Y57,K56*($X$7+$Z57)-SUM($B58:J58),INT(K$6/$X57)*$X$7-K56*($X$7+$Z57)*($Y57-1)-SUM($B58:J58))+IF($Y57&gt;1,IF(INT(K$6/$X57)&gt;0,$Z57-$AA57,0),-$AA57)</f>
        <v>0</v>
      </c>
      <c r="L58" s="511" t="n">
        <f aca="false">IF(INT(L$6/$X57)*$X$7&gt;L56*($X$7+$Z57)*$Y57,L56*($X$7+$Z57)-SUM($B58:K58),INT(L$6/$X57)*$X$7-L56*($X$7+$Z57)*($Y57-1)-SUM($B58:K58))+IF($Y57&gt;1,IF(INT(L$6/$X57)&gt;0,$Z57-$AA57,0),-$AA57)</f>
        <v>0</v>
      </c>
      <c r="M58" s="511" t="n">
        <f aca="false">IF(INT(M$6/$X57)*$X$7&gt;M56*($X$7+$Z57)*$Y57,M56*($X$7+$Z57)-SUM($B58:L58),INT(M$6/$X57)*$X$7-M56*($X$7+$Z57)*($Y57-1)-SUM($B58:L58))+IF($Y57&gt;1,IF(INT(M$6/$X57)&gt;0,$Z57-$AA57,0),-$AA57)</f>
        <v>0</v>
      </c>
      <c r="N58" s="511" t="n">
        <f aca="false">IF(INT(N$6/$X57)*$X$7&gt;N56*($X$7+$Z57)*$Y57,N56*($X$7+$Z57)-SUM($B58:M58),INT(N$6/$X57)*$X$7-N56*($X$7+$Z57)*($Y57-1)-SUM($B58:M58))+IF($Y57&gt;1,IF(INT(N$6/$X57)&gt;0,$Z57-$AA57,0),-$AA57)</f>
        <v>0</v>
      </c>
      <c r="O58" s="511" t="n">
        <f aca="false">IF(INT(O$6/$X57)*$X$7&gt;O56*($X$7+$Z57)*$Y57,O56*($X$7+$Z57)-SUM($B58:N58),INT(O$6/$X57)*$X$7-O56*($X$7+$Z57)*($Y57-1)-SUM($B58:N58))+IF($Y57&gt;1,IF(INT(O$6/$X57)&gt;0,$Z57-$AA57,0),-$AA57)</f>
        <v>0</v>
      </c>
      <c r="P58" s="511" t="n">
        <f aca="false">IF(INT(P$6/$X57)*$X$7&gt;P56*($X$7+$Z57)*$Y57,P56*($X$7+$Z57)-SUM($B58:O58),INT(P$6/$X57)*$X$7-P56*($X$7+$Z57)*($Y57-1)-SUM($B58:O58))+IF($Y57&gt;1,IF(INT(P$6/$X57)&gt;0,$Z57-$AA57,0),-$AA57)</f>
        <v>0</v>
      </c>
      <c r="Q58" s="511" t="n">
        <f aca="false">IF(INT(Q$6/$X57)*$X$7&gt;Q56*($X$7+$Z57)*$Y57,Q56*($X$7+$Z57)-SUM($B58:P58),INT(Q$6/$X57)*$X$7-Q56*($X$7+$Z57)*($Y57-1)-SUM($B58:P58))+IF($Y57&gt;1,IF(INT(Q$6/$X57)&gt;0,$Z57-$AA57,0),-$AA57)</f>
        <v>0</v>
      </c>
      <c r="R58" s="511" t="n">
        <f aca="false">IF(INT(R$6/$X57)*$X$7&gt;R56*($X$7+$Z57)*$Y57,R56*($X$7+$Z57)-SUM($B58:Q58),INT(R$6/$X57)*$X$7-R56*($X$7+$Z57)*($Y57-1)-SUM($B58:Q58))+IF($Y57&gt;1,IF(INT(R$6/$X57)&gt;0,$Z57-$AA57,0),-$AA57)</f>
        <v>0</v>
      </c>
      <c r="S58" s="511" t="n">
        <f aca="false">IF(INT(S$6/$X57)*$X$7&gt;S56*($X$7+$Z57)*$Y57,S56*($X$7+$Z57)-SUM($B58:R58),INT(S$6/$X57)*$X$7-S56*($X$7+$Z57)*($Y57-1)-SUM($B58:R58))+IF($Y57&gt;1,IF(INT(S$6/$X57)&gt;0,$Z57-$AA57,0),-$AA57)</f>
        <v>0</v>
      </c>
      <c r="T58" s="511" t="n">
        <f aca="false">IF(INT(T$6/$X57)*$X$7&gt;T56*($X$7+$Z57)*$Y57,T56*($X$7+$Z57)-SUM($B58:S58),INT(T$6/$X57)*$X$7-T56*($X$7+$Z57)*($Y57-1)-SUM($B58:S58))+IF($Y57&gt;1,IF(INT(T$6/$X57)&gt;0,$Z57-$AA57,0),-$AA57)</f>
        <v>0</v>
      </c>
      <c r="U58" s="511" t="n">
        <f aca="false">IF(INT(U$6/$X57)*$X$7&gt;U56*($X$7+$Z57)*$Y57,U56*($X$7+$Z57)-SUM($B58:T58),INT(U$6/$X57)*$X$7-U56*($X$7+$Z57)*($Y57-1)-SUM($B58:T58))+IF($Y57&gt;1,IF(INT(U$6/$X57)&gt;0,$Z57-$AA57,0),-$AA57)</f>
        <v>0</v>
      </c>
      <c r="V58" s="511" t="n">
        <f aca="false">IF(INT(V$6/$X57)*$X$7&gt;V56*($X$7+$Z57)*$Y57,V56*($X$7+$Z57)-SUM($B58:U58),INT(V$6/$X57)*$X$7-V56*($X$7+$Z57)*($Y57-1)-SUM($B58:U58))+IF($Y57&gt;1,IF(INT(V$6/$X57)&gt;0,$Z57-$AA57,0),-$AA57)</f>
        <v>0</v>
      </c>
      <c r="W58" s="803"/>
      <c r="AA58" s="157"/>
      <c r="AB58" s="157"/>
    </row>
    <row r="59" customFormat="false" ht="12.75" hidden="false" customHeight="false" outlineLevel="0" collapsed="false">
      <c r="A59" s="157"/>
      <c r="B59" s="518"/>
      <c r="C59" s="518"/>
      <c r="D59" s="518"/>
      <c r="E59" s="518"/>
      <c r="F59" s="518"/>
      <c r="G59" s="518"/>
      <c r="H59" s="518"/>
      <c r="I59" s="518"/>
      <c r="J59" s="518"/>
      <c r="K59" s="518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785"/>
      <c r="X59" s="157"/>
      <c r="Y59" s="157"/>
      <c r="Z59" s="157"/>
      <c r="AA59" s="157"/>
      <c r="AB59" s="157"/>
    </row>
    <row r="60" customFormat="false" ht="12.75" hidden="true" customHeight="false" outlineLevel="0" collapsed="false">
      <c r="A60" s="153" t="s">
        <v>1395</v>
      </c>
      <c r="B60" s="511"/>
      <c r="C60" s="153" t="n">
        <f aca="false">INT((INT(C$6/$X61)*$X$7+$X$7+$Z61-1)/($X$7+$Z61)/$Y61)</f>
        <v>0</v>
      </c>
      <c r="D60" s="153" t="n">
        <f aca="false">INT((INT(D$6/$X61)*$X$7+$X$7+$Z61-1)/($X$7+$Z61)/$Y61)</f>
        <v>0</v>
      </c>
      <c r="E60" s="153" t="n">
        <f aca="false">INT((INT(E$6/$X61)*$X$7+$X$7+$Z61-1)/($X$7+$Z61)/$Y61)</f>
        <v>0</v>
      </c>
      <c r="F60" s="153" t="n">
        <f aca="false">INT((INT(F$6/$X61)*$X$7+$X$7+$Z61-1)/($X$7+$Z61)/$Y61)</f>
        <v>0</v>
      </c>
      <c r="G60" s="153" t="n">
        <f aca="false">INT((INT(G$6/$X61)*$X$7+$X$7+$Z61-1)/($X$7+$Z61)/$Y61)</f>
        <v>0</v>
      </c>
      <c r="H60" s="153" t="n">
        <f aca="false">INT((INT(H$6/$X61)*$X$7+$X$7+$Z61-1)/($X$7+$Z61)/$Y61)</f>
        <v>0</v>
      </c>
      <c r="I60" s="153" t="n">
        <f aca="false">INT((INT(I$6/$X61)*$X$7+$X$7+$Z61-1)/($X$7+$Z61)/$Y61)</f>
        <v>0</v>
      </c>
      <c r="J60" s="153" t="n">
        <f aca="false">INT((INT(J$6/$X61)*$X$7+$X$7+$Z61-1)/($X$7+$Z61)/$Y61)</f>
        <v>0</v>
      </c>
      <c r="K60" s="153" t="n">
        <f aca="false">INT((INT(K$6/$X61)*$X$7+$X$7+$Z61-1)/($X$7+$Z61)/$Y61)</f>
        <v>0</v>
      </c>
      <c r="L60" s="153" t="n">
        <f aca="false">INT((INT(L$6/$X61)*$X$7+$X$7+$Z61-1)/($X$7+$Z61)/$Y61)</f>
        <v>0</v>
      </c>
      <c r="M60" s="153" t="n">
        <f aca="false">INT((INT(M$6/$X61)*$X$7+$X$7+$Z61-1)/($X$7+$Z61)/$Y61)</f>
        <v>0</v>
      </c>
      <c r="N60" s="153" t="n">
        <f aca="false">INT((INT(N$6/$X61)*$X$7+$X$7+$Z61-1)/($X$7+$Z61)/$Y61)</f>
        <v>0</v>
      </c>
      <c r="O60" s="153" t="n">
        <f aca="false">INT((INT(O$6/$X61)*$X$7+$X$7+$Z61-1)/($X$7+$Z61)/$Y61)</f>
        <v>0</v>
      </c>
      <c r="P60" s="153" t="n">
        <f aca="false">INT((INT(P$6/$X61)*$X$7+$X$7+$Z61-1)/($X$7+$Z61)/$Y61)</f>
        <v>0</v>
      </c>
      <c r="Q60" s="153" t="n">
        <f aca="false">INT((INT(Q$6/$X61)*$X$7+$X$7+$Z61-1)/($X$7+$Z61)/$Y61)</f>
        <v>0</v>
      </c>
      <c r="R60" s="153" t="n">
        <f aca="false">INT((INT(R$6/$X61)*$X$7+$X$7+$Z61-1)/($X$7+$Z61)/$Y61)</f>
        <v>0</v>
      </c>
      <c r="S60" s="153" t="n">
        <f aca="false">INT((INT(S$6/$X61)*$X$7+$X$7+$Z61-1)/($X$7+$Z61)/$Y61)</f>
        <v>0</v>
      </c>
      <c r="T60" s="153" t="n">
        <f aca="false">INT((INT(T$6/$X61)*$X$7+$X$7+$Z61-1)/($X$7+$Z61)/$Y61)</f>
        <v>0</v>
      </c>
      <c r="U60" s="153" t="n">
        <f aca="false">INT((INT(U$6/$X61)*$X$7+$X$7+$Z61-1)/($X$7+$Z61)/$Y61)</f>
        <v>0</v>
      </c>
      <c r="V60" s="153" t="n">
        <f aca="false">INT((INT(V$6/$X61)*$X$7+$X$7+$Z61-1)/($X$7+$Z61)/$Y61)</f>
        <v>0</v>
      </c>
      <c r="W60" s="157"/>
      <c r="X60" s="157"/>
      <c r="Y60" s="157"/>
      <c r="Z60" s="157"/>
      <c r="AA60" s="157"/>
      <c r="AB60" s="157"/>
    </row>
    <row r="61" customFormat="false" ht="12.75" hidden="false" customHeight="false" outlineLevel="0" collapsed="false">
      <c r="A61" s="153" t="s">
        <v>1396</v>
      </c>
      <c r="B61" s="511" t="s">
        <v>1007</v>
      </c>
      <c r="C61" s="511" t="n">
        <f aca="false">IF($Y61=1,0,$X$7*(INT(C$6/$X61)-INT(B$6/$X61))-IF(SUM($B61:B61)&gt;0,C62,0))</f>
        <v>0</v>
      </c>
      <c r="D61" s="511" t="n">
        <f aca="false">IF($Y61=1,0,$X$7*(INT(D$6/$X61)-INT(C$6/$X61))-IF(SUM($B61:C61)&gt;0,D62,0))</f>
        <v>0</v>
      </c>
      <c r="E61" s="511" t="n">
        <f aca="false">IF($Y61=1,0,$X$7*(INT(E$6/$X61)-INT(D$6/$X61))-IF(SUM($B61:D61)&gt;0,E62,0))</f>
        <v>0</v>
      </c>
      <c r="F61" s="511" t="n">
        <f aca="false">IF($Y61=1,0,$X$7*(INT(F$6/$X61)-INT(E$6/$X61))-IF(SUM($B61:E61)&gt;0,F62,0))</f>
        <v>0</v>
      </c>
      <c r="G61" s="511" t="n">
        <f aca="false">IF($Y61=1,0,$X$7*(INT(G$6/$X61)-INT(F$6/$X61))-IF(SUM($B61:F61)&gt;0,G62,0))</f>
        <v>0</v>
      </c>
      <c r="H61" s="511" t="n">
        <f aca="false">IF($Y61=1,0,$X$7*(INT(H$6/$X61)-INT(G$6/$X61))-IF(SUM($B61:G61)&gt;0,H62,0))</f>
        <v>0</v>
      </c>
      <c r="I61" s="511" t="n">
        <f aca="false">IF($Y61=1,0,$X$7*(INT(I$6/$X61)-INT(H$6/$X61))-IF(SUM($B61:H61)&gt;0,I62,0))</f>
        <v>0</v>
      </c>
      <c r="J61" s="511" t="n">
        <f aca="false">IF($Y61=1,0,$X$7*(INT(J$6/$X61)-INT(I$6/$X61))-IF(SUM($B61:I61)&gt;0,J62,0))</f>
        <v>0</v>
      </c>
      <c r="K61" s="511" t="n">
        <f aca="false">IF($Y61=1,0,$X$7*(INT(K$6/$X61)-INT(J$6/$X61))-IF(SUM($B61:J61)&gt;0,K62,0))</f>
        <v>0</v>
      </c>
      <c r="L61" s="511" t="n">
        <f aca="false">IF($Y61=1,0,$X$7*(INT(L$6/$X61)-INT(K$6/$X61))-IF(SUM($B61:K61)&gt;0,L62,0))</f>
        <v>0</v>
      </c>
      <c r="M61" s="511" t="n">
        <f aca="false">IF($Y61=1,0,$X$7*(INT(M$6/$X61)-INT(L$6/$X61))-IF(SUM($B61:L61)&gt;0,M62,0))</f>
        <v>0</v>
      </c>
      <c r="N61" s="511" t="n">
        <f aca="false">IF($Y61=1,0,$X$7*(INT(N$6/$X61)-INT(M$6/$X61))-IF(SUM($B61:M61)&gt;0,N62,0))</f>
        <v>0</v>
      </c>
      <c r="O61" s="511" t="n">
        <f aca="false">IF($Y61=1,0,$X$7*(INT(O$6/$X61)-INT(N$6/$X61))-IF(SUM($B61:N61)&gt;0,O62,0))</f>
        <v>0</v>
      </c>
      <c r="P61" s="511" t="n">
        <f aca="false">IF($Y61=1,0,$X$7*(INT(P$6/$X61)-INT(O$6/$X61))-IF(SUM($B61:O61)&gt;0,P62,0))</f>
        <v>0</v>
      </c>
      <c r="Q61" s="511" t="n">
        <f aca="false">IF($Y61=1,0,$X$7*(INT(Q$6/$X61)-INT(P$6/$X61))-IF(SUM($B61:P61)&gt;0,Q62,0))</f>
        <v>0</v>
      </c>
      <c r="R61" s="511" t="n">
        <f aca="false">IF($Y61=1,0,$X$7*(INT(R$6/$X61)-INT(Q$6/$X61))-IF(SUM($B61:Q61)&gt;0,R62,0))</f>
        <v>0</v>
      </c>
      <c r="S61" s="511" t="n">
        <f aca="false">IF($Y61=1,0,$X$7*(INT(S$6/$X61)-INT(R$6/$X61))-IF(SUM($B61:R61)&gt;0,S62,0))</f>
        <v>0</v>
      </c>
      <c r="T61" s="511" t="n">
        <f aca="false">IF($Y61=1,0,$X$7*(INT(T$6/$X61)-INT(S$6/$X61))-IF(SUM($B61:S61)&gt;0,T62,0))</f>
        <v>0</v>
      </c>
      <c r="U61" s="511" t="n">
        <f aca="false">IF($Y61=1,0,$X$7*(INT(U$6/$X61)-INT(T$6/$X61))-IF(SUM($B61:T61)&gt;0,U62,0))</f>
        <v>0</v>
      </c>
      <c r="V61" s="511" t="n">
        <f aca="false">IF($Y61=1,0,$X$7*(INT(V$6/$X61)-INT(U$6/$X61))-IF(SUM($B61:U61)&gt;0,V62,0))</f>
        <v>0</v>
      </c>
      <c r="W61" s="800" t="str">
        <f aca="false">'GT schd cost(W501D5A)'!A25</f>
        <v>Row 3 Vanes</v>
      </c>
      <c r="X61" s="800" t="n">
        <f aca="false">IF($AD$6=1,'GTDB(W501D5A)'!B28,'GTDB(W501D5A)'!G28)</f>
        <v>24000</v>
      </c>
      <c r="Y61" s="800" t="n">
        <f aca="false">IF($AD$6=1,'GTDB(W501D5A)'!C28,'GTDB(W501D5A)'!H28)</f>
        <v>4</v>
      </c>
      <c r="Z61" s="801" t="n">
        <v>1</v>
      </c>
      <c r="AA61" s="805" t="n">
        <f aca="false">'Initial_Spares(W501D5A)'!$E$22</f>
        <v>0</v>
      </c>
      <c r="AB61" s="764" t="n">
        <f aca="false">'GT schd cost(W501D5A)'!X25+'GT schd cost(W501D5A)'!X51</f>
        <v>0</v>
      </c>
    </row>
    <row r="62" customFormat="false" ht="12.75" hidden="false" customHeight="false" outlineLevel="0" collapsed="false">
      <c r="A62" s="153" t="s">
        <v>1397</v>
      </c>
      <c r="B62" s="511" t="s">
        <v>1007</v>
      </c>
      <c r="C62" s="511" t="n">
        <f aca="false">IF(INT(C$6/$X61)*$X$7&gt;C60*($X$7+$Z61)*$Y61,C60*($X$7+$Z61)-SUM($B62:B62),INT(C$6/$X61)*$X$7-C60*($X$7+$Z61)*($Y61-1)-SUM($B62:B62))+IF($Y61&gt;1,IF(INT(C$6/$X61)&gt;0,$Z61-$AA61,0),-$AA61)</f>
        <v>0</v>
      </c>
      <c r="D62" s="511" t="n">
        <f aca="false">IF(INT(D$6/$X61)*$X$7&gt;D60*($X$7+$Z61)*$Y61,D60*($X$7+$Z61)-SUM($B62:C62),INT(D$6/$X61)*$X$7-D60*($X$7+$Z61)*($Y61-1)-SUM($B62:C62))+IF($Y61&gt;1,IF(INT(D$6/$X61)&gt;0,$Z61-$AA61,0),-$AA61)</f>
        <v>0</v>
      </c>
      <c r="E62" s="511" t="n">
        <f aca="false">IF(INT(E$6/$X61)*$X$7&gt;E60*($X$7+$Z61)*$Y61,E60*($X$7+$Z61)-SUM($B62:D62),INT(E$6/$X61)*$X$7-E60*($X$7+$Z61)*($Y61-1)-SUM($B62:D62))+IF($Y61&gt;1,IF(INT(E$6/$X61)&gt;0,$Z61-$AA61,0),-$AA61)</f>
        <v>0</v>
      </c>
      <c r="F62" s="511" t="n">
        <f aca="false">IF(INT(F$6/$X61)*$X$7&gt;F60*($X$7+$Z61)*$Y61,F60*($X$7+$Z61)-SUM($B62:E62),INT(F$6/$X61)*$X$7-F60*($X$7+$Z61)*($Y61-1)-SUM($B62:E62))+IF($Y61&gt;1,IF(INT(F$6/$X61)&gt;0,$Z61-$AA61,0),-$AA61)</f>
        <v>0</v>
      </c>
      <c r="G62" s="511" t="n">
        <f aca="false">IF(INT(G$6/$X61)*$X$7&gt;G60*($X$7+$Z61)*$Y61,G60*($X$7+$Z61)-SUM($B62:F62),INT(G$6/$X61)*$X$7-G60*($X$7+$Z61)*($Y61-1)-SUM($B62:F62))+IF($Y61&gt;1,IF(INT(G$6/$X61)&gt;0,$Z61-$AA61,0),-$AA61)</f>
        <v>0</v>
      </c>
      <c r="H62" s="511" t="n">
        <f aca="false">IF(INT(H$6/$X61)*$X$7&gt;H60*($X$7+$Z61)*$Y61,H60*($X$7+$Z61)-SUM($B62:G62),INT(H$6/$X61)*$X$7-H60*($X$7+$Z61)*($Y61-1)-SUM($B62:G62))+IF($Y61&gt;1,IF(INT(H$6/$X61)&gt;0,$Z61-$AA61,0),-$AA61)</f>
        <v>0</v>
      </c>
      <c r="I62" s="511" t="n">
        <f aca="false">IF(INT(I$6/$X61)*$X$7&gt;I60*($X$7+$Z61)*$Y61,I60*($X$7+$Z61)-SUM($B62:H62),INT(I$6/$X61)*$X$7-I60*($X$7+$Z61)*($Y61-1)-SUM($B62:H62))+IF($Y61&gt;1,IF(INT(I$6/$X61)&gt;0,$Z61-$AA61,0),-$AA61)</f>
        <v>0</v>
      </c>
      <c r="J62" s="511" t="n">
        <f aca="false">IF(INT(J$6/$X61)*$X$7&gt;J60*($X$7+$Z61)*$Y61,J60*($X$7+$Z61)-SUM($B62:I62),INT(J$6/$X61)*$X$7-J60*($X$7+$Z61)*($Y61-1)-SUM($B62:I62))+IF($Y61&gt;1,IF(INT(J$6/$X61)&gt;0,$Z61-$AA61,0),-$AA61)</f>
        <v>0</v>
      </c>
      <c r="K62" s="511" t="n">
        <f aca="false">IF(INT(K$6/$X61)*$X$7&gt;K60*($X$7+$Z61)*$Y61,K60*($X$7+$Z61)-SUM($B62:J62),INT(K$6/$X61)*$X$7-K60*($X$7+$Z61)*($Y61-1)-SUM($B62:J62))+IF($Y61&gt;1,IF(INT(K$6/$X61)&gt;0,$Z61-$AA61,0),-$AA61)</f>
        <v>0</v>
      </c>
      <c r="L62" s="511" t="n">
        <f aca="false">IF(INT(L$6/$X61)*$X$7&gt;L60*($X$7+$Z61)*$Y61,L60*($X$7+$Z61)-SUM($B62:K62),INT(L$6/$X61)*$X$7-L60*($X$7+$Z61)*($Y61-1)-SUM($B62:K62))+IF($Y61&gt;1,IF(INT(L$6/$X61)&gt;0,$Z61-$AA61,0),-$AA61)</f>
        <v>0</v>
      </c>
      <c r="M62" s="511" t="n">
        <f aca="false">IF(INT(M$6/$X61)*$X$7&gt;M60*($X$7+$Z61)*$Y61,M60*($X$7+$Z61)-SUM($B62:L62),INT(M$6/$X61)*$X$7-M60*($X$7+$Z61)*($Y61-1)-SUM($B62:L62))+IF($Y61&gt;1,IF(INT(M$6/$X61)&gt;0,$Z61-$AA61,0),-$AA61)</f>
        <v>0</v>
      </c>
      <c r="N62" s="511" t="n">
        <f aca="false">IF(INT(N$6/$X61)*$X$7&gt;N60*($X$7+$Z61)*$Y61,N60*($X$7+$Z61)-SUM($B62:M62),INT(N$6/$X61)*$X$7-N60*($X$7+$Z61)*($Y61-1)-SUM($B62:M62))+IF($Y61&gt;1,IF(INT(N$6/$X61)&gt;0,$Z61-$AA61,0),-$AA61)</f>
        <v>0</v>
      </c>
      <c r="O62" s="511" t="n">
        <f aca="false">IF(INT(O$6/$X61)*$X$7&gt;O60*($X$7+$Z61)*$Y61,O60*($X$7+$Z61)-SUM($B62:N62),INT(O$6/$X61)*$X$7-O60*($X$7+$Z61)*($Y61-1)-SUM($B62:N62))+IF($Y61&gt;1,IF(INT(O$6/$X61)&gt;0,$Z61-$AA61,0),-$AA61)</f>
        <v>0</v>
      </c>
      <c r="P62" s="511" t="n">
        <f aca="false">IF(INT(P$6/$X61)*$X$7&gt;P60*($X$7+$Z61)*$Y61,P60*($X$7+$Z61)-SUM($B62:O62),INT(P$6/$X61)*$X$7-P60*($X$7+$Z61)*($Y61-1)-SUM($B62:O62))+IF($Y61&gt;1,IF(INT(P$6/$X61)&gt;0,$Z61-$AA61,0),-$AA61)</f>
        <v>0</v>
      </c>
      <c r="Q62" s="511" t="n">
        <f aca="false">IF(INT(Q$6/$X61)*$X$7&gt;Q60*($X$7+$Z61)*$Y61,Q60*($X$7+$Z61)-SUM($B62:P62),INT(Q$6/$X61)*$X$7-Q60*($X$7+$Z61)*($Y61-1)-SUM($B62:P62))+IF($Y61&gt;1,IF(INT(Q$6/$X61)&gt;0,$Z61-$AA61,0),-$AA61)</f>
        <v>0</v>
      </c>
      <c r="R62" s="511" t="n">
        <f aca="false">IF(INT(R$6/$X61)*$X$7&gt;R60*($X$7+$Z61)*$Y61,R60*($X$7+$Z61)-SUM($B62:Q62),INT(R$6/$X61)*$X$7-R60*($X$7+$Z61)*($Y61-1)-SUM($B62:Q62))+IF($Y61&gt;1,IF(INT(R$6/$X61)&gt;0,$Z61-$AA61,0),-$AA61)</f>
        <v>0</v>
      </c>
      <c r="S62" s="511" t="n">
        <f aca="false">IF(INT(S$6/$X61)*$X$7&gt;S60*($X$7+$Z61)*$Y61,S60*($X$7+$Z61)-SUM($B62:R62),INT(S$6/$X61)*$X$7-S60*($X$7+$Z61)*($Y61-1)-SUM($B62:R62))+IF($Y61&gt;1,IF(INT(S$6/$X61)&gt;0,$Z61-$AA61,0),-$AA61)</f>
        <v>0</v>
      </c>
      <c r="T62" s="511" t="n">
        <f aca="false">IF(INT(T$6/$X61)*$X$7&gt;T60*($X$7+$Z61)*$Y61,T60*($X$7+$Z61)-SUM($B62:S62),INT(T$6/$X61)*$X$7-T60*($X$7+$Z61)*($Y61-1)-SUM($B62:S62))+IF($Y61&gt;1,IF(INT(T$6/$X61)&gt;0,$Z61-$AA61,0),-$AA61)</f>
        <v>0</v>
      </c>
      <c r="U62" s="511" t="n">
        <f aca="false">IF(INT(U$6/$X61)*$X$7&gt;U60*($X$7+$Z61)*$Y61,U60*($X$7+$Z61)-SUM($B62:T62),INT(U$6/$X61)*$X$7-U60*($X$7+$Z61)*($Y61-1)-SUM($B62:T62))+IF($Y61&gt;1,IF(INT(U$6/$X61)&gt;0,$Z61-$AA61,0),-$AA61)</f>
        <v>0</v>
      </c>
      <c r="V62" s="511" t="n">
        <f aca="false">IF(INT(V$6/$X61)*$X$7&gt;V60*($X$7+$Z61)*$Y61,V60*($X$7+$Z61)-SUM($B62:U62),INT(V$6/$X61)*$X$7-V60*($X$7+$Z61)*($Y61-1)-SUM($B62:U62))+IF($Y61&gt;1,IF(INT(V$6/$X61)&gt;0,$Z61-$AA61,0),-$AA61)</f>
        <v>0</v>
      </c>
      <c r="W62" s="803"/>
      <c r="AA62" s="157"/>
      <c r="AB62" s="157"/>
    </row>
    <row r="63" customFormat="false" ht="12.75" hidden="false" customHeight="false" outlineLevel="0" collapsed="false">
      <c r="A63" s="157"/>
      <c r="B63" s="518"/>
      <c r="C63" s="518"/>
      <c r="D63" s="518"/>
      <c r="E63" s="518"/>
      <c r="F63" s="518"/>
      <c r="G63" s="518"/>
      <c r="H63" s="518"/>
      <c r="I63" s="518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785"/>
      <c r="X63" s="157"/>
      <c r="Y63" s="157"/>
      <c r="Z63" s="157"/>
      <c r="AA63" s="157"/>
      <c r="AB63" s="157"/>
    </row>
    <row r="64" customFormat="false" ht="12.75" hidden="true" customHeight="false" outlineLevel="0" collapsed="false">
      <c r="A64" s="153" t="s">
        <v>1395</v>
      </c>
      <c r="B64" s="511"/>
      <c r="C64" s="153" t="n">
        <f aca="false">INT((INT(C$6/$X65)*$X$7+$X$7+$Z65-1)/($X$7+$Z65)/$Y65)</f>
        <v>0</v>
      </c>
      <c r="D64" s="153" t="n">
        <f aca="false">INT((INT(D$6/$X65)*$X$7+$X$7+$Z65-1)/($X$7+$Z65)/$Y65)</f>
        <v>0</v>
      </c>
      <c r="E64" s="153" t="n">
        <f aca="false">INT((INT(E$6/$X65)*$X$7+$X$7+$Z65-1)/($X$7+$Z65)/$Y65)</f>
        <v>0</v>
      </c>
      <c r="F64" s="153" t="n">
        <f aca="false">INT((INT(F$6/$X65)*$X$7+$X$7+$Z65-1)/($X$7+$Z65)/$Y65)</f>
        <v>0</v>
      </c>
      <c r="G64" s="153" t="n">
        <f aca="false">INT((INT(G$6/$X65)*$X$7+$X$7+$Z65-1)/($X$7+$Z65)/$Y65)</f>
        <v>0</v>
      </c>
      <c r="H64" s="153" t="n">
        <f aca="false">INT((INT(H$6/$X65)*$X$7+$X$7+$Z65-1)/($X$7+$Z65)/$Y65)</f>
        <v>0</v>
      </c>
      <c r="I64" s="153" t="n">
        <f aca="false">INT((INT(I$6/$X65)*$X$7+$X$7+$Z65-1)/($X$7+$Z65)/$Y65)</f>
        <v>0</v>
      </c>
      <c r="J64" s="153" t="n">
        <f aca="false">INT((INT(J$6/$X65)*$X$7+$X$7+$Z65-1)/($X$7+$Z65)/$Y65)</f>
        <v>0</v>
      </c>
      <c r="K64" s="153" t="n">
        <f aca="false">INT((INT(K$6/$X65)*$X$7+$X$7+$Z65-1)/($X$7+$Z65)/$Y65)</f>
        <v>0</v>
      </c>
      <c r="L64" s="153" t="n">
        <f aca="false">INT((INT(L$6/$X65)*$X$7+$X$7+$Z65-1)/($X$7+$Z65)/$Y65)</f>
        <v>0</v>
      </c>
      <c r="M64" s="153" t="n">
        <f aca="false">INT((INT(M$6/$X65)*$X$7+$X$7+$Z65-1)/($X$7+$Z65)/$Y65)</f>
        <v>0</v>
      </c>
      <c r="N64" s="153" t="n">
        <f aca="false">INT((INT(N$6/$X65)*$X$7+$X$7+$Z65-1)/($X$7+$Z65)/$Y65)</f>
        <v>0</v>
      </c>
      <c r="O64" s="153" t="n">
        <f aca="false">INT((INT(O$6/$X65)*$X$7+$X$7+$Z65-1)/($X$7+$Z65)/$Y65)</f>
        <v>0</v>
      </c>
      <c r="P64" s="153" t="n">
        <f aca="false">INT((INT(P$6/$X65)*$X$7+$X$7+$Z65-1)/($X$7+$Z65)/$Y65)</f>
        <v>0</v>
      </c>
      <c r="Q64" s="153" t="n">
        <f aca="false">INT((INT(Q$6/$X65)*$X$7+$X$7+$Z65-1)/($X$7+$Z65)/$Y65)</f>
        <v>0</v>
      </c>
      <c r="R64" s="153" t="n">
        <f aca="false">INT((INT(R$6/$X65)*$X$7+$X$7+$Z65-1)/($X$7+$Z65)/$Y65)</f>
        <v>0</v>
      </c>
      <c r="S64" s="153" t="n">
        <f aca="false">INT((INT(S$6/$X65)*$X$7+$X$7+$Z65-1)/($X$7+$Z65)/$Y65)</f>
        <v>0</v>
      </c>
      <c r="T64" s="153" t="n">
        <f aca="false">INT((INT(T$6/$X65)*$X$7+$X$7+$Z65-1)/($X$7+$Z65)/$Y65)</f>
        <v>0</v>
      </c>
      <c r="U64" s="153" t="n">
        <f aca="false">INT((INT(U$6/$X65)*$X$7+$X$7+$Z65-1)/($X$7+$Z65)/$Y65)</f>
        <v>0</v>
      </c>
      <c r="V64" s="153" t="n">
        <f aca="false">INT((INT(V$6/$X65)*$X$7+$X$7+$Z65-1)/($X$7+$Z65)/$Y65)</f>
        <v>0</v>
      </c>
      <c r="W64" s="157"/>
      <c r="X64" s="157"/>
      <c r="Y64" s="157"/>
      <c r="Z64" s="157"/>
      <c r="AA64" s="157"/>
      <c r="AB64" s="157"/>
    </row>
    <row r="65" customFormat="false" ht="12.75" hidden="false" customHeight="false" outlineLevel="0" collapsed="false">
      <c r="A65" s="153" t="s">
        <v>1396</v>
      </c>
      <c r="B65" s="511" t="s">
        <v>1007</v>
      </c>
      <c r="C65" s="511" t="n">
        <f aca="false">IF($Y65=1,0,$X$7*(INT(C$6/$X65)-INT(B$6/$X65))-IF(SUM($B65:B65)&gt;0,C66,0))</f>
        <v>0</v>
      </c>
      <c r="D65" s="511" t="n">
        <f aca="false">IF($Y65=1,0,$X$7*(INT(D$6/$X65)-INT(C$6/$X65))-IF(SUM($B65:C65)&gt;0,D66,0))</f>
        <v>0</v>
      </c>
      <c r="E65" s="511" t="n">
        <f aca="false">IF($Y65=1,0,$X$7*(INT(E$6/$X65)-INT(D$6/$X65))-IF(SUM($B65:D65)&gt;0,E66,0))</f>
        <v>0</v>
      </c>
      <c r="F65" s="511" t="n">
        <f aca="false">IF($Y65=1,0,$X$7*(INT(F$6/$X65)-INT(E$6/$X65))-IF(SUM($B65:E65)&gt;0,F66,0))</f>
        <v>0</v>
      </c>
      <c r="G65" s="511" t="n">
        <f aca="false">IF($Y65=1,0,$X$7*(INT(G$6/$X65)-INT(F$6/$X65))-IF(SUM($B65:F65)&gt;0,G66,0))</f>
        <v>0</v>
      </c>
      <c r="H65" s="511" t="n">
        <f aca="false">IF($Y65=1,0,$X$7*(INT(H$6/$X65)-INT(G$6/$X65))-IF(SUM($B65:G65)&gt;0,H66,0))</f>
        <v>0</v>
      </c>
      <c r="I65" s="511" t="n">
        <f aca="false">IF($Y65=1,0,$X$7*(INT(I$6/$X65)-INT(H$6/$X65))-IF(SUM($B65:H65)&gt;0,I66,0))</f>
        <v>0</v>
      </c>
      <c r="J65" s="511" t="n">
        <f aca="false">IF($Y65=1,0,$X$7*(INT(J$6/$X65)-INT(I$6/$X65))-IF(SUM($B65:I65)&gt;0,J66,0))</f>
        <v>0</v>
      </c>
      <c r="K65" s="511" t="n">
        <f aca="false">IF($Y65=1,0,$X$7*(INT(K$6/$X65)-INT(J$6/$X65))-IF(SUM($B65:J65)&gt;0,K66,0))</f>
        <v>0</v>
      </c>
      <c r="L65" s="511" t="n">
        <f aca="false">IF($Y65=1,0,$X$7*(INT(L$6/$X65)-INT(K$6/$X65))-IF(SUM($B65:K65)&gt;0,L66,0))</f>
        <v>0</v>
      </c>
      <c r="M65" s="511" t="n">
        <f aca="false">IF($Y65=1,0,$X$7*(INT(M$6/$X65)-INT(L$6/$X65))-IF(SUM($B65:L65)&gt;0,M66,0))</f>
        <v>0</v>
      </c>
      <c r="N65" s="511" t="n">
        <f aca="false">IF($Y65=1,0,$X$7*(INT(N$6/$X65)-INT(M$6/$X65))-IF(SUM($B65:M65)&gt;0,N66,0))</f>
        <v>0</v>
      </c>
      <c r="O65" s="511" t="n">
        <f aca="false">IF($Y65=1,0,$X$7*(INT(O$6/$X65)-INT(N$6/$X65))-IF(SUM($B65:N65)&gt;0,O66,0))</f>
        <v>0</v>
      </c>
      <c r="P65" s="511" t="n">
        <f aca="false">IF($Y65=1,0,$X$7*(INT(P$6/$X65)-INT(O$6/$X65))-IF(SUM($B65:O65)&gt;0,P66,0))</f>
        <v>0</v>
      </c>
      <c r="Q65" s="511" t="n">
        <f aca="false">IF($Y65=1,0,$X$7*(INT(Q$6/$X65)-INT(P$6/$X65))-IF(SUM($B65:P65)&gt;0,Q66,0))</f>
        <v>0</v>
      </c>
      <c r="R65" s="511" t="n">
        <f aca="false">IF($Y65=1,0,$X$7*(INT(R$6/$X65)-INT(Q$6/$X65))-IF(SUM($B65:Q65)&gt;0,R66,0))</f>
        <v>0</v>
      </c>
      <c r="S65" s="511" t="n">
        <f aca="false">IF($Y65=1,0,$X$7*(INT(S$6/$X65)-INT(R$6/$X65))-IF(SUM($B65:R65)&gt;0,S66,0))</f>
        <v>0</v>
      </c>
      <c r="T65" s="511" t="n">
        <f aca="false">IF($Y65=1,0,$X$7*(INT(T$6/$X65)-INT(S$6/$X65))-IF(SUM($B65:S65)&gt;0,T66,0))</f>
        <v>0</v>
      </c>
      <c r="U65" s="511" t="n">
        <f aca="false">IF($Y65=1,0,$X$7*(INT(U$6/$X65)-INT(T$6/$X65))-IF(SUM($B65:T65)&gt;0,U66,0))</f>
        <v>0</v>
      </c>
      <c r="V65" s="511" t="n">
        <f aca="false">IF($Y65=1,0,$X$7*(INT(V$6/$X65)-INT(U$6/$X65))-IF(SUM($B65:U65)&gt;0,V66,0))</f>
        <v>0</v>
      </c>
      <c r="W65" s="799" t="str">
        <f aca="false">'GT schd cost(W501D5A)'!A26</f>
        <v>Row 4 Vanes</v>
      </c>
      <c r="X65" s="800" t="n">
        <f aca="false">IF($AD$6=1,'GTDB(W501D5A)'!B29,'GTDB(W501D5A)'!G29)</f>
        <v>48000</v>
      </c>
      <c r="Y65" s="800" t="n">
        <f aca="false">IF($AD$6=1,'GTDB(W501D5A)'!C29,'GTDB(W501D5A)'!H29)</f>
        <v>2</v>
      </c>
      <c r="Z65" s="801" t="n">
        <v>1</v>
      </c>
      <c r="AA65" s="805" t="n">
        <f aca="false">'Initial_Spares(W501D5A)'!$E$23</f>
        <v>0</v>
      </c>
      <c r="AB65" s="764" t="n">
        <f aca="false">'GT schd cost(W501D5A)'!X26+'GT schd cost(W501D5A)'!X52</f>
        <v>0</v>
      </c>
    </row>
    <row r="66" customFormat="false" ht="12.75" hidden="false" customHeight="false" outlineLevel="0" collapsed="false">
      <c r="A66" s="153" t="s">
        <v>1397</v>
      </c>
      <c r="B66" s="511" t="s">
        <v>1007</v>
      </c>
      <c r="C66" s="511" t="n">
        <f aca="false">IF(INT(C$6/$X65)*$X$7&gt;C64*($X$7+$Z65)*$Y65,C64*($X$7+$Z65)-SUM($B66:B66),INT(C$6/$X65)*$X$7-C64*($X$7+$Z65)*($Y65-1)-SUM($B66:B66))+IF($Y65&gt;1,IF(INT(C$6/$X65)&gt;0,$Z65-$AA65,0),-$AA65)</f>
        <v>0</v>
      </c>
      <c r="D66" s="511" t="n">
        <f aca="false">IF(INT(D$6/$X65)*$X$7&gt;D64*($X$7+$Z65)*$Y65,D64*($X$7+$Z65)-SUM($B66:C66),INT(D$6/$X65)*$X$7-D64*($X$7+$Z65)*($Y65-1)-SUM($B66:C66))+IF($Y65&gt;1,IF(INT(D$6/$X65)&gt;0,$Z65-$AA65,0),-$AA65)</f>
        <v>0</v>
      </c>
      <c r="E66" s="511" t="n">
        <f aca="false">IF(INT(E$6/$X65)*$X$7&gt;E64*($X$7+$Z65)*$Y65,E64*($X$7+$Z65)-SUM($B66:D66),INT(E$6/$X65)*$X$7-E64*($X$7+$Z65)*($Y65-1)-SUM($B66:D66))+IF($Y65&gt;1,IF(INT(E$6/$X65)&gt;0,$Z65-$AA65,0),-$AA65)</f>
        <v>0</v>
      </c>
      <c r="F66" s="511" t="n">
        <f aca="false">IF(INT(F$6/$X65)*$X$7&gt;F64*($X$7+$Z65)*$Y65,F64*($X$7+$Z65)-SUM($B66:E66),INT(F$6/$X65)*$X$7-F64*($X$7+$Z65)*($Y65-1)-SUM($B66:E66))+IF($Y65&gt;1,IF(INT(F$6/$X65)&gt;0,$Z65-$AA65,0),-$AA65)</f>
        <v>0</v>
      </c>
      <c r="G66" s="511" t="n">
        <f aca="false">IF(INT(G$6/$X65)*$X$7&gt;G64*($X$7+$Z65)*$Y65,G64*($X$7+$Z65)-SUM($B66:F66),INT(G$6/$X65)*$X$7-G64*($X$7+$Z65)*($Y65-1)-SUM($B66:F66))+IF($Y65&gt;1,IF(INT(G$6/$X65)&gt;0,$Z65-$AA65,0),-$AA65)</f>
        <v>0</v>
      </c>
      <c r="H66" s="511" t="n">
        <f aca="false">IF(INT(H$6/$X65)*$X$7&gt;H64*($X$7+$Z65)*$Y65,H64*($X$7+$Z65)-SUM($B66:G66),INT(H$6/$X65)*$X$7-H64*($X$7+$Z65)*($Y65-1)-SUM($B66:G66))+IF($Y65&gt;1,IF(INT(H$6/$X65)&gt;0,$Z65-$AA65,0),-$AA65)</f>
        <v>0</v>
      </c>
      <c r="I66" s="511" t="n">
        <f aca="false">IF(INT(I$6/$X65)*$X$7&gt;I64*($X$7+$Z65)*$Y65,I64*($X$7+$Z65)-SUM($B66:H66),INT(I$6/$X65)*$X$7-I64*($X$7+$Z65)*($Y65-1)-SUM($B66:H66))+IF($Y65&gt;1,IF(INT(I$6/$X65)&gt;0,$Z65-$AA65,0),-$AA65)</f>
        <v>0</v>
      </c>
      <c r="J66" s="511" t="n">
        <f aca="false">IF(INT(J$6/$X65)*$X$7&gt;J64*($X$7+$Z65)*$Y65,J64*($X$7+$Z65)-SUM($B66:I66),INT(J$6/$X65)*$X$7-J64*($X$7+$Z65)*($Y65-1)-SUM($B66:I66))+IF($Y65&gt;1,IF(INT(J$6/$X65)&gt;0,$Z65-$AA65,0),-$AA65)</f>
        <v>0</v>
      </c>
      <c r="K66" s="511" t="n">
        <f aca="false">IF(INT(K$6/$X65)*$X$7&gt;K64*($X$7+$Z65)*$Y65,K64*($X$7+$Z65)-SUM($B66:J66),INT(K$6/$X65)*$X$7-K64*($X$7+$Z65)*($Y65-1)-SUM($B66:J66))+IF($Y65&gt;1,IF(INT(K$6/$X65)&gt;0,$Z65-$AA65,0),-$AA65)</f>
        <v>0</v>
      </c>
      <c r="L66" s="511" t="n">
        <f aca="false">IF(INT(L$6/$X65)*$X$7&gt;L64*($X$7+$Z65)*$Y65,L64*($X$7+$Z65)-SUM($B66:K66),INT(L$6/$X65)*$X$7-L64*($X$7+$Z65)*($Y65-1)-SUM($B66:K66))+IF($Y65&gt;1,IF(INT(L$6/$X65)&gt;0,$Z65-$AA65,0),-$AA65)</f>
        <v>0</v>
      </c>
      <c r="M66" s="511" t="n">
        <f aca="false">IF(INT(M$6/$X65)*$X$7&gt;M64*($X$7+$Z65)*$Y65,M64*($X$7+$Z65)-SUM($B66:L66),INT(M$6/$X65)*$X$7-M64*($X$7+$Z65)*($Y65-1)-SUM($B66:L66))+IF($Y65&gt;1,IF(INT(M$6/$X65)&gt;0,$Z65-$AA65,0),-$AA65)</f>
        <v>0</v>
      </c>
      <c r="N66" s="511" t="n">
        <f aca="false">IF(INT(N$6/$X65)*$X$7&gt;N64*($X$7+$Z65)*$Y65,N64*($X$7+$Z65)-SUM($B66:M66),INT(N$6/$X65)*$X$7-N64*($X$7+$Z65)*($Y65-1)-SUM($B66:M66))+IF($Y65&gt;1,IF(INT(N$6/$X65)&gt;0,$Z65-$AA65,0),-$AA65)</f>
        <v>0</v>
      </c>
      <c r="O66" s="511" t="n">
        <f aca="false">IF(INT(O$6/$X65)*$X$7&gt;O64*($X$7+$Z65)*$Y65,O64*($X$7+$Z65)-SUM($B66:N66),INT(O$6/$X65)*$X$7-O64*($X$7+$Z65)*($Y65-1)-SUM($B66:N66))+IF($Y65&gt;1,IF(INT(O$6/$X65)&gt;0,$Z65-$AA65,0),-$AA65)</f>
        <v>0</v>
      </c>
      <c r="P66" s="511" t="n">
        <f aca="false">IF(INT(P$6/$X65)*$X$7&gt;P64*($X$7+$Z65)*$Y65,P64*($X$7+$Z65)-SUM($B66:O66),INT(P$6/$X65)*$X$7-P64*($X$7+$Z65)*($Y65-1)-SUM($B66:O66))+IF($Y65&gt;1,IF(INT(P$6/$X65)&gt;0,$Z65-$AA65,0),-$AA65)</f>
        <v>0</v>
      </c>
      <c r="Q66" s="511" t="n">
        <f aca="false">IF(INT(Q$6/$X65)*$X$7&gt;Q64*($X$7+$Z65)*$Y65,Q64*($X$7+$Z65)-SUM($B66:P66),INT(Q$6/$X65)*$X$7-Q64*($X$7+$Z65)*($Y65-1)-SUM($B66:P66))+IF($Y65&gt;1,IF(INT(Q$6/$X65)&gt;0,$Z65-$AA65,0),-$AA65)</f>
        <v>0</v>
      </c>
      <c r="R66" s="511" t="n">
        <f aca="false">IF(INT(R$6/$X65)*$X$7&gt;R64*($X$7+$Z65)*$Y65,R64*($X$7+$Z65)-SUM($B66:Q66),INT(R$6/$X65)*$X$7-R64*($X$7+$Z65)*($Y65-1)-SUM($B66:Q66))+IF($Y65&gt;1,IF(INT(R$6/$X65)&gt;0,$Z65-$AA65,0),-$AA65)</f>
        <v>0</v>
      </c>
      <c r="S66" s="511" t="n">
        <f aca="false">IF(INT(S$6/$X65)*$X$7&gt;S64*($X$7+$Z65)*$Y65,S64*($X$7+$Z65)-SUM($B66:R66),INT(S$6/$X65)*$X$7-S64*($X$7+$Z65)*($Y65-1)-SUM($B66:R66))+IF($Y65&gt;1,IF(INT(S$6/$X65)&gt;0,$Z65-$AA65,0),-$AA65)</f>
        <v>0</v>
      </c>
      <c r="T66" s="511" t="n">
        <f aca="false">IF(INT(T$6/$X65)*$X$7&gt;T64*($X$7+$Z65)*$Y65,T64*($X$7+$Z65)-SUM($B66:S66),INT(T$6/$X65)*$X$7-T64*($X$7+$Z65)*($Y65-1)-SUM($B66:S66))+IF($Y65&gt;1,IF(INT(T$6/$X65)&gt;0,$Z65-$AA65,0),-$AA65)</f>
        <v>0</v>
      </c>
      <c r="U66" s="511" t="n">
        <f aca="false">IF(INT(U$6/$X65)*$X$7&gt;U64*($X$7+$Z65)*$Y65,U64*($X$7+$Z65)-SUM($B66:T66),INT(U$6/$X65)*$X$7-U64*($X$7+$Z65)*($Y65-1)-SUM($B66:T66))+IF($Y65&gt;1,IF(INT(U$6/$X65)&gt;0,$Z65-$AA65,0),-$AA65)</f>
        <v>0</v>
      </c>
      <c r="V66" s="511" t="n">
        <f aca="false">IF(INT(V$6/$X65)*$X$7&gt;V64*($X$7+$Z65)*$Y65,V64*($X$7+$Z65)-SUM($B66:U66),INT(V$6/$X65)*$X$7-V64*($X$7+$Z65)*($Y65-1)-SUM($B66:U66))+IF($Y65&gt;1,IF(INT(V$6/$X65)&gt;0,$Z65-$AA65,0),-$AA65)</f>
        <v>0</v>
      </c>
      <c r="W66" s="803"/>
      <c r="AA66" s="157"/>
      <c r="AB66" s="157"/>
    </row>
    <row r="67" customFormat="false" ht="12.75" hidden="false" customHeight="false" outlineLevel="0" collapsed="false">
      <c r="A67" s="157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785"/>
      <c r="X67" s="157"/>
      <c r="Y67" s="157"/>
      <c r="Z67" s="157"/>
      <c r="AA67" s="157"/>
      <c r="AB67" s="157"/>
    </row>
    <row r="68" customFormat="false" ht="12.75" hidden="true" customHeight="false" outlineLevel="0" collapsed="false">
      <c r="A68" s="153" t="s">
        <v>1395</v>
      </c>
      <c r="B68" s="511"/>
      <c r="C68" s="153" t="n">
        <f aca="false">INT((INT(C$6/$X69)*$X$7+$X$7+$Z69-1)/($X$7+$Z69)/$Y69)</f>
        <v>0</v>
      </c>
      <c r="D68" s="153" t="n">
        <f aca="false">INT((INT(D$6/$X69)*$X$7+$X$7+$Z69-1)/($X$7+$Z69)/$Y69)</f>
        <v>0</v>
      </c>
      <c r="E68" s="153" t="n">
        <f aca="false">INT((INT(E$6/$X69)*$X$7+$X$7+$Z69-1)/($X$7+$Z69)/$Y69)</f>
        <v>0</v>
      </c>
      <c r="F68" s="153" t="n">
        <f aca="false">INT((INT(F$6/$X69)*$X$7+$X$7+$Z69-1)/($X$7+$Z69)/$Y69)</f>
        <v>0</v>
      </c>
      <c r="G68" s="153" t="n">
        <f aca="false">INT((INT(G$6/$X69)*$X$7+$X$7+$Z69-1)/($X$7+$Z69)/$Y69)</f>
        <v>0</v>
      </c>
      <c r="H68" s="153" t="n">
        <f aca="false">INT((INT(H$6/$X69)*$X$7+$X$7+$Z69-1)/($X$7+$Z69)/$Y69)</f>
        <v>0</v>
      </c>
      <c r="I68" s="153" t="n">
        <f aca="false">INT((INT(I$6/$X69)*$X$7+$X$7+$Z69-1)/($X$7+$Z69)/$Y69)</f>
        <v>0</v>
      </c>
      <c r="J68" s="153" t="n">
        <f aca="false">INT((INT(J$6/$X69)*$X$7+$X$7+$Z69-1)/($X$7+$Z69)/$Y69)</f>
        <v>0</v>
      </c>
      <c r="K68" s="153" t="n">
        <f aca="false">INT((INT(K$6/$X69)*$X$7+$X$7+$Z69-1)/($X$7+$Z69)/$Y69)</f>
        <v>0</v>
      </c>
      <c r="L68" s="153" t="n">
        <f aca="false">INT((INT(L$6/$X69)*$X$7+$X$7+$Z69-1)/($X$7+$Z69)/$Y69)</f>
        <v>0</v>
      </c>
      <c r="M68" s="153" t="n">
        <f aca="false">INT((INT(M$6/$X69)*$X$7+$X$7+$Z69-1)/($X$7+$Z69)/$Y69)</f>
        <v>0</v>
      </c>
      <c r="N68" s="153" t="n">
        <f aca="false">INT((INT(N$6/$X69)*$X$7+$X$7+$Z69-1)/($X$7+$Z69)/$Y69)</f>
        <v>0</v>
      </c>
      <c r="O68" s="153" t="n">
        <f aca="false">INT((INT(O$6/$X69)*$X$7+$X$7+$Z69-1)/($X$7+$Z69)/$Y69)</f>
        <v>0</v>
      </c>
      <c r="P68" s="153" t="n">
        <f aca="false">INT((INT(P$6/$X69)*$X$7+$X$7+$Z69-1)/($X$7+$Z69)/$Y69)</f>
        <v>0</v>
      </c>
      <c r="Q68" s="153" t="n">
        <f aca="false">INT((INT(Q$6/$X69)*$X$7+$X$7+$Z69-1)/($X$7+$Z69)/$Y69)</f>
        <v>0</v>
      </c>
      <c r="R68" s="153" t="n">
        <f aca="false">INT((INT(R$6/$X69)*$X$7+$X$7+$Z69-1)/($X$7+$Z69)/$Y69)</f>
        <v>0</v>
      </c>
      <c r="S68" s="153" t="n">
        <f aca="false">INT((INT(S$6/$X69)*$X$7+$X$7+$Z69-1)/($X$7+$Z69)/$Y69)</f>
        <v>0</v>
      </c>
      <c r="T68" s="153" t="n">
        <f aca="false">INT((INT(T$6/$X69)*$X$7+$X$7+$Z69-1)/($X$7+$Z69)/$Y69)</f>
        <v>0</v>
      </c>
      <c r="U68" s="153" t="n">
        <f aca="false">INT((INT(U$6/$X69)*$X$7+$X$7+$Z69-1)/($X$7+$Z69)/$Y69)</f>
        <v>0</v>
      </c>
      <c r="V68" s="153" t="n">
        <f aca="false">INT((INT(V$6/$X69)*$X$7+$X$7+$Z69-1)/($X$7+$Z69)/$Y69)</f>
        <v>0</v>
      </c>
      <c r="W68" s="157"/>
      <c r="X68" s="157"/>
      <c r="Y68" s="157"/>
      <c r="Z68" s="157"/>
      <c r="AA68" s="157"/>
      <c r="AB68" s="157"/>
    </row>
    <row r="69" customFormat="false" ht="12.75" hidden="false" customHeight="false" outlineLevel="0" collapsed="false">
      <c r="A69" s="153" t="s">
        <v>1396</v>
      </c>
      <c r="B69" s="511" t="s">
        <v>1007</v>
      </c>
      <c r="C69" s="511" t="n">
        <f aca="false">IF($Y69=1,0,$X$7*(INT(C$6/$X69)-INT(B$6/$X69))-IF(SUM($B69:B69)&gt;0,C70,0))</f>
        <v>0</v>
      </c>
      <c r="D69" s="511" t="n">
        <f aca="false">IF($Y69=1,0,$X$7*(INT(D$6/$X69)-INT(C$6/$X69))-IF(SUM($B69:C69)&gt;0,D70,0))</f>
        <v>0</v>
      </c>
      <c r="E69" s="511" t="n">
        <f aca="false">IF($Y69=1,0,$X$7*(INT(E$6/$X69)-INT(D$6/$X69))-IF(SUM($B69:D69)&gt;0,E70,0))</f>
        <v>0</v>
      </c>
      <c r="F69" s="511" t="n">
        <f aca="false">IF($Y69=1,0,$X$7*(INT(F$6/$X69)-INT(E$6/$X69))-IF(SUM($B69:E69)&gt;0,F70,0))</f>
        <v>0</v>
      </c>
      <c r="G69" s="511" t="n">
        <f aca="false">IF($Y69=1,0,$X$7*(INT(G$6/$X69)-INT(F$6/$X69))-IF(SUM($B69:F69)&gt;0,G70,0))</f>
        <v>0</v>
      </c>
      <c r="H69" s="511" t="n">
        <f aca="false">IF($Y69=1,0,$X$7*(INT(H$6/$X69)-INT(G$6/$X69))-IF(SUM($B69:G69)&gt;0,H70,0))</f>
        <v>0</v>
      </c>
      <c r="I69" s="511" t="n">
        <f aca="false">IF($Y69=1,0,$X$7*(INT(I$6/$X69)-INT(H$6/$X69))-IF(SUM($B69:H69)&gt;0,I70,0))</f>
        <v>0</v>
      </c>
      <c r="J69" s="511" t="n">
        <f aca="false">IF($Y69=1,0,$X$7*(INT(J$6/$X69)-INT(I$6/$X69))-IF(SUM($B69:I69)&gt;0,J70,0))</f>
        <v>0</v>
      </c>
      <c r="K69" s="511" t="n">
        <f aca="false">IF($Y69=1,0,$X$7*(INT(K$6/$X69)-INT(J$6/$X69))-IF(SUM($B69:J69)&gt;0,K70,0))</f>
        <v>0</v>
      </c>
      <c r="L69" s="511" t="n">
        <f aca="false">IF($Y69=1,0,$X$7*(INT(L$6/$X69)-INT(K$6/$X69))-IF(SUM($B69:K69)&gt;0,L70,0))</f>
        <v>0</v>
      </c>
      <c r="M69" s="511" t="n">
        <f aca="false">IF($Y69=1,0,$X$7*(INT(M$6/$X69)-INT(L$6/$X69))-IF(SUM($B69:L69)&gt;0,M70,0))</f>
        <v>0</v>
      </c>
      <c r="N69" s="511" t="n">
        <f aca="false">IF($Y69=1,0,$X$7*(INT(N$6/$X69)-INT(M$6/$X69))-IF(SUM($B69:M69)&gt;0,N70,0))</f>
        <v>0</v>
      </c>
      <c r="O69" s="511" t="n">
        <f aca="false">IF($Y69=1,0,$X$7*(INT(O$6/$X69)-INT(N$6/$X69))-IF(SUM($B69:N69)&gt;0,O70,0))</f>
        <v>0</v>
      </c>
      <c r="P69" s="511" t="n">
        <f aca="false">IF($Y69=1,0,$X$7*(INT(P$6/$X69)-INT(O$6/$X69))-IF(SUM($B69:O69)&gt;0,P70,0))</f>
        <v>0</v>
      </c>
      <c r="Q69" s="511" t="n">
        <f aca="false">IF($Y69=1,0,$X$7*(INT(Q$6/$X69)-INT(P$6/$X69))-IF(SUM($B69:P69)&gt;0,Q70,0))</f>
        <v>0</v>
      </c>
      <c r="R69" s="511" t="n">
        <f aca="false">IF($Y69=1,0,$X$7*(INT(R$6/$X69)-INT(Q$6/$X69))-IF(SUM($B69:Q69)&gt;0,R70,0))</f>
        <v>0</v>
      </c>
      <c r="S69" s="511" t="n">
        <f aca="false">IF($Y69=1,0,$X$7*(INT(S$6/$X69)-INT(R$6/$X69))-IF(SUM($B69:R69)&gt;0,S70,0))</f>
        <v>0</v>
      </c>
      <c r="T69" s="511" t="n">
        <f aca="false">IF($Y69=1,0,$X$7*(INT(T$6/$X69)-INT(S$6/$X69))-IF(SUM($B69:S69)&gt;0,T70,0))</f>
        <v>0</v>
      </c>
      <c r="U69" s="511" t="n">
        <f aca="false">IF($Y69=1,0,$X$7*(INT(U$6/$X69)-INT(T$6/$X69))-IF(SUM($B69:T69)&gt;0,U70,0))</f>
        <v>0</v>
      </c>
      <c r="V69" s="511" t="n">
        <f aca="false">IF($Y69=1,0,$X$7*(INT(V$6/$X69)-INT(U$6/$X69))-IF(SUM($B69:U69)&gt;0,V70,0))</f>
        <v>0</v>
      </c>
      <c r="W69" s="800" t="str">
        <f aca="false">'GT schd cost(W501D5A)'!A27</f>
        <v>Row 1 ring segments</v>
      </c>
      <c r="X69" s="800" t="n">
        <f aca="false">IF($AD$6=1,'GTDB(W501D5A)'!B30,'GTDB(W501D5A)'!G30)</f>
        <v>24000</v>
      </c>
      <c r="Y69" s="800" t="n">
        <f aca="false">IF($AD$6=1,'GTDB(W501D5A)'!C30,'GTDB(W501D5A)'!H30)</f>
        <v>2</v>
      </c>
      <c r="Z69" s="801" t="n">
        <v>1</v>
      </c>
      <c r="AA69" s="805" t="n">
        <f aca="false">'Initial_Spares(W501D5A)'!$E$24</f>
        <v>0</v>
      </c>
      <c r="AB69" s="807" t="n">
        <f aca="false">'GT schd cost(W501D5A)'!X27+'GT schd cost(W501D5A)'!X53</f>
        <v>0</v>
      </c>
    </row>
    <row r="70" customFormat="false" ht="12.75" hidden="false" customHeight="false" outlineLevel="0" collapsed="false">
      <c r="A70" s="153" t="s">
        <v>1397</v>
      </c>
      <c r="B70" s="511" t="s">
        <v>1007</v>
      </c>
      <c r="C70" s="511" t="n">
        <f aca="false">IF(INT(C$6/$X69)*$X$7&gt;C68*($X$7+$Z69)*$Y69,C68*($X$7+$Z69)-SUM($B70:B70),INT(C$6/$X69)*$X$7-C68*($X$7+$Z69)*($Y69-1)-SUM($B70:B70))+IF($Y69&gt;1,IF(INT(C$6/$X69)&gt;0,$Z69-$AA69,0),-$AA69)</f>
        <v>0</v>
      </c>
      <c r="D70" s="511" t="n">
        <f aca="false">IF(INT(D$6/$X69)*$X$7&gt;D68*($X$7+$Z69)*$Y69,D68*($X$7+$Z69)-SUM($B70:C70),INT(D$6/$X69)*$X$7-D68*($X$7+$Z69)*($Y69-1)-SUM($B70:C70))+IF($Y69&gt;1,IF(INT(D$6/$X69)&gt;0,$Z69-$AA69,0),-$AA69)</f>
        <v>0</v>
      </c>
      <c r="E70" s="511" t="n">
        <f aca="false">IF(INT(E$6/$X69)*$X$7&gt;E68*($X$7+$Z69)*$Y69,E68*($X$7+$Z69)-SUM($B70:D70),INT(E$6/$X69)*$X$7-E68*($X$7+$Z69)*($Y69-1)-SUM($B70:D70))+IF($Y69&gt;1,IF(INT(E$6/$X69)&gt;0,$Z69-$AA69,0),-$AA69)</f>
        <v>0</v>
      </c>
      <c r="F70" s="511" t="n">
        <f aca="false">IF(INT(F$6/$X69)*$X$7&gt;F68*($X$7+$Z69)*$Y69,F68*($X$7+$Z69)-SUM($B70:E70),INT(F$6/$X69)*$X$7-F68*($X$7+$Z69)*($Y69-1)-SUM($B70:E70))+IF($Y69&gt;1,IF(INT(F$6/$X69)&gt;0,$Z69-$AA69,0),-$AA69)</f>
        <v>0</v>
      </c>
      <c r="G70" s="511" t="n">
        <f aca="false">IF(INT(G$6/$X69)*$X$7&gt;G68*($X$7+$Z69)*$Y69,G68*($X$7+$Z69)-SUM($B70:F70),INT(G$6/$X69)*$X$7-G68*($X$7+$Z69)*($Y69-1)-SUM($B70:F70))+IF($Y69&gt;1,IF(INT(G$6/$X69)&gt;0,$Z69-$AA69,0),-$AA69)</f>
        <v>0</v>
      </c>
      <c r="H70" s="511" t="n">
        <f aca="false">IF(INT(H$6/$X69)*$X$7&gt;H68*($X$7+$Z69)*$Y69,H68*($X$7+$Z69)-SUM($B70:G70),INT(H$6/$X69)*$X$7-H68*($X$7+$Z69)*($Y69-1)-SUM($B70:G70))+IF($Y69&gt;1,IF(INT(H$6/$X69)&gt;0,$Z69-$AA69,0),-$AA69)</f>
        <v>0</v>
      </c>
      <c r="I70" s="511" t="n">
        <f aca="false">IF(INT(I$6/$X69)*$X$7&gt;I68*($X$7+$Z69)*$Y69,I68*($X$7+$Z69)-SUM($B70:H70),INT(I$6/$X69)*$X$7-I68*($X$7+$Z69)*($Y69-1)-SUM($B70:H70))+IF($Y69&gt;1,IF(INT(I$6/$X69)&gt;0,$Z69-$AA69,0),-$AA69)</f>
        <v>0</v>
      </c>
      <c r="J70" s="511" t="n">
        <f aca="false">IF(INT(J$6/$X69)*$X$7&gt;J68*($X$7+$Z69)*$Y69,J68*($X$7+$Z69)-SUM($B70:I70),INT(J$6/$X69)*$X$7-J68*($X$7+$Z69)*($Y69-1)-SUM($B70:I70))+IF($Y69&gt;1,IF(INT(J$6/$X69)&gt;0,$Z69-$AA69,0),-$AA69)</f>
        <v>0</v>
      </c>
      <c r="K70" s="511" t="n">
        <f aca="false">IF(INT(K$6/$X69)*$X$7&gt;K68*($X$7+$Z69)*$Y69,K68*($X$7+$Z69)-SUM($B70:J70),INT(K$6/$X69)*$X$7-K68*($X$7+$Z69)*($Y69-1)-SUM($B70:J70))+IF($Y69&gt;1,IF(INT(K$6/$X69)&gt;0,$Z69-$AA69,0),-$AA69)</f>
        <v>0</v>
      </c>
      <c r="L70" s="511" t="n">
        <f aca="false">IF(INT(L$6/$X69)*$X$7&gt;L68*($X$7+$Z69)*$Y69,L68*($X$7+$Z69)-SUM($B70:K70),INT(L$6/$X69)*$X$7-L68*($X$7+$Z69)*($Y69-1)-SUM($B70:K70))+IF($Y69&gt;1,IF(INT(L$6/$X69)&gt;0,$Z69-$AA69,0),-$AA69)</f>
        <v>0</v>
      </c>
      <c r="M70" s="511" t="n">
        <f aca="false">IF(INT(M$6/$X69)*$X$7&gt;M68*($X$7+$Z69)*$Y69,M68*($X$7+$Z69)-SUM($B70:L70),INT(M$6/$X69)*$X$7-M68*($X$7+$Z69)*($Y69-1)-SUM($B70:L70))+IF($Y69&gt;1,IF(INT(M$6/$X69)&gt;0,$Z69-$AA69,0),-$AA69)</f>
        <v>0</v>
      </c>
      <c r="N70" s="511" t="n">
        <f aca="false">IF(INT(N$6/$X69)*$X$7&gt;N68*($X$7+$Z69)*$Y69,N68*($X$7+$Z69)-SUM($B70:M70),INT(N$6/$X69)*$X$7-N68*($X$7+$Z69)*($Y69-1)-SUM($B70:M70))+IF($Y69&gt;1,IF(INT(N$6/$X69)&gt;0,$Z69-$AA69,0),-$AA69)</f>
        <v>0</v>
      </c>
      <c r="O70" s="511" t="n">
        <f aca="false">IF(INT(O$6/$X69)*$X$7&gt;O68*($X$7+$Z69)*$Y69,O68*($X$7+$Z69)-SUM($B70:N70),INT(O$6/$X69)*$X$7-O68*($X$7+$Z69)*($Y69-1)-SUM($B70:N70))+IF($Y69&gt;1,IF(INT(O$6/$X69)&gt;0,$Z69-$AA69,0),-$AA69)</f>
        <v>0</v>
      </c>
      <c r="P70" s="511" t="n">
        <f aca="false">IF(INT(P$6/$X69)*$X$7&gt;P68*($X$7+$Z69)*$Y69,P68*($X$7+$Z69)-SUM($B70:O70),INT(P$6/$X69)*$X$7-P68*($X$7+$Z69)*($Y69-1)-SUM($B70:O70))+IF($Y69&gt;1,IF(INT(P$6/$X69)&gt;0,$Z69-$AA69,0),-$AA69)</f>
        <v>0</v>
      </c>
      <c r="Q70" s="511" t="n">
        <f aca="false">IF(INT(Q$6/$X69)*$X$7&gt;Q68*($X$7+$Z69)*$Y69,Q68*($X$7+$Z69)-SUM($B70:P70),INT(Q$6/$X69)*$X$7-Q68*($X$7+$Z69)*($Y69-1)-SUM($B70:P70))+IF($Y69&gt;1,IF(INT(Q$6/$X69)&gt;0,$Z69-$AA69,0),-$AA69)</f>
        <v>0</v>
      </c>
      <c r="R70" s="511" t="n">
        <f aca="false">IF(INT(R$6/$X69)*$X$7&gt;R68*($X$7+$Z69)*$Y69,R68*($X$7+$Z69)-SUM($B70:Q70),INT(R$6/$X69)*$X$7-R68*($X$7+$Z69)*($Y69-1)-SUM($B70:Q70))+IF($Y69&gt;1,IF(INT(R$6/$X69)&gt;0,$Z69-$AA69,0),-$AA69)</f>
        <v>0</v>
      </c>
      <c r="S70" s="511" t="n">
        <f aca="false">IF(INT(S$6/$X69)*$X$7&gt;S68*($X$7+$Z69)*$Y69,S68*($X$7+$Z69)-SUM($B70:R70),INT(S$6/$X69)*$X$7-S68*($X$7+$Z69)*($Y69-1)-SUM($B70:R70))+IF($Y69&gt;1,IF(INT(S$6/$X69)&gt;0,$Z69-$AA69,0),-$AA69)</f>
        <v>0</v>
      </c>
      <c r="T70" s="511" t="n">
        <f aca="false">IF(INT(T$6/$X69)*$X$7&gt;T68*($X$7+$Z69)*$Y69,T68*($X$7+$Z69)-SUM($B70:S70),INT(T$6/$X69)*$X$7-T68*($X$7+$Z69)*($Y69-1)-SUM($B70:S70))+IF($Y69&gt;1,IF(INT(T$6/$X69)&gt;0,$Z69-$AA69,0),-$AA69)</f>
        <v>0</v>
      </c>
      <c r="U70" s="511" t="n">
        <f aca="false">IF(INT(U$6/$X69)*$X$7&gt;U68*($X$7+$Z69)*$Y69,U68*($X$7+$Z69)-SUM($B70:T70),INT(U$6/$X69)*$X$7-U68*($X$7+$Z69)*($Y69-1)-SUM($B70:T70))+IF($Y69&gt;1,IF(INT(U$6/$X69)&gt;0,$Z69-$AA69,0),-$AA69)</f>
        <v>0</v>
      </c>
      <c r="V70" s="511" t="n">
        <f aca="false">IF(INT(V$6/$X69)*$X$7&gt;V68*($X$7+$Z69)*$Y69,V68*($X$7+$Z69)-SUM($B70:U70),INT(V$6/$X69)*$X$7-V68*($X$7+$Z69)*($Y69-1)-SUM($B70:U70))+IF($Y69&gt;1,IF(INT(V$6/$X69)&gt;0,$Z69-$AA69,0),-$AA69)</f>
        <v>0</v>
      </c>
      <c r="W70" s="803"/>
      <c r="AA70" s="157"/>
      <c r="AB70" s="157"/>
    </row>
    <row r="71" customFormat="false" ht="12.75" hidden="false" customHeight="false" outlineLevel="0" collapsed="false">
      <c r="A71" s="157"/>
      <c r="B71" s="518"/>
      <c r="C71" s="518"/>
      <c r="D71" s="518"/>
      <c r="E71" s="518"/>
      <c r="F71" s="518"/>
      <c r="G71" s="518"/>
      <c r="H71" s="518"/>
      <c r="I71" s="518"/>
      <c r="J71" s="518"/>
      <c r="K71" s="518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785"/>
      <c r="X71" s="157"/>
      <c r="Y71" s="157"/>
      <c r="Z71" s="157"/>
      <c r="AA71" s="157"/>
      <c r="AB71" s="157"/>
    </row>
    <row r="72" customFormat="false" ht="12.75" hidden="true" customHeight="false" outlineLevel="0" collapsed="false">
      <c r="A72" s="153" t="s">
        <v>1395</v>
      </c>
      <c r="B72" s="511"/>
      <c r="C72" s="153" t="n">
        <f aca="false">INT((INT(C$6/$X73)*$X$7+$X$7+$Z73-1)/($X$7+$Z73)/$Y73)</f>
        <v>0</v>
      </c>
      <c r="D72" s="153" t="n">
        <f aca="false">INT((INT(D$6/$X73)*$X$7+$X$7+$Z73-1)/($X$7+$Z73)/$Y73)</f>
        <v>0</v>
      </c>
      <c r="E72" s="153" t="n">
        <f aca="false">INT((INT(E$6/$X73)*$X$7+$X$7+$Z73-1)/($X$7+$Z73)/$Y73)</f>
        <v>0</v>
      </c>
      <c r="F72" s="153" t="n">
        <f aca="false">INT((INT(F$6/$X73)*$X$7+$X$7+$Z73-1)/($X$7+$Z73)/$Y73)</f>
        <v>0</v>
      </c>
      <c r="G72" s="153" t="n">
        <f aca="false">INT((INT(G$6/$X73)*$X$7+$X$7+$Z73-1)/($X$7+$Z73)/$Y73)</f>
        <v>0</v>
      </c>
      <c r="H72" s="153" t="n">
        <f aca="false">INT((INT(H$6/$X73)*$X$7+$X$7+$Z73-1)/($X$7+$Z73)/$Y73)</f>
        <v>0</v>
      </c>
      <c r="I72" s="153" t="n">
        <f aca="false">INT((INT(I$6/$X73)*$X$7+$X$7+$Z73-1)/($X$7+$Z73)/$Y73)</f>
        <v>0</v>
      </c>
      <c r="J72" s="153" t="n">
        <f aca="false">INT((INT(J$6/$X73)*$X$7+$X$7+$Z73-1)/($X$7+$Z73)/$Y73)</f>
        <v>0</v>
      </c>
      <c r="K72" s="153" t="n">
        <f aca="false">INT((INT(K$6/$X73)*$X$7+$X$7+$Z73-1)/($X$7+$Z73)/$Y73)</f>
        <v>0</v>
      </c>
      <c r="L72" s="153" t="n">
        <f aca="false">INT((INT(L$6/$X73)*$X$7+$X$7+$Z73-1)/($X$7+$Z73)/$Y73)</f>
        <v>0</v>
      </c>
      <c r="M72" s="153" t="n">
        <f aca="false">INT((INT(M$6/$X73)*$X$7+$X$7+$Z73-1)/($X$7+$Z73)/$Y73)</f>
        <v>0</v>
      </c>
      <c r="N72" s="153" t="n">
        <f aca="false">INT((INT(N$6/$X73)*$X$7+$X$7+$Z73-1)/($X$7+$Z73)/$Y73)</f>
        <v>0</v>
      </c>
      <c r="O72" s="153" t="n">
        <f aca="false">INT((INT(O$6/$X73)*$X$7+$X$7+$Z73-1)/($X$7+$Z73)/$Y73)</f>
        <v>0</v>
      </c>
      <c r="P72" s="153" t="n">
        <f aca="false">INT((INT(P$6/$X73)*$X$7+$X$7+$Z73-1)/($X$7+$Z73)/$Y73)</f>
        <v>0</v>
      </c>
      <c r="Q72" s="153" t="n">
        <f aca="false">INT((INT(Q$6/$X73)*$X$7+$X$7+$Z73-1)/($X$7+$Z73)/$Y73)</f>
        <v>0</v>
      </c>
      <c r="R72" s="153" t="n">
        <f aca="false">INT((INT(R$6/$X73)*$X$7+$X$7+$Z73-1)/($X$7+$Z73)/$Y73)</f>
        <v>0</v>
      </c>
      <c r="S72" s="153" t="n">
        <f aca="false">INT((INT(S$6/$X73)*$X$7+$X$7+$Z73-1)/($X$7+$Z73)/$Y73)</f>
        <v>0</v>
      </c>
      <c r="T72" s="153" t="n">
        <f aca="false">INT((INT(T$6/$X73)*$X$7+$X$7+$Z73-1)/($X$7+$Z73)/$Y73)</f>
        <v>0</v>
      </c>
      <c r="U72" s="153" t="n">
        <f aca="false">INT((INT(U$6/$X73)*$X$7+$X$7+$Z73-1)/($X$7+$Z73)/$Y73)</f>
        <v>0</v>
      </c>
      <c r="V72" s="153" t="n">
        <f aca="false">INT((INT(V$6/$X73)*$X$7+$X$7+$Z73-1)/($X$7+$Z73)/$Y73)</f>
        <v>0</v>
      </c>
      <c r="W72" s="157"/>
      <c r="X72" s="157"/>
      <c r="Y72" s="157"/>
      <c r="Z72" s="157"/>
      <c r="AA72" s="157"/>
      <c r="AB72" s="157"/>
    </row>
    <row r="73" customFormat="false" ht="12.75" hidden="false" customHeight="false" outlineLevel="0" collapsed="false">
      <c r="A73" s="153" t="s">
        <v>1396</v>
      </c>
      <c r="B73" s="511" t="s">
        <v>1007</v>
      </c>
      <c r="C73" s="511" t="n">
        <f aca="false">IF($Y73=1,0,$X$7*(INT(C$6/$X73)-INT(B$6/$X73))-IF(SUM($B73:B73)&gt;0,C74,0))</f>
        <v>0</v>
      </c>
      <c r="D73" s="511" t="n">
        <f aca="false">IF($Y73=1,0,$X$7*(INT(D$6/$X73)-INT(C$6/$X73))-IF(SUM($B73:C73)&gt;0,D74,0))</f>
        <v>0</v>
      </c>
      <c r="E73" s="511" t="n">
        <f aca="false">IF($Y73=1,0,$X$7*(INT(E$6/$X73)-INT(D$6/$X73))-IF(SUM($B73:D73)&gt;0,E74,0))</f>
        <v>0</v>
      </c>
      <c r="F73" s="511" t="n">
        <f aca="false">IF($Y73=1,0,$X$7*(INT(F$6/$X73)-INT(E$6/$X73))-IF(SUM($B73:E73)&gt;0,F74,0))</f>
        <v>0</v>
      </c>
      <c r="G73" s="511" t="n">
        <f aca="false">IF($Y73=1,0,$X$7*(INT(G$6/$X73)-INT(F$6/$X73))-IF(SUM($B73:F73)&gt;0,G74,0))</f>
        <v>0</v>
      </c>
      <c r="H73" s="511" t="n">
        <f aca="false">IF($Y73=1,0,$X$7*(INT(H$6/$X73)-INT(G$6/$X73))-IF(SUM($B73:G73)&gt;0,H74,0))</f>
        <v>0</v>
      </c>
      <c r="I73" s="511" t="n">
        <f aca="false">IF($Y73=1,0,$X$7*(INT(I$6/$X73)-INT(H$6/$X73))-IF(SUM($B73:H73)&gt;0,I74,0))</f>
        <v>0</v>
      </c>
      <c r="J73" s="511" t="n">
        <f aca="false">IF($Y73=1,0,$X$7*(INT(J$6/$X73)-INT(I$6/$X73))-IF(SUM($B73:I73)&gt;0,J74,0))</f>
        <v>0</v>
      </c>
      <c r="K73" s="511" t="n">
        <f aca="false">IF($Y73=1,0,$X$7*(INT(K$6/$X73)-INT(J$6/$X73))-IF(SUM($B73:J73)&gt;0,K74,0))</f>
        <v>0</v>
      </c>
      <c r="L73" s="511" t="n">
        <f aca="false">IF($Y73=1,0,$X$7*(INT(L$6/$X73)-INT(K$6/$X73))-IF(SUM($B73:K73)&gt;0,L74,0))</f>
        <v>0</v>
      </c>
      <c r="M73" s="511" t="n">
        <f aca="false">IF($Y73=1,0,$X$7*(INT(M$6/$X73)-INT(L$6/$X73))-IF(SUM($B73:L73)&gt;0,M74,0))</f>
        <v>0</v>
      </c>
      <c r="N73" s="511" t="n">
        <f aca="false">IF($Y73=1,0,$X$7*(INT(N$6/$X73)-INT(M$6/$X73))-IF(SUM($B73:M73)&gt;0,N74,0))</f>
        <v>0</v>
      </c>
      <c r="O73" s="511" t="n">
        <f aca="false">IF($Y73=1,0,$X$7*(INT(O$6/$X73)-INT(N$6/$X73))-IF(SUM($B73:N73)&gt;0,O74,0))</f>
        <v>0</v>
      </c>
      <c r="P73" s="511" t="n">
        <f aca="false">IF($Y73=1,0,$X$7*(INT(P$6/$X73)-INT(O$6/$X73))-IF(SUM($B73:O73)&gt;0,P74,0))</f>
        <v>0</v>
      </c>
      <c r="Q73" s="511" t="n">
        <f aca="false">IF($Y73=1,0,$X$7*(INT(Q$6/$X73)-INT(P$6/$X73))-IF(SUM($B73:P73)&gt;0,Q74,0))</f>
        <v>0</v>
      </c>
      <c r="R73" s="511" t="n">
        <f aca="false">IF($Y73=1,0,$X$7*(INT(R$6/$X73)-INT(Q$6/$X73))-IF(SUM($B73:Q73)&gt;0,R74,0))</f>
        <v>0</v>
      </c>
      <c r="S73" s="511" t="n">
        <f aca="false">IF($Y73=1,0,$X$7*(INT(S$6/$X73)-INT(R$6/$X73))-IF(SUM($B73:R73)&gt;0,S74,0))</f>
        <v>0</v>
      </c>
      <c r="T73" s="511" t="n">
        <f aca="false">IF($Y73=1,0,$X$7*(INT(T$6/$X73)-INT(S$6/$X73))-IF(SUM($B73:S73)&gt;0,T74,0))</f>
        <v>0</v>
      </c>
      <c r="U73" s="511" t="n">
        <f aca="false">IF($Y73=1,0,$X$7*(INT(U$6/$X73)-INT(T$6/$X73))-IF(SUM($B73:T73)&gt;0,U74,0))</f>
        <v>0</v>
      </c>
      <c r="V73" s="511" t="n">
        <f aca="false">IF($Y73=1,0,$X$7*(INT(V$6/$X73)-INT(U$6/$X73))-IF(SUM($B73:U73)&gt;0,V74,0))</f>
        <v>0</v>
      </c>
      <c r="W73" s="808" t="str">
        <f aca="false">'GT schd cost(W501D5A)'!A28</f>
        <v>Row 2 ring segments</v>
      </c>
      <c r="X73" s="800" t="n">
        <f aca="false">IF($AD$6=1,'GTDB(W501D5A)'!B31,'GTDB(W501D5A)'!G31)</f>
        <v>24000</v>
      </c>
      <c r="Y73" s="800" t="n">
        <f aca="false">IF($AD$6=1,'GTDB(W501D5A)'!C31,'GTDB(W501D5A)'!H31)</f>
        <v>2</v>
      </c>
      <c r="Z73" s="801" t="n">
        <v>1</v>
      </c>
      <c r="AA73" s="805" t="n">
        <f aca="false">'Initial_Spares(W501D5A)'!$E$25</f>
        <v>0</v>
      </c>
      <c r="AB73" s="764" t="n">
        <f aca="false">'GT schd cost(W501D5A)'!X28+'GT schd cost(W501D5A)'!X54</f>
        <v>0</v>
      </c>
    </row>
    <row r="74" customFormat="false" ht="12.75" hidden="false" customHeight="false" outlineLevel="0" collapsed="false">
      <c r="A74" s="153" t="s">
        <v>1397</v>
      </c>
      <c r="B74" s="511" t="s">
        <v>1007</v>
      </c>
      <c r="C74" s="511" t="n">
        <f aca="false">IF(INT(C$6/$X73)*$X$7&gt;C72*($X$7+$Z73)*$Y73,C72*($X$7+$Z73)-SUM($B74:B74),INT(C$6/$X73)*$X$7-C72*($X$7+$Z73)*($Y73-1)-SUM($B74:B74))+IF($Y73&gt;1,IF(INT(C$6/$X73)&gt;0,$Z73-$AA73,0),-$AA73)</f>
        <v>0</v>
      </c>
      <c r="D74" s="511" t="n">
        <f aca="false">IF(INT(D$6/$X73)*$X$7&gt;D72*($X$7+$Z73)*$Y73,D72*($X$7+$Z73)-SUM($B74:C74),INT(D$6/$X73)*$X$7-D72*($X$7+$Z73)*($Y73-1)-SUM($B74:C74))+IF($Y73&gt;1,IF(INT(D$6/$X73)&gt;0,$Z73-$AA73,0),-$AA73)</f>
        <v>0</v>
      </c>
      <c r="E74" s="511" t="n">
        <f aca="false">IF(INT(E$6/$X73)*$X$7&gt;E72*($X$7+$Z73)*$Y73,E72*($X$7+$Z73)-SUM($B74:D74),INT(E$6/$X73)*$X$7-E72*($X$7+$Z73)*($Y73-1)-SUM($B74:D74))+IF($Y73&gt;1,IF(INT(E$6/$X73)&gt;0,$Z73-$AA73,0),-$AA73)</f>
        <v>0</v>
      </c>
      <c r="F74" s="511" t="n">
        <f aca="false">IF(INT(F$6/$X73)*$X$7&gt;F72*($X$7+$Z73)*$Y73,F72*($X$7+$Z73)-SUM($B74:E74),INT(F$6/$X73)*$X$7-F72*($X$7+$Z73)*($Y73-1)-SUM($B74:E74))+IF($Y73&gt;1,IF(INT(F$6/$X73)&gt;0,$Z73-$AA73,0),-$AA73)</f>
        <v>0</v>
      </c>
      <c r="G74" s="511" t="n">
        <f aca="false">IF(INT(G$6/$X73)*$X$7&gt;G72*($X$7+$Z73)*$Y73,G72*($X$7+$Z73)-SUM($B74:F74),INT(G$6/$X73)*$X$7-G72*($X$7+$Z73)*($Y73-1)-SUM($B74:F74))+IF($Y73&gt;1,IF(INT(G$6/$X73)&gt;0,$Z73-$AA73,0),-$AA73)</f>
        <v>0</v>
      </c>
      <c r="H74" s="511" t="n">
        <f aca="false">IF(INT(H$6/$X73)*$X$7&gt;H72*($X$7+$Z73)*$Y73,H72*($X$7+$Z73)-SUM($B74:G74),INT(H$6/$X73)*$X$7-H72*($X$7+$Z73)*($Y73-1)-SUM($B74:G74))+IF($Y73&gt;1,IF(INT(H$6/$X73)&gt;0,$Z73-$AA73,0),-$AA73)</f>
        <v>0</v>
      </c>
      <c r="I74" s="511" t="n">
        <f aca="false">IF(INT(I$6/$X73)*$X$7&gt;I72*($X$7+$Z73)*$Y73,I72*($X$7+$Z73)-SUM($B74:H74),INT(I$6/$X73)*$X$7-I72*($X$7+$Z73)*($Y73-1)-SUM($B74:H74))+IF($Y73&gt;1,IF(INT(I$6/$X73)&gt;0,$Z73-$AA73,0),-$AA73)</f>
        <v>0</v>
      </c>
      <c r="J74" s="511" t="n">
        <f aca="false">IF(INT(J$6/$X73)*$X$7&gt;J72*($X$7+$Z73)*$Y73,J72*($X$7+$Z73)-SUM($B74:I74),INT(J$6/$X73)*$X$7-J72*($X$7+$Z73)*($Y73-1)-SUM($B74:I74))+IF($Y73&gt;1,IF(INT(J$6/$X73)&gt;0,$Z73-$AA73,0),-$AA73)</f>
        <v>0</v>
      </c>
      <c r="K74" s="511" t="n">
        <f aca="false">IF(INT(K$6/$X73)*$X$7&gt;K72*($X$7+$Z73)*$Y73,K72*($X$7+$Z73)-SUM($B74:J74),INT(K$6/$X73)*$X$7-K72*($X$7+$Z73)*($Y73-1)-SUM($B74:J74))+IF($Y73&gt;1,IF(INT(K$6/$X73)&gt;0,$Z73-$AA73,0),-$AA73)</f>
        <v>0</v>
      </c>
      <c r="L74" s="511" t="n">
        <f aca="false">IF(INT(L$6/$X73)*$X$7&gt;L72*($X$7+$Z73)*$Y73,L72*($X$7+$Z73)-SUM($B74:K74),INT(L$6/$X73)*$X$7-L72*($X$7+$Z73)*($Y73-1)-SUM($B74:K74))+IF($Y73&gt;1,IF(INT(L$6/$X73)&gt;0,$Z73-$AA73,0),-$AA73)</f>
        <v>0</v>
      </c>
      <c r="M74" s="511" t="n">
        <f aca="false">IF(INT(M$6/$X73)*$X$7&gt;M72*($X$7+$Z73)*$Y73,M72*($X$7+$Z73)-SUM($B74:L74),INT(M$6/$X73)*$X$7-M72*($X$7+$Z73)*($Y73-1)-SUM($B74:L74))+IF($Y73&gt;1,IF(INT(M$6/$X73)&gt;0,$Z73-$AA73,0),-$AA73)</f>
        <v>0</v>
      </c>
      <c r="N74" s="511" t="n">
        <f aca="false">IF(INT(N$6/$X73)*$X$7&gt;N72*($X$7+$Z73)*$Y73,N72*($X$7+$Z73)-SUM($B74:M74),INT(N$6/$X73)*$X$7-N72*($X$7+$Z73)*($Y73-1)-SUM($B74:M74))+IF($Y73&gt;1,IF(INT(N$6/$X73)&gt;0,$Z73-$AA73,0),-$AA73)</f>
        <v>0</v>
      </c>
      <c r="O74" s="511" t="n">
        <f aca="false">IF(INT(O$6/$X73)*$X$7&gt;O72*($X$7+$Z73)*$Y73,O72*($X$7+$Z73)-SUM($B74:N74),INT(O$6/$X73)*$X$7-O72*($X$7+$Z73)*($Y73-1)-SUM($B74:N74))+IF($Y73&gt;1,IF(INT(O$6/$X73)&gt;0,$Z73-$AA73,0),-$AA73)</f>
        <v>0</v>
      </c>
      <c r="P74" s="511" t="n">
        <f aca="false">IF(INT(P$6/$X73)*$X$7&gt;P72*($X$7+$Z73)*$Y73,P72*($X$7+$Z73)-SUM($B74:O74),INT(P$6/$X73)*$X$7-P72*($X$7+$Z73)*($Y73-1)-SUM($B74:O74))+IF($Y73&gt;1,IF(INT(P$6/$X73)&gt;0,$Z73-$AA73,0),-$AA73)</f>
        <v>0</v>
      </c>
      <c r="Q74" s="511" t="n">
        <f aca="false">IF(INT(Q$6/$X73)*$X$7&gt;Q72*($X$7+$Z73)*$Y73,Q72*($X$7+$Z73)-SUM($B74:P74),INT(Q$6/$X73)*$X$7-Q72*($X$7+$Z73)*($Y73-1)-SUM($B74:P74))+IF($Y73&gt;1,IF(INT(Q$6/$X73)&gt;0,$Z73-$AA73,0),-$AA73)</f>
        <v>0</v>
      </c>
      <c r="R74" s="511" t="n">
        <f aca="false">IF(INT(R$6/$X73)*$X$7&gt;R72*($X$7+$Z73)*$Y73,R72*($X$7+$Z73)-SUM($B74:Q74),INT(R$6/$X73)*$X$7-R72*($X$7+$Z73)*($Y73-1)-SUM($B74:Q74))+IF($Y73&gt;1,IF(INT(R$6/$X73)&gt;0,$Z73-$AA73,0),-$AA73)</f>
        <v>0</v>
      </c>
      <c r="S74" s="511" t="n">
        <f aca="false">IF(INT(S$6/$X73)*$X$7&gt;S72*($X$7+$Z73)*$Y73,S72*($X$7+$Z73)-SUM($B74:R74),INT(S$6/$X73)*$X$7-S72*($X$7+$Z73)*($Y73-1)-SUM($B74:R74))+IF($Y73&gt;1,IF(INT(S$6/$X73)&gt;0,$Z73-$AA73,0),-$AA73)</f>
        <v>0</v>
      </c>
      <c r="T74" s="511" t="n">
        <f aca="false">IF(INT(T$6/$X73)*$X$7&gt;T72*($X$7+$Z73)*$Y73,T72*($X$7+$Z73)-SUM($B74:S74),INT(T$6/$X73)*$X$7-T72*($X$7+$Z73)*($Y73-1)-SUM($B74:S74))+IF($Y73&gt;1,IF(INT(T$6/$X73)&gt;0,$Z73-$AA73,0),-$AA73)</f>
        <v>0</v>
      </c>
      <c r="U74" s="511" t="n">
        <f aca="false">IF(INT(U$6/$X73)*$X$7&gt;U72*($X$7+$Z73)*$Y73,U72*($X$7+$Z73)-SUM($B74:T74),INT(U$6/$X73)*$X$7-U72*($X$7+$Z73)*($Y73-1)-SUM($B74:T74))+IF($Y73&gt;1,IF(INT(U$6/$X73)&gt;0,$Z73-$AA73,0),-$AA73)</f>
        <v>0</v>
      </c>
      <c r="V74" s="511" t="n">
        <f aca="false">IF(INT(V$6/$X73)*$X$7&gt;V72*($X$7+$Z73)*$Y73,V72*($X$7+$Z73)-SUM($B74:U74),INT(V$6/$X73)*$X$7-V72*($X$7+$Z73)*($Y73-1)-SUM($B74:U74))+IF($Y73&gt;1,IF(INT(V$6/$X73)&gt;0,$Z73-$AA73,0),-$AA73)</f>
        <v>0</v>
      </c>
      <c r="W74" s="803"/>
      <c r="AA74" s="157"/>
      <c r="AB74" s="157"/>
    </row>
    <row r="75" customFormat="false" ht="12.75" hidden="false" customHeight="false" outlineLevel="0" collapsed="false">
      <c r="A75" s="157"/>
      <c r="B75" s="518"/>
      <c r="C75" s="518"/>
      <c r="D75" s="518"/>
      <c r="E75" s="518"/>
      <c r="F75" s="518"/>
      <c r="G75" s="518"/>
      <c r="H75" s="518"/>
      <c r="I75" s="157"/>
      <c r="J75" s="518"/>
      <c r="K75" s="518"/>
      <c r="L75" s="518"/>
      <c r="M75" s="518"/>
      <c r="N75" s="157"/>
      <c r="O75" s="157"/>
      <c r="P75" s="157"/>
      <c r="Q75" s="157"/>
      <c r="R75" s="157"/>
      <c r="S75" s="157"/>
      <c r="T75" s="157"/>
      <c r="U75" s="157"/>
      <c r="V75" s="157"/>
      <c r="W75" s="785"/>
      <c r="X75" s="157"/>
      <c r="Y75" s="157"/>
      <c r="Z75" s="157"/>
      <c r="AA75" s="157"/>
      <c r="AB75" s="157"/>
    </row>
    <row r="76" customFormat="false" ht="12.75" hidden="true" customHeight="false" outlineLevel="0" collapsed="false">
      <c r="A76" s="153" t="s">
        <v>1395</v>
      </c>
      <c r="B76" s="511"/>
      <c r="C76" s="153" t="n">
        <f aca="false">INT((INT(C$6/$X77)*$X$7+$X$7+$Z77-1)/($X$7+$Z77)/$Y77)</f>
        <v>0</v>
      </c>
      <c r="D76" s="153" t="n">
        <f aca="false">INT((INT(D$6/$X77)*$X$7+$X$7+$Z77-1)/($X$7+$Z77)/$Y77)</f>
        <v>0</v>
      </c>
      <c r="E76" s="153" t="n">
        <f aca="false">INT((INT(E$6/$X77)*$X$7+$X$7+$Z77-1)/($X$7+$Z77)/$Y77)</f>
        <v>0</v>
      </c>
      <c r="F76" s="153" t="n">
        <f aca="false">INT((INT(F$6/$X77)*$X$7+$X$7+$Z77-1)/($X$7+$Z77)/$Y77)</f>
        <v>0</v>
      </c>
      <c r="G76" s="153" t="n">
        <f aca="false">INT((INT(G$6/$X77)*$X$7+$X$7+$Z77-1)/($X$7+$Z77)/$Y77)</f>
        <v>0</v>
      </c>
      <c r="H76" s="153" t="n">
        <f aca="false">INT((INT(H$6/$X77)*$X$7+$X$7+$Z77-1)/($X$7+$Z77)/$Y77)</f>
        <v>0</v>
      </c>
      <c r="I76" s="153" t="n">
        <f aca="false">INT((INT(I$6/$X77)*$X$7+$X$7+$Z77-1)/($X$7+$Z77)/$Y77)</f>
        <v>0</v>
      </c>
      <c r="J76" s="153" t="n">
        <f aca="false">INT((INT(J$6/$X77)*$X$7+$X$7+$Z77-1)/($X$7+$Z77)/$Y77)</f>
        <v>0</v>
      </c>
      <c r="K76" s="153" t="n">
        <f aca="false">INT((INT(K$6/$X77)*$X$7+$X$7+$Z77-1)/($X$7+$Z77)/$Y77)</f>
        <v>0</v>
      </c>
      <c r="L76" s="153" t="n">
        <f aca="false">INT((INT(L$6/$X77)*$X$7+$X$7+$Z77-1)/($X$7+$Z77)/$Y77)</f>
        <v>0</v>
      </c>
      <c r="M76" s="153" t="n">
        <f aca="false">INT((INT(M$6/$X77)*$X$7+$X$7+$Z77-1)/($X$7+$Z77)/$Y77)</f>
        <v>0</v>
      </c>
      <c r="N76" s="153" t="n">
        <f aca="false">INT((INT(N$6/$X77)*$X$7+$X$7+$Z77-1)/($X$7+$Z77)/$Y77)</f>
        <v>0</v>
      </c>
      <c r="O76" s="153" t="n">
        <f aca="false">INT((INT(O$6/$X77)*$X$7+$X$7+$Z77-1)/($X$7+$Z77)/$Y77)</f>
        <v>0</v>
      </c>
      <c r="P76" s="153" t="n">
        <f aca="false">INT((INT(P$6/$X77)*$X$7+$X$7+$Z77-1)/($X$7+$Z77)/$Y77)</f>
        <v>0</v>
      </c>
      <c r="Q76" s="153" t="n">
        <f aca="false">INT((INT(Q$6/$X77)*$X$7+$X$7+$Z77-1)/($X$7+$Z77)/$Y77)</f>
        <v>0</v>
      </c>
      <c r="R76" s="153" t="n">
        <f aca="false">INT((INT(R$6/$X77)*$X$7+$X$7+$Z77-1)/($X$7+$Z77)/$Y77)</f>
        <v>0</v>
      </c>
      <c r="S76" s="153" t="n">
        <f aca="false">INT((INT(S$6/$X77)*$X$7+$X$7+$Z77-1)/($X$7+$Z77)/$Y77)</f>
        <v>0</v>
      </c>
      <c r="T76" s="153" t="n">
        <f aca="false">INT((INT(T$6/$X77)*$X$7+$X$7+$Z77-1)/($X$7+$Z77)/$Y77)</f>
        <v>0</v>
      </c>
      <c r="U76" s="153" t="n">
        <f aca="false">INT((INT(U$6/$X77)*$X$7+$X$7+$Z77-1)/($X$7+$Z77)/$Y77)</f>
        <v>0</v>
      </c>
      <c r="V76" s="153" t="n">
        <f aca="false">INT((INT(V$6/$X77)*$X$7+$X$7+$Z77-1)/($X$7+$Z77)/$Y77)</f>
        <v>0</v>
      </c>
      <c r="W76" s="157"/>
      <c r="X76" s="157"/>
      <c r="Y76" s="157"/>
      <c r="Z76" s="157"/>
      <c r="AA76" s="157"/>
      <c r="AB76" s="157"/>
    </row>
    <row r="77" customFormat="false" ht="12.75" hidden="false" customHeight="false" outlineLevel="0" collapsed="false">
      <c r="A77" s="153" t="s">
        <v>1396</v>
      </c>
      <c r="B77" s="511" t="s">
        <v>1007</v>
      </c>
      <c r="C77" s="511" t="n">
        <f aca="false">IF($Y77=1,0,$X$7*(INT(C$6/$X77)-INT(B$6/$X77))-IF(SUM($B77:B77)&gt;0,C78,0))</f>
        <v>0</v>
      </c>
      <c r="D77" s="511" t="n">
        <f aca="false">IF($Y77=1,0,$X$7*(INT(D$6/$X77)-INT(C$6/$X77))-IF(SUM($B77:C77)&gt;0,D78,0))</f>
        <v>0</v>
      </c>
      <c r="E77" s="511" t="n">
        <f aca="false">IF($Y77=1,0,$X$7*(INT(E$6/$X77)-INT(D$6/$X77))-IF(SUM($B77:D77)&gt;0,E78,0))</f>
        <v>0</v>
      </c>
      <c r="F77" s="511" t="n">
        <f aca="false">IF($Y77=1,0,$X$7*(INT(F$6/$X77)-INT(E$6/$X77))-IF(SUM($B77:E77)&gt;0,F78,0))</f>
        <v>0</v>
      </c>
      <c r="G77" s="511" t="n">
        <f aca="false">IF($Y77=1,0,$X$7*(INT(G$6/$X77)-INT(F$6/$X77))-IF(SUM($B77:F77)&gt;0,G78,0))</f>
        <v>0</v>
      </c>
      <c r="H77" s="511" t="n">
        <f aca="false">IF($Y77=1,0,$X$7*(INT(H$6/$X77)-INT(G$6/$X77))-IF(SUM($B77:G77)&gt;0,H78,0))</f>
        <v>0</v>
      </c>
      <c r="I77" s="511" t="n">
        <f aca="false">IF($Y77=1,0,$X$7*(INT(I$6/$X77)-INT(H$6/$X77))-IF(SUM($B77:H77)&gt;0,I78,0))</f>
        <v>0</v>
      </c>
      <c r="J77" s="511" t="n">
        <f aca="false">IF($Y77=1,0,$X$7*(INT(J$6/$X77)-INT(I$6/$X77))-IF(SUM($B77:I77)&gt;0,J78,0))</f>
        <v>0</v>
      </c>
      <c r="K77" s="511" t="n">
        <f aca="false">IF($Y77=1,0,$X$7*(INT(K$6/$X77)-INT(J$6/$X77))-IF(SUM($B77:J77)&gt;0,K78,0))</f>
        <v>0</v>
      </c>
      <c r="L77" s="511" t="n">
        <f aca="false">IF($Y77=1,0,$X$7*(INT(L$6/$X77)-INT(K$6/$X77))-IF(SUM($B77:K77)&gt;0,L78,0))</f>
        <v>0</v>
      </c>
      <c r="M77" s="511" t="n">
        <f aca="false">IF($Y77=1,0,$X$7*(INT(M$6/$X77)-INT(L$6/$X77))-IF(SUM($B77:L77)&gt;0,M78,0))</f>
        <v>0</v>
      </c>
      <c r="N77" s="511" t="n">
        <f aca="false">IF($Y77=1,0,$X$7*(INT(N$6/$X77)-INT(M$6/$X77))-IF(SUM($B77:M77)&gt;0,N78,0))</f>
        <v>0</v>
      </c>
      <c r="O77" s="511" t="n">
        <f aca="false">IF($Y77=1,0,$X$7*(INT(O$6/$X77)-INT(N$6/$X77))-IF(SUM($B77:N77)&gt;0,O78,0))</f>
        <v>0</v>
      </c>
      <c r="P77" s="511" t="n">
        <f aca="false">IF($Y77=1,0,$X$7*(INT(P$6/$X77)-INT(O$6/$X77))-IF(SUM($B77:O77)&gt;0,P78,0))</f>
        <v>0</v>
      </c>
      <c r="Q77" s="511" t="n">
        <f aca="false">IF($Y77=1,0,$X$7*(INT(Q$6/$X77)-INT(P$6/$X77))-IF(SUM($B77:P77)&gt;0,Q78,0))</f>
        <v>0</v>
      </c>
      <c r="R77" s="511" t="n">
        <f aca="false">IF($Y77=1,0,$X$7*(INT(R$6/$X77)-INT(Q$6/$X77))-IF(SUM($B77:Q77)&gt;0,R78,0))</f>
        <v>0</v>
      </c>
      <c r="S77" s="511" t="n">
        <f aca="false">IF($Y77=1,0,$X$7*(INT(S$6/$X77)-INT(R$6/$X77))-IF(SUM($B77:R77)&gt;0,S78,0))</f>
        <v>0</v>
      </c>
      <c r="T77" s="511" t="n">
        <f aca="false">IF($Y77=1,0,$X$7*(INT(T$6/$X77)-INT(S$6/$X77))-IF(SUM($B77:S77)&gt;0,T78,0))</f>
        <v>0</v>
      </c>
      <c r="U77" s="511" t="n">
        <f aca="false">IF($Y77=1,0,$X$7*(INT(U$6/$X77)-INT(T$6/$X77))-IF(SUM($B77:T77)&gt;0,U78,0))</f>
        <v>0</v>
      </c>
      <c r="V77" s="511" t="n">
        <f aca="false">IF($Y77=1,0,$X$7*(INT(V$6/$X77)-INT(U$6/$X77))-IF(SUM($B77:U77)&gt;0,V78,0))</f>
        <v>0</v>
      </c>
      <c r="W77" s="808" t="str">
        <f aca="false">'GT schd cost(W501D5A)'!A29</f>
        <v>Row 3 rings segments</v>
      </c>
      <c r="X77" s="800" t="n">
        <f aca="false">IF($AD$6=1,'GTDB(W501D5A)'!B32,'GTDB(W501D5A)'!G32)</f>
        <v>48000</v>
      </c>
      <c r="Y77" s="800" t="n">
        <f aca="false">IF($AD$6=1,'GTDB(W501D5A)'!C32,'GTDB(W501D5A)'!H32)</f>
        <v>1.5</v>
      </c>
      <c r="Z77" s="801" t="n">
        <v>1</v>
      </c>
      <c r="AA77" s="805" t="n">
        <f aca="false">'Initial_Spares(W501D5A)'!$E$26</f>
        <v>0</v>
      </c>
      <c r="AB77" s="764" t="n">
        <f aca="false">'GT schd cost(W501D5A)'!X29+'GT schd cost(W501D5A)'!X55</f>
        <v>0</v>
      </c>
    </row>
    <row r="78" customFormat="false" ht="12.75" hidden="false" customHeight="false" outlineLevel="0" collapsed="false">
      <c r="A78" s="153" t="s">
        <v>1397</v>
      </c>
      <c r="B78" s="511" t="s">
        <v>1007</v>
      </c>
      <c r="C78" s="511" t="n">
        <f aca="false">IF(INT(C$6/$X77)*$X$7&gt;C76*($X$7+$Z77)*$Y77,C76*($X$7+$Z77)-SUM($B78:B78),INT(C$6/$X77)*$X$7-C76*($X$7+$Z77)*($Y77-1)-SUM($B78:B78))+IF($Y77&gt;1,IF(INT(C$6/$X77)&gt;0,$Z77-$AA77,0),-$AA77)</f>
        <v>0</v>
      </c>
      <c r="D78" s="511" t="n">
        <f aca="false">IF(INT(D$6/$X77)*$X$7&gt;D76*($X$7+$Z77)*$Y77,D76*($X$7+$Z77)-SUM($B78:C78),INT(D$6/$X77)*$X$7-D76*($X$7+$Z77)*($Y77-1)-SUM($B78:C78))+IF($Y77&gt;1,IF(INT(D$6/$X77)&gt;0,$Z77-$AA77,0),-$AA77)</f>
        <v>0</v>
      </c>
      <c r="E78" s="511" t="n">
        <f aca="false">IF(INT(E$6/$X77)*$X$7&gt;E76*($X$7+$Z77)*$Y77,E76*($X$7+$Z77)-SUM($B78:D78),INT(E$6/$X77)*$X$7-E76*($X$7+$Z77)*($Y77-1)-SUM($B78:D78))+IF($Y77&gt;1,IF(INT(E$6/$X77)&gt;0,$Z77-$AA77,0),-$AA77)</f>
        <v>0</v>
      </c>
      <c r="F78" s="511" t="n">
        <f aca="false">IF(INT(F$6/$X77)*$X$7&gt;F76*($X$7+$Z77)*$Y77,F76*($X$7+$Z77)-SUM($B78:E78),INT(F$6/$X77)*$X$7-F76*($X$7+$Z77)*($Y77-1)-SUM($B78:E78))+IF($Y77&gt;1,IF(INT(F$6/$X77)&gt;0,$Z77-$AA77,0),-$AA77)</f>
        <v>0</v>
      </c>
      <c r="G78" s="511" t="n">
        <f aca="false">IF(INT(G$6/$X77)*$X$7&gt;G76*($X$7+$Z77)*$Y77,G76*($X$7+$Z77)-SUM($B78:F78),INT(G$6/$X77)*$X$7-G76*($X$7+$Z77)*($Y77-1)-SUM($B78:F78))+IF($Y77&gt;1,IF(INT(G$6/$X77)&gt;0,$Z77-$AA77,0),-$AA77)</f>
        <v>0</v>
      </c>
      <c r="H78" s="511" t="n">
        <f aca="false">IF(INT(H$6/$X77)*$X$7&gt;H76*($X$7+$Z77)*$Y77,H76*($X$7+$Z77)-SUM($B78:G78),INT(H$6/$X77)*$X$7-H76*($X$7+$Z77)*($Y77-1)-SUM($B78:G78))+IF($Y77&gt;1,IF(INT(H$6/$X77)&gt;0,$Z77-$AA77,0),-$AA77)</f>
        <v>0</v>
      </c>
      <c r="I78" s="511" t="n">
        <f aca="false">IF(INT(I$6/$X77)*$X$7&gt;I76*($X$7+$Z77)*$Y77,I76*($X$7+$Z77)-SUM($B78:H78),INT(I$6/$X77)*$X$7-I76*($X$7+$Z77)*($Y77-1)-SUM($B78:H78))+IF($Y77&gt;1,IF(INT(I$6/$X77)&gt;0,$Z77-$AA77,0),-$AA77)</f>
        <v>0</v>
      </c>
      <c r="J78" s="511" t="n">
        <f aca="false">IF(INT(J$6/$X77)*$X$7&gt;J76*($X$7+$Z77)*$Y77,J76*($X$7+$Z77)-SUM($B78:I78),INT(J$6/$X77)*$X$7-J76*($X$7+$Z77)*($Y77-1)-SUM($B78:I78))+IF($Y77&gt;1,IF(INT(J$6/$X77)&gt;0,$Z77-$AA77,0),-$AA77)</f>
        <v>0</v>
      </c>
      <c r="K78" s="511" t="n">
        <f aca="false">IF(INT(K$6/$X77)*$X$7&gt;K76*($X$7+$Z77)*$Y77,K76*($X$7+$Z77)-SUM($B78:J78),INT(K$6/$X77)*$X$7-K76*($X$7+$Z77)*($Y77-1)-SUM($B78:J78))+IF($Y77&gt;1,IF(INT(K$6/$X77)&gt;0,$Z77-$AA77,0),-$AA77)</f>
        <v>0</v>
      </c>
      <c r="L78" s="511" t="n">
        <f aca="false">IF(INT(L$6/$X77)*$X$7&gt;L76*($X$7+$Z77)*$Y77,L76*($X$7+$Z77)-SUM($B78:K78),INT(L$6/$X77)*$X$7-L76*($X$7+$Z77)*($Y77-1)-SUM($B78:K78))+IF($Y77&gt;1,IF(INT(L$6/$X77)&gt;0,$Z77-$AA77,0),-$AA77)</f>
        <v>0</v>
      </c>
      <c r="M78" s="511" t="n">
        <f aca="false">IF(INT(M$6/$X77)*$X$7&gt;M76*($X$7+$Z77)*$Y77,M76*($X$7+$Z77)-SUM($B78:L78),INT(M$6/$X77)*$X$7-M76*($X$7+$Z77)*($Y77-1)-SUM($B78:L78))+IF($Y77&gt;1,IF(INT(M$6/$X77)&gt;0,$Z77-$AA77,0),-$AA77)</f>
        <v>0</v>
      </c>
      <c r="N78" s="511" t="n">
        <f aca="false">IF(INT(N$6/$X77)*$X$7&gt;N76*($X$7+$Z77)*$Y77,N76*($X$7+$Z77)-SUM($B78:M78),INT(N$6/$X77)*$X$7-N76*($X$7+$Z77)*($Y77-1)-SUM($B78:M78))+IF($Y77&gt;1,IF(INT(N$6/$X77)&gt;0,$Z77-$AA77,0),-$AA77)</f>
        <v>0</v>
      </c>
      <c r="O78" s="511" t="n">
        <f aca="false">IF(INT(O$6/$X77)*$X$7&gt;O76*($X$7+$Z77)*$Y77,O76*($X$7+$Z77)-SUM($B78:N78),INT(O$6/$X77)*$X$7-O76*($X$7+$Z77)*($Y77-1)-SUM($B78:N78))+IF($Y77&gt;1,IF(INT(O$6/$X77)&gt;0,$Z77-$AA77,0),-$AA77)</f>
        <v>0</v>
      </c>
      <c r="P78" s="511" t="n">
        <f aca="false">IF(INT(P$6/$X77)*$X$7&gt;P76*($X$7+$Z77)*$Y77,P76*($X$7+$Z77)-SUM($B78:O78),INT(P$6/$X77)*$X$7-P76*($X$7+$Z77)*($Y77-1)-SUM($B78:O78))+IF($Y77&gt;1,IF(INT(P$6/$X77)&gt;0,$Z77-$AA77,0),-$AA77)</f>
        <v>0</v>
      </c>
      <c r="Q78" s="511" t="n">
        <f aca="false">IF(INT(Q$6/$X77)*$X$7&gt;Q76*($X$7+$Z77)*$Y77,Q76*($X$7+$Z77)-SUM($B78:P78),INT(Q$6/$X77)*$X$7-Q76*($X$7+$Z77)*($Y77-1)-SUM($B78:P78))+IF($Y77&gt;1,IF(INT(Q$6/$X77)&gt;0,$Z77-$AA77,0),-$AA77)</f>
        <v>0</v>
      </c>
      <c r="R78" s="511" t="n">
        <f aca="false">IF(INT(R$6/$X77)*$X$7&gt;R76*($X$7+$Z77)*$Y77,R76*($X$7+$Z77)-SUM($B78:Q78),INT(R$6/$X77)*$X$7-R76*($X$7+$Z77)*($Y77-1)-SUM($B78:Q78))+IF($Y77&gt;1,IF(INT(R$6/$X77)&gt;0,$Z77-$AA77,0),-$AA77)</f>
        <v>0</v>
      </c>
      <c r="S78" s="511" t="n">
        <f aca="false">IF(INT(S$6/$X77)*$X$7&gt;S76*($X$7+$Z77)*$Y77,S76*($X$7+$Z77)-SUM($B78:R78),INT(S$6/$X77)*$X$7-S76*($X$7+$Z77)*($Y77-1)-SUM($B78:R78))+IF($Y77&gt;1,IF(INT(S$6/$X77)&gt;0,$Z77-$AA77,0),-$AA77)</f>
        <v>0</v>
      </c>
      <c r="T78" s="511" t="n">
        <f aca="false">IF(INT(T$6/$X77)*$X$7&gt;T76*($X$7+$Z77)*$Y77,T76*($X$7+$Z77)-SUM($B78:S78),INT(T$6/$X77)*$X$7-T76*($X$7+$Z77)*($Y77-1)-SUM($B78:S78))+IF($Y77&gt;1,IF(INT(T$6/$X77)&gt;0,$Z77-$AA77,0),-$AA77)</f>
        <v>0</v>
      </c>
      <c r="U78" s="511" t="n">
        <f aca="false">IF(INT(U$6/$X77)*$X$7&gt;U76*($X$7+$Z77)*$Y77,U76*($X$7+$Z77)-SUM($B78:T78),INT(U$6/$X77)*$X$7-U76*($X$7+$Z77)*($Y77-1)-SUM($B78:T78))+IF($Y77&gt;1,IF(INT(U$6/$X77)&gt;0,$Z77-$AA77,0),-$AA77)</f>
        <v>0</v>
      </c>
      <c r="V78" s="511" t="n">
        <f aca="false">IF(INT(V$6/$X77)*$X$7&gt;V76*($X$7+$Z77)*$Y77,V76*($X$7+$Z77)-SUM($B78:U78),INT(V$6/$X77)*$X$7-V76*($X$7+$Z77)*($Y77-1)-SUM($B78:U78))+IF($Y77&gt;1,IF(INT(V$6/$X77)&gt;0,$Z77-$AA77,0),-$AA77)</f>
        <v>0</v>
      </c>
      <c r="W78" s="803"/>
      <c r="AA78" s="157"/>
      <c r="AB78" s="157"/>
    </row>
    <row r="79" customFormat="false" ht="12.75" hidden="false" customHeight="false" outlineLevel="0" collapsed="false">
      <c r="A79" s="157"/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785"/>
      <c r="X79" s="157"/>
      <c r="Y79" s="157"/>
      <c r="Z79" s="157"/>
      <c r="AA79" s="157"/>
      <c r="AB79" s="157"/>
    </row>
    <row r="80" customFormat="false" ht="12.75" hidden="true" customHeight="false" outlineLevel="0" collapsed="false">
      <c r="A80" s="153" t="s">
        <v>1395</v>
      </c>
      <c r="B80" s="511"/>
      <c r="C80" s="153" t="n">
        <f aca="false">INT((INT(C$6/$X81)*$X$7+$X$7+$Z81-1)/($X$7+$Z81)/$Y81)</f>
        <v>0</v>
      </c>
      <c r="D80" s="153" t="n">
        <f aca="false">INT((INT(D$6/$X81)*$X$7+$X$7+$Z81-1)/($X$7+$Z81)/$Y81)</f>
        <v>0</v>
      </c>
      <c r="E80" s="153" t="n">
        <f aca="false">INT((INT(E$6/$X81)*$X$7+$X$7+$Z81-1)/($X$7+$Z81)/$Y81)</f>
        <v>0</v>
      </c>
      <c r="F80" s="153" t="n">
        <f aca="false">INT((INT(F$6/$X81)*$X$7+$X$7+$Z81-1)/($X$7+$Z81)/$Y81)</f>
        <v>0</v>
      </c>
      <c r="G80" s="153" t="n">
        <f aca="false">INT((INT(G$6/$X81)*$X$7+$X$7+$Z81-1)/($X$7+$Z81)/$Y81)</f>
        <v>0</v>
      </c>
      <c r="H80" s="153" t="n">
        <f aca="false">INT((INT(H$6/$X81)*$X$7+$X$7+$Z81-1)/($X$7+$Z81)/$Y81)</f>
        <v>0</v>
      </c>
      <c r="I80" s="153" t="n">
        <f aca="false">INT((INT(I$6/$X81)*$X$7+$X$7+$Z81-1)/($X$7+$Z81)/$Y81)</f>
        <v>0</v>
      </c>
      <c r="J80" s="153" t="n">
        <f aca="false">INT((INT(J$6/$X81)*$X$7+$X$7+$Z81-1)/($X$7+$Z81)/$Y81)</f>
        <v>0</v>
      </c>
      <c r="K80" s="153" t="n">
        <f aca="false">INT((INT(K$6/$X81)*$X$7+$X$7+$Z81-1)/($X$7+$Z81)/$Y81)</f>
        <v>0</v>
      </c>
      <c r="L80" s="153" t="n">
        <f aca="false">INT((INT(L$6/$X81)*$X$7+$X$7+$Z81-1)/($X$7+$Z81)/$Y81)</f>
        <v>0</v>
      </c>
      <c r="M80" s="153" t="n">
        <f aca="false">INT((INT(M$6/$X81)*$X$7+$X$7+$Z81-1)/($X$7+$Z81)/$Y81)</f>
        <v>0</v>
      </c>
      <c r="N80" s="153" t="n">
        <f aca="false">INT((INT(N$6/$X81)*$X$7+$X$7+$Z81-1)/($X$7+$Z81)/$Y81)</f>
        <v>0</v>
      </c>
      <c r="O80" s="153" t="n">
        <f aca="false">INT((INT(O$6/$X81)*$X$7+$X$7+$Z81-1)/($X$7+$Z81)/$Y81)</f>
        <v>0</v>
      </c>
      <c r="P80" s="153" t="n">
        <f aca="false">INT((INT(P$6/$X81)*$X$7+$X$7+$Z81-1)/($X$7+$Z81)/$Y81)</f>
        <v>0</v>
      </c>
      <c r="Q80" s="153" t="n">
        <f aca="false">INT((INT(Q$6/$X81)*$X$7+$X$7+$Z81-1)/($X$7+$Z81)/$Y81)</f>
        <v>0</v>
      </c>
      <c r="R80" s="153" t="n">
        <f aca="false">INT((INT(R$6/$X81)*$X$7+$X$7+$Z81-1)/($X$7+$Z81)/$Y81)</f>
        <v>0</v>
      </c>
      <c r="S80" s="153" t="n">
        <f aca="false">INT((INT(S$6/$X81)*$X$7+$X$7+$Z81-1)/($X$7+$Z81)/$Y81)</f>
        <v>0</v>
      </c>
      <c r="T80" s="153" t="n">
        <f aca="false">INT((INT(T$6/$X81)*$X$7+$X$7+$Z81-1)/($X$7+$Z81)/$Y81)</f>
        <v>0</v>
      </c>
      <c r="U80" s="153" t="n">
        <f aca="false">INT((INT(U$6/$X81)*$X$7+$X$7+$Z81-1)/($X$7+$Z81)/$Y81)</f>
        <v>0</v>
      </c>
      <c r="V80" s="153" t="n">
        <f aca="false">INT((INT(V$6/$X81)*$X$7+$X$7+$Z81-1)/($X$7+$Z81)/$Y81)</f>
        <v>0</v>
      </c>
      <c r="W80" s="157"/>
      <c r="X80" s="157"/>
      <c r="Y80" s="157"/>
      <c r="Z80" s="157"/>
      <c r="AA80" s="157"/>
      <c r="AB80" s="157"/>
    </row>
    <row r="81" customFormat="false" ht="12.75" hidden="false" customHeight="false" outlineLevel="0" collapsed="false">
      <c r="A81" s="153" t="s">
        <v>1396</v>
      </c>
      <c r="B81" s="511" t="s">
        <v>1007</v>
      </c>
      <c r="C81" s="511" t="n">
        <f aca="false">IF($Y81=1,0,$X$7*(INT(C$6/$X81)-INT(B$6/$X81))-IF(SUM($B81:B81)&gt;0,C82,0))</f>
        <v>0</v>
      </c>
      <c r="D81" s="511" t="n">
        <f aca="false">IF($Y81=1,0,$X$7*(INT(D$6/$X81)-INT(C$6/$X81))-IF(SUM($B81:C81)&gt;0,D82,0))</f>
        <v>0</v>
      </c>
      <c r="E81" s="511" t="n">
        <f aca="false">IF($Y81=1,0,$X$7*(INT(E$6/$X81)-INT(D$6/$X81))-IF(SUM($B81:D81)&gt;0,E82,0))</f>
        <v>0</v>
      </c>
      <c r="F81" s="511" t="n">
        <f aca="false">IF($Y81=1,0,$X$7*(INT(F$6/$X81)-INT(E$6/$X81))-IF(SUM($B81:E81)&gt;0,F82,0))</f>
        <v>0</v>
      </c>
      <c r="G81" s="511" t="n">
        <f aca="false">IF($Y81=1,0,$X$7*(INT(G$6/$X81)-INT(F$6/$X81))-IF(SUM($B81:F81)&gt;0,G82,0))</f>
        <v>0</v>
      </c>
      <c r="H81" s="511" t="n">
        <f aca="false">IF($Y81=1,0,$X$7*(INT(H$6/$X81)-INT(G$6/$X81))-IF(SUM($B81:G81)&gt;0,H82,0))</f>
        <v>0</v>
      </c>
      <c r="I81" s="511" t="n">
        <f aca="false">IF($Y81=1,0,$X$7*(INT(I$6/$X81)-INT(H$6/$X81))-IF(SUM($B81:H81)&gt;0,I82,0))</f>
        <v>0</v>
      </c>
      <c r="J81" s="511" t="n">
        <f aca="false">IF($Y81=1,0,$X$7*(INT(J$6/$X81)-INT(I$6/$X81))-IF(SUM($B81:I81)&gt;0,J82,0))</f>
        <v>0</v>
      </c>
      <c r="K81" s="511" t="n">
        <f aca="false">IF($Y81=1,0,$X$7*(INT(K$6/$X81)-INT(J$6/$X81))-IF(SUM($B81:J81)&gt;0,K82,0))</f>
        <v>0</v>
      </c>
      <c r="L81" s="511" t="n">
        <f aca="false">IF($Y81=1,0,$X$7*(INT(L$6/$X81)-INT(K$6/$X81))-IF(SUM($B81:K81)&gt;0,L82,0))</f>
        <v>0</v>
      </c>
      <c r="M81" s="511" t="n">
        <f aca="false">IF($Y81=1,0,$X$7*(INT(M$6/$X81)-INT(L$6/$X81))-IF(SUM($B81:L81)&gt;0,M82,0))</f>
        <v>0</v>
      </c>
      <c r="N81" s="511" t="n">
        <f aca="false">IF($Y81=1,0,$X$7*(INT(N$6/$X81)-INT(M$6/$X81))-IF(SUM($B81:M81)&gt;0,N82,0))</f>
        <v>0</v>
      </c>
      <c r="O81" s="511" t="n">
        <f aca="false">IF($Y81=1,0,$X$7*(INT(O$6/$X81)-INT(N$6/$X81))-IF(SUM($B81:N81)&gt;0,O82,0))</f>
        <v>0</v>
      </c>
      <c r="P81" s="511" t="n">
        <f aca="false">IF($Y81=1,0,$X$7*(INT(P$6/$X81)-INT(O$6/$X81))-IF(SUM($B81:O81)&gt;0,P82,0))</f>
        <v>0</v>
      </c>
      <c r="Q81" s="511" t="n">
        <f aca="false">IF($Y81=1,0,$X$7*(INT(Q$6/$X81)-INT(P$6/$X81))-IF(SUM($B81:P81)&gt;0,Q82,0))</f>
        <v>0</v>
      </c>
      <c r="R81" s="511" t="n">
        <f aca="false">IF($Y81=1,0,$X$7*(INT(R$6/$X81)-INT(Q$6/$X81))-IF(SUM($B81:Q81)&gt;0,R82,0))</f>
        <v>0</v>
      </c>
      <c r="S81" s="511" t="n">
        <f aca="false">IF($Y81=1,0,$X$7*(INT(S$6/$X81)-INT(R$6/$X81))-IF(SUM($B81:R81)&gt;0,S82,0))</f>
        <v>0</v>
      </c>
      <c r="T81" s="511" t="n">
        <f aca="false">IF($Y81=1,0,$X$7*(INT(T$6/$X81)-INT(S$6/$X81))-IF(SUM($B81:S81)&gt;0,T82,0))</f>
        <v>0</v>
      </c>
      <c r="U81" s="511" t="n">
        <f aca="false">IF($Y81=1,0,$X$7*(INT(U$6/$X81)-INT(T$6/$X81))-IF(SUM($B81:T81)&gt;0,U82,0))</f>
        <v>0</v>
      </c>
      <c r="V81" s="511" t="n">
        <f aca="false">IF($Y81=1,0,$X$7*(INT(V$6/$X81)-INT(U$6/$X81))-IF(SUM($B81:U81)&gt;0,V82,0))</f>
        <v>0</v>
      </c>
      <c r="W81" s="808" t="str">
        <f aca="false">'GT schd cost(W501D5A)'!A30</f>
        <v>Row 4 rings segments</v>
      </c>
      <c r="X81" s="800" t="n">
        <f aca="false">IF($AD$6=1,'GTDB(W501D5A)'!B33,'GTDB(W501D5A)'!G33)</f>
        <v>48000</v>
      </c>
      <c r="Y81" s="800" t="n">
        <f aca="false">IF($AD$6=1,'GTDB(W501D5A)'!C33,'GTDB(W501D5A)'!H33)</f>
        <v>2</v>
      </c>
      <c r="Z81" s="801" t="n">
        <v>1</v>
      </c>
      <c r="AA81" s="805" t="n">
        <f aca="false">'Initial_Spares(W501D5A)'!$E$27</f>
        <v>0</v>
      </c>
      <c r="AB81" s="764" t="n">
        <f aca="false">'GT schd cost(W501D5A)'!X30+'GT schd cost(W501D5A)'!X56</f>
        <v>0</v>
      </c>
    </row>
    <row r="82" customFormat="false" ht="12.75" hidden="false" customHeight="false" outlineLevel="0" collapsed="false">
      <c r="A82" s="153" t="s">
        <v>1397</v>
      </c>
      <c r="B82" s="511" t="s">
        <v>1007</v>
      </c>
      <c r="C82" s="511" t="n">
        <f aca="false">IF(INT(C$6/$X81)*$X$7&gt;C80*($X$7+$Z81)*$Y81,C80*($X$7+$Z81)-SUM($B82:B82),INT(C$6/$X81)*$X$7-C80*($X$7+$Z81)*($Y81-1)-SUM($B82:B82))+IF($Y81&gt;1,IF(INT(C$6/$X81)&gt;0,$Z81-$AA81,0),-$AA81)</f>
        <v>0</v>
      </c>
      <c r="D82" s="511" t="n">
        <f aca="false">IF(INT(D$6/$X81)*$X$7&gt;D80*($X$7+$Z81)*$Y81,D80*($X$7+$Z81)-SUM($B82:C82),INT(D$6/$X81)*$X$7-D80*($X$7+$Z81)*($Y81-1)-SUM($B82:C82))+IF($Y81&gt;1,IF(INT(D$6/$X81)&gt;0,$Z81-$AA81,0),-$AA81)</f>
        <v>0</v>
      </c>
      <c r="E82" s="511" t="n">
        <f aca="false">IF(INT(E$6/$X81)*$X$7&gt;E80*($X$7+$Z81)*$Y81,E80*($X$7+$Z81)-SUM($B82:D82),INT(E$6/$X81)*$X$7-E80*($X$7+$Z81)*($Y81-1)-SUM($B82:D82))+IF($Y81&gt;1,IF(INT(E$6/$X81)&gt;0,$Z81-$AA81,0),-$AA81)</f>
        <v>0</v>
      </c>
      <c r="F82" s="511" t="n">
        <f aca="false">IF(INT(F$6/$X81)*$X$7&gt;F80*($X$7+$Z81)*$Y81,F80*($X$7+$Z81)-SUM($B82:E82),INT(F$6/$X81)*$X$7-F80*($X$7+$Z81)*($Y81-1)-SUM($B82:E82))+IF($Y81&gt;1,IF(INT(F$6/$X81)&gt;0,$Z81-$AA81,0),-$AA81)</f>
        <v>0</v>
      </c>
      <c r="G82" s="511" t="n">
        <f aca="false">IF(INT(G$6/$X81)*$X$7&gt;G80*($X$7+$Z81)*$Y81,G80*($X$7+$Z81)-SUM($B82:F82),INT(G$6/$X81)*$X$7-G80*($X$7+$Z81)*($Y81-1)-SUM($B82:F82))+IF($Y81&gt;1,IF(INT(G$6/$X81)&gt;0,$Z81-$AA81,0),-$AA81)</f>
        <v>0</v>
      </c>
      <c r="H82" s="511" t="n">
        <f aca="false">IF(INT(H$6/$X81)*$X$7&gt;H80*($X$7+$Z81)*$Y81,H80*($X$7+$Z81)-SUM($B82:G82),INT(H$6/$X81)*$X$7-H80*($X$7+$Z81)*($Y81-1)-SUM($B82:G82))+IF($Y81&gt;1,IF(INT(H$6/$X81)&gt;0,$Z81-$AA81,0),-$AA81)</f>
        <v>0</v>
      </c>
      <c r="I82" s="511" t="n">
        <f aca="false">IF(INT(I$6/$X81)*$X$7&gt;I80*($X$7+$Z81)*$Y81,I80*($X$7+$Z81)-SUM($B82:H82),INT(I$6/$X81)*$X$7-I80*($X$7+$Z81)*($Y81-1)-SUM($B82:H82))+IF($Y81&gt;1,IF(INT(I$6/$X81)&gt;0,$Z81-$AA81,0),-$AA81)</f>
        <v>0</v>
      </c>
      <c r="J82" s="511" t="n">
        <f aca="false">IF(INT(J$6/$X81)*$X$7&gt;J80*($X$7+$Z81)*$Y81,J80*($X$7+$Z81)-SUM($B82:I82),INT(J$6/$X81)*$X$7-J80*($X$7+$Z81)*($Y81-1)-SUM($B82:I82))+IF($Y81&gt;1,IF(INT(J$6/$X81)&gt;0,$Z81-$AA81,0),-$AA81)</f>
        <v>0</v>
      </c>
      <c r="K82" s="511" t="n">
        <f aca="false">IF(INT(K$6/$X81)*$X$7&gt;K80*($X$7+$Z81)*$Y81,K80*($X$7+$Z81)-SUM($B82:J82),INT(K$6/$X81)*$X$7-K80*($X$7+$Z81)*($Y81-1)-SUM($B82:J82))+IF($Y81&gt;1,IF(INT(K$6/$X81)&gt;0,$Z81-$AA81,0),-$AA81)</f>
        <v>0</v>
      </c>
      <c r="L82" s="511" t="n">
        <f aca="false">IF(INT(L$6/$X81)*$X$7&gt;L80*($X$7+$Z81)*$Y81,L80*($X$7+$Z81)-SUM($B82:K82),INT(L$6/$X81)*$X$7-L80*($X$7+$Z81)*($Y81-1)-SUM($B82:K82))+IF($Y81&gt;1,IF(INT(L$6/$X81)&gt;0,$Z81-$AA81,0),-$AA81)</f>
        <v>0</v>
      </c>
      <c r="M82" s="511" t="n">
        <f aca="false">IF(INT(M$6/$X81)*$X$7&gt;M80*($X$7+$Z81)*$Y81,M80*($X$7+$Z81)-SUM($B82:L82),INT(M$6/$X81)*$X$7-M80*($X$7+$Z81)*($Y81-1)-SUM($B82:L82))+IF($Y81&gt;1,IF(INT(M$6/$X81)&gt;0,$Z81-$AA81,0),-$AA81)</f>
        <v>0</v>
      </c>
      <c r="N82" s="511" t="n">
        <f aca="false">IF(INT(N$6/$X81)*$X$7&gt;N80*($X$7+$Z81)*$Y81,N80*($X$7+$Z81)-SUM($B82:M82),INT(N$6/$X81)*$X$7-N80*($X$7+$Z81)*($Y81-1)-SUM($B82:M82))+IF($Y81&gt;1,IF(INT(N$6/$X81)&gt;0,$Z81-$AA81,0),-$AA81)</f>
        <v>0</v>
      </c>
      <c r="O82" s="511" t="n">
        <f aca="false">IF(INT(O$6/$X81)*$X$7&gt;O80*($X$7+$Z81)*$Y81,O80*($X$7+$Z81)-SUM($B82:N82),INT(O$6/$X81)*$X$7-O80*($X$7+$Z81)*($Y81-1)-SUM($B82:N82))+IF($Y81&gt;1,IF(INT(O$6/$X81)&gt;0,$Z81-$AA81,0),-$AA81)</f>
        <v>0</v>
      </c>
      <c r="P82" s="511" t="n">
        <f aca="false">IF(INT(P$6/$X81)*$X$7&gt;P80*($X$7+$Z81)*$Y81,P80*($X$7+$Z81)-SUM($B82:O82),INT(P$6/$X81)*$X$7-P80*($X$7+$Z81)*($Y81-1)-SUM($B82:O82))+IF($Y81&gt;1,IF(INT(P$6/$X81)&gt;0,$Z81-$AA81,0),-$AA81)</f>
        <v>0</v>
      </c>
      <c r="Q82" s="511" t="n">
        <f aca="false">IF(INT(Q$6/$X81)*$X$7&gt;Q80*($X$7+$Z81)*$Y81,Q80*($X$7+$Z81)-SUM($B82:P82),INT(Q$6/$X81)*$X$7-Q80*($X$7+$Z81)*($Y81-1)-SUM($B82:P82))+IF($Y81&gt;1,IF(INT(Q$6/$X81)&gt;0,$Z81-$AA81,0),-$AA81)</f>
        <v>0</v>
      </c>
      <c r="R82" s="511" t="n">
        <f aca="false">IF(INT(R$6/$X81)*$X$7&gt;R80*($X$7+$Z81)*$Y81,R80*($X$7+$Z81)-SUM($B82:Q82),INT(R$6/$X81)*$X$7-R80*($X$7+$Z81)*($Y81-1)-SUM($B82:Q82))+IF($Y81&gt;1,IF(INT(R$6/$X81)&gt;0,$Z81-$AA81,0),-$AA81)</f>
        <v>0</v>
      </c>
      <c r="S82" s="511" t="n">
        <f aca="false">IF(INT(S$6/$X81)*$X$7&gt;S80*($X$7+$Z81)*$Y81,S80*($X$7+$Z81)-SUM($B82:R82),INT(S$6/$X81)*$X$7-S80*($X$7+$Z81)*($Y81-1)-SUM($B82:R82))+IF($Y81&gt;1,IF(INT(S$6/$X81)&gt;0,$Z81-$AA81,0),-$AA81)</f>
        <v>0</v>
      </c>
      <c r="T82" s="511" t="n">
        <f aca="false">IF(INT(T$6/$X81)*$X$7&gt;T80*($X$7+$Z81)*$Y81,T80*($X$7+$Z81)-SUM($B82:S82),INT(T$6/$X81)*$X$7-T80*($X$7+$Z81)*($Y81-1)-SUM($B82:S82))+IF($Y81&gt;1,IF(INT(T$6/$X81)&gt;0,$Z81-$AA81,0),-$AA81)</f>
        <v>0</v>
      </c>
      <c r="U82" s="511" t="n">
        <f aca="false">IF(INT(U$6/$X81)*$X$7&gt;U80*($X$7+$Z81)*$Y81,U80*($X$7+$Z81)-SUM($B82:T82),INT(U$6/$X81)*$X$7-U80*($X$7+$Z81)*($Y81-1)-SUM($B82:T82))+IF($Y81&gt;1,IF(INT(U$6/$X81)&gt;0,$Z81-$AA81,0),-$AA81)</f>
        <v>0</v>
      </c>
      <c r="V82" s="511" t="n">
        <f aca="false">IF(INT(V$6/$X81)*$X$7&gt;V80*($X$7+$Z81)*$Y81,V80*($X$7+$Z81)-SUM($B82:U82),INT(V$6/$X81)*$X$7-V80*($X$7+$Z81)*($Y81-1)-SUM($B82:U82))+IF($Y81&gt;1,IF(INT(V$6/$X81)&gt;0,$Z81-$AA81,0),-$AA81)</f>
        <v>0</v>
      </c>
      <c r="W82" s="803"/>
      <c r="AA82" s="157"/>
      <c r="AB82" s="157"/>
    </row>
    <row r="83" customFormat="false" ht="12.75" hidden="false" customHeight="false" outlineLevel="0" collapsed="false">
      <c r="A83" s="157"/>
      <c r="B83" s="518"/>
      <c r="C83" s="518"/>
      <c r="D83" s="518"/>
      <c r="E83" s="518"/>
      <c r="F83" s="518"/>
      <c r="G83" s="518"/>
      <c r="H83" s="518"/>
      <c r="I83" s="518"/>
      <c r="J83" s="518"/>
      <c r="K83" s="518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785"/>
      <c r="X83" s="157"/>
      <c r="Y83" s="157"/>
      <c r="Z83" s="157"/>
      <c r="AA83" s="157"/>
      <c r="AB83" s="157"/>
    </row>
    <row r="84" customFormat="false" ht="12.75" hidden="true" customHeight="false" outlineLevel="0" collapsed="false">
      <c r="A84" s="153" t="s">
        <v>1395</v>
      </c>
      <c r="B84" s="511"/>
      <c r="C84" s="153" t="n">
        <f aca="false">INT((INT(C$6/$X85)*$X$7+$X$7+$Z85-1)/($X$7+$Z85)/$Y85)</f>
        <v>0</v>
      </c>
      <c r="D84" s="153" t="n">
        <f aca="false">INT((INT(D$6/$X85)*$X$7+$X$7+$Z85-1)/($X$7+$Z85)/$Y85)</f>
        <v>0</v>
      </c>
      <c r="E84" s="153" t="n">
        <f aca="false">INT((INT(E$6/$X85)*$X$7+$X$7+$Z85-1)/($X$7+$Z85)/$Y85)</f>
        <v>0</v>
      </c>
      <c r="F84" s="153" t="n">
        <f aca="false">INT((INT(F$6/$X85)*$X$7+$X$7+$Z85-1)/($X$7+$Z85)/$Y85)</f>
        <v>0</v>
      </c>
      <c r="G84" s="153" t="n">
        <f aca="false">INT((INT(G$6/$X85)*$X$7+$X$7+$Z85-1)/($X$7+$Z85)/$Y85)</f>
        <v>0</v>
      </c>
      <c r="H84" s="153" t="n">
        <f aca="false">INT((INT(H$6/$X85)*$X$7+$X$7+$Z85-1)/($X$7+$Z85)/$Y85)</f>
        <v>0</v>
      </c>
      <c r="I84" s="153" t="n">
        <f aca="false">INT((INT(I$6/$X85)*$X$7+$X$7+$Z85-1)/($X$7+$Z85)/$Y85)</f>
        <v>0</v>
      </c>
      <c r="J84" s="153" t="n">
        <f aca="false">INT((INT(J$6/$X85)*$X$7+$X$7+$Z85-1)/($X$7+$Z85)/$Y85)</f>
        <v>0</v>
      </c>
      <c r="K84" s="153" t="n">
        <f aca="false">INT((INT(K$6/$X85)*$X$7+$X$7+$Z85-1)/($X$7+$Z85)/$Y85)</f>
        <v>0</v>
      </c>
      <c r="L84" s="153" t="n">
        <f aca="false">INT((INT(L$6/$X85)*$X$7+$X$7+$Z85-1)/($X$7+$Z85)/$Y85)</f>
        <v>0</v>
      </c>
      <c r="M84" s="153" t="n">
        <f aca="false">INT((INT(M$6/$X85)*$X$7+$X$7+$Z85-1)/($X$7+$Z85)/$Y85)</f>
        <v>0</v>
      </c>
      <c r="N84" s="153" t="n">
        <f aca="false">INT((INT(N$6/$X85)*$X$7+$X$7+$Z85-1)/($X$7+$Z85)/$Y85)</f>
        <v>0</v>
      </c>
      <c r="O84" s="153" t="n">
        <f aca="false">INT((INT(O$6/$X85)*$X$7+$X$7+$Z85-1)/($X$7+$Z85)/$Y85)</f>
        <v>0</v>
      </c>
      <c r="P84" s="153" t="n">
        <f aca="false">INT((INT(P$6/$X85)*$X$7+$X$7+$Z85-1)/($X$7+$Z85)/$Y85)</f>
        <v>0</v>
      </c>
      <c r="Q84" s="153" t="n">
        <f aca="false">INT((INT(Q$6/$X85)*$X$7+$X$7+$Z85-1)/($X$7+$Z85)/$Y85)</f>
        <v>0</v>
      </c>
      <c r="R84" s="153" t="n">
        <f aca="false">INT((INT(R$6/$X85)*$X$7+$X$7+$Z85-1)/($X$7+$Z85)/$Y85)</f>
        <v>0</v>
      </c>
      <c r="S84" s="153" t="n">
        <f aca="false">INT((INT(S$6/$X85)*$X$7+$X$7+$Z85-1)/($X$7+$Z85)/$Y85)</f>
        <v>0</v>
      </c>
      <c r="T84" s="153" t="n">
        <f aca="false">INT((INT(T$6/$X85)*$X$7+$X$7+$Z85-1)/($X$7+$Z85)/$Y85)</f>
        <v>0</v>
      </c>
      <c r="U84" s="153" t="n">
        <f aca="false">INT((INT(U$6/$X85)*$X$7+$X$7+$Z85-1)/($X$7+$Z85)/$Y85)</f>
        <v>0</v>
      </c>
      <c r="V84" s="153" t="n">
        <f aca="false">INT((INT(V$6/$X85)*$X$7+$X$7+$Z85-1)/($X$7+$Z85)/$Y85)</f>
        <v>0</v>
      </c>
      <c r="W84" s="157"/>
      <c r="X84" s="157"/>
      <c r="Y84" s="157"/>
      <c r="Z84" s="157"/>
      <c r="AA84" s="157"/>
      <c r="AB84" s="157"/>
    </row>
    <row r="85" customFormat="false" ht="12.75" hidden="false" customHeight="false" outlineLevel="0" collapsed="false">
      <c r="A85" s="153" t="s">
        <v>1396</v>
      </c>
      <c r="B85" s="511" t="s">
        <v>1007</v>
      </c>
      <c r="C85" s="511" t="n">
        <f aca="false">IF($Y85=1,0,$X$7*(INT(C$6/$X85)-INT(B$6/$X85))-IF(SUM($B85:B85)&gt;0,C86,0))</f>
        <v>0</v>
      </c>
      <c r="D85" s="511" t="n">
        <f aca="false">IF($Y85=1,0,$X$7*(INT(D$6/$X85)-INT(C$6/$X85))-IF(SUM($B85:C85)&gt;0,D86,0))</f>
        <v>0</v>
      </c>
      <c r="E85" s="511" t="n">
        <f aca="false">IF($Y85=1,0,$X$7*(INT(E$6/$X85)-INT(D$6/$X85))-IF(SUM($B85:D85)&gt;0,E86,0))</f>
        <v>0</v>
      </c>
      <c r="F85" s="511" t="n">
        <f aca="false">IF($Y85=1,0,$X$7*(INT(F$6/$X85)-INT(E$6/$X85))-IF(SUM($B85:E85)&gt;0,F86,0))</f>
        <v>0</v>
      </c>
      <c r="G85" s="511" t="n">
        <f aca="false">IF($Y85=1,0,$X$7*(INT(G$6/$X85)-INT(F$6/$X85))-IF(SUM($B85:F85)&gt;0,G86,0))</f>
        <v>0</v>
      </c>
      <c r="H85" s="511" t="n">
        <f aca="false">IF($Y85=1,0,$X$7*(INT(H$6/$X85)-INT(G$6/$X85))-IF(SUM($B85:G85)&gt;0,H86,0))</f>
        <v>0</v>
      </c>
      <c r="I85" s="511" t="n">
        <f aca="false">IF($Y85=1,0,$X$7*(INT(I$6/$X85)-INT(H$6/$X85))-IF(SUM($B85:H85)&gt;0,I86,0))</f>
        <v>0</v>
      </c>
      <c r="J85" s="511" t="n">
        <f aca="false">IF($Y85=1,0,$X$7*(INT(J$6/$X85)-INT(I$6/$X85))-IF(SUM($B85:I85)&gt;0,J86,0))</f>
        <v>0</v>
      </c>
      <c r="K85" s="511" t="n">
        <f aca="false">IF($Y85=1,0,$X$7*(INT(K$6/$X85)-INT(J$6/$X85))-IF(SUM($B85:J85)&gt;0,K86,0))</f>
        <v>0</v>
      </c>
      <c r="L85" s="511" t="n">
        <f aca="false">IF($Y85=1,0,$X$7*(INT(L$6/$X85)-INT(K$6/$X85))-IF(SUM($B85:K85)&gt;0,L86,0))</f>
        <v>0</v>
      </c>
      <c r="M85" s="511" t="n">
        <f aca="false">IF($Y85=1,0,$X$7*(INT(M$6/$X85)-INT(L$6/$X85))-IF(SUM($B85:L85)&gt;0,M86,0))</f>
        <v>0</v>
      </c>
      <c r="N85" s="511" t="n">
        <f aca="false">IF($Y85=1,0,$X$7*(INT(N$6/$X85)-INT(M$6/$X85))-IF(SUM($B85:M85)&gt;0,N86,0))</f>
        <v>0</v>
      </c>
      <c r="O85" s="511" t="n">
        <f aca="false">IF($Y85=1,0,$X$7*(INT(O$6/$X85)-INT(N$6/$X85))-IF(SUM($B85:N85)&gt;0,O86,0))</f>
        <v>0</v>
      </c>
      <c r="P85" s="511" t="n">
        <f aca="false">IF($Y85=1,0,$X$7*(INT(P$6/$X85)-INT(O$6/$X85))-IF(SUM($B85:O85)&gt;0,P86,0))</f>
        <v>0</v>
      </c>
      <c r="Q85" s="511" t="n">
        <f aca="false">IF($Y85=1,0,$X$7*(INT(Q$6/$X85)-INT(P$6/$X85))-IF(SUM($B85:P85)&gt;0,Q86,0))</f>
        <v>0</v>
      </c>
      <c r="R85" s="511" t="n">
        <f aca="false">IF($Y85=1,0,$X$7*(INT(R$6/$X85)-INT(Q$6/$X85))-IF(SUM($B85:Q85)&gt;0,R86,0))</f>
        <v>0</v>
      </c>
      <c r="S85" s="511" t="n">
        <f aca="false">IF($Y85=1,0,$X$7*(INT(S$6/$X85)-INT(R$6/$X85))-IF(SUM($B85:R85)&gt;0,S86,0))</f>
        <v>0</v>
      </c>
      <c r="T85" s="511" t="n">
        <f aca="false">IF($Y85=1,0,$X$7*(INT(T$6/$X85)-INT(S$6/$X85))-IF(SUM($B85:S85)&gt;0,T86,0))</f>
        <v>0</v>
      </c>
      <c r="U85" s="511" t="n">
        <f aca="false">IF($Y85=1,0,$X$7*(INT(U$6/$X85)-INT(T$6/$X85))-IF(SUM($B85:T85)&gt;0,U86,0))</f>
        <v>0</v>
      </c>
      <c r="V85" s="511" t="n">
        <f aca="false">IF($Y85=1,0,$X$7*(INT(V$6/$X85)-INT(U$6/$X85))-IF(SUM($B85:U85)&gt;0,V86,0))</f>
        <v>0</v>
      </c>
      <c r="W85" s="808" t="str">
        <f aca="false">'GT schd cost(W501D5A)'!A31</f>
        <v>Comp Rotor Blades</v>
      </c>
      <c r="X85" s="800" t="n">
        <f aca="false">IF($AD$6=1,'GTDB(W501D5A)'!B34,'GTDB(W501D5A)'!G34)</f>
        <v>48000</v>
      </c>
      <c r="Y85" s="800" t="n">
        <f aca="false">IF($AD$6=1,'GTDB(W501D5A)'!C34,'GTDB(W501D5A)'!H34)</f>
        <v>2</v>
      </c>
      <c r="Z85" s="801" t="n">
        <v>1</v>
      </c>
      <c r="AA85" s="805" t="n">
        <f aca="false">'Initial_Spares(W501D5A)'!$E$28</f>
        <v>0</v>
      </c>
      <c r="AB85" s="764" t="n">
        <f aca="false">'GT schd cost(W501D5A)'!X31+'GT schd cost(W501D5A)'!X57</f>
        <v>0</v>
      </c>
    </row>
    <row r="86" customFormat="false" ht="12.75" hidden="false" customHeight="false" outlineLevel="0" collapsed="false">
      <c r="A86" s="153" t="s">
        <v>1397</v>
      </c>
      <c r="B86" s="511" t="s">
        <v>1007</v>
      </c>
      <c r="C86" s="511" t="n">
        <f aca="false">IF(INT(C$6/$X85)*$X$7&gt;C84*($X$7+$Z85)*$Y85,C84*($X$7+$Z85)-SUM($B86:B86),INT(C$6/$X85)*$X$7-C84*($X$7+$Z85)*($Y85-1)-SUM($B86:B86))+IF($Y85&gt;1,IF(INT(C$6/$X85)&gt;0,$Z85-$AA85,0),-$AA85)</f>
        <v>0</v>
      </c>
      <c r="D86" s="511" t="n">
        <f aca="false">IF(INT(D$6/$X85)*$X$7&gt;D84*($X$7+$Z85)*$Y85,D84*($X$7+$Z85)-SUM($B86:C86),INT(D$6/$X85)*$X$7-D84*($X$7+$Z85)*($Y85-1)-SUM($B86:C86))+IF($Y85&gt;1,IF(INT(D$6/$X85)&gt;0,$Z85-$AA85,0),-$AA85)</f>
        <v>0</v>
      </c>
      <c r="E86" s="511" t="n">
        <f aca="false">IF(INT(E$6/$X85)*$X$7&gt;E84*($X$7+$Z85)*$Y85,E84*($X$7+$Z85)-SUM($B86:D86),INT(E$6/$X85)*$X$7-E84*($X$7+$Z85)*($Y85-1)-SUM($B86:D86))+IF($Y85&gt;1,IF(INT(E$6/$X85)&gt;0,$Z85-$AA85,0),-$AA85)</f>
        <v>0</v>
      </c>
      <c r="F86" s="511" t="n">
        <f aca="false">IF(INT(F$6/$X85)*$X$7&gt;F84*($X$7+$Z85)*$Y85,F84*($X$7+$Z85)-SUM($B86:E86),INT(F$6/$X85)*$X$7-F84*($X$7+$Z85)*($Y85-1)-SUM($B86:E86))+IF($Y85&gt;1,IF(INT(F$6/$X85)&gt;0,$Z85-$AA85,0),-$AA85)</f>
        <v>0</v>
      </c>
      <c r="G86" s="511" t="n">
        <f aca="false">IF(INT(G$6/$X85)*$X$7&gt;G84*($X$7+$Z85)*$Y85,G84*($X$7+$Z85)-SUM($B86:F86),INT(G$6/$X85)*$X$7-G84*($X$7+$Z85)*($Y85-1)-SUM($B86:F86))+IF($Y85&gt;1,IF(INT(G$6/$X85)&gt;0,$Z85-$AA85,0),-$AA85)</f>
        <v>0</v>
      </c>
      <c r="H86" s="511" t="n">
        <f aca="false">IF(INT(H$6/$X85)*$X$7&gt;H84*($X$7+$Z85)*$Y85,H84*($X$7+$Z85)-SUM($B86:G86),INT(H$6/$X85)*$X$7-H84*($X$7+$Z85)*($Y85-1)-SUM($B86:G86))+IF($Y85&gt;1,IF(INT(H$6/$X85)&gt;0,$Z85-$AA85,0),-$AA85)</f>
        <v>0</v>
      </c>
      <c r="I86" s="511" t="n">
        <f aca="false">IF(INT(I$6/$X85)*$X$7&gt;I84*($X$7+$Z85)*$Y85,I84*($X$7+$Z85)-SUM($B86:H86),INT(I$6/$X85)*$X$7-I84*($X$7+$Z85)*($Y85-1)-SUM($B86:H86))+IF($Y85&gt;1,IF(INT(I$6/$X85)&gt;0,$Z85-$AA85,0),-$AA85)</f>
        <v>0</v>
      </c>
      <c r="J86" s="511" t="n">
        <f aca="false">IF(INT(J$6/$X85)*$X$7&gt;J84*($X$7+$Z85)*$Y85,J84*($X$7+$Z85)-SUM($B86:I86),INT(J$6/$X85)*$X$7-J84*($X$7+$Z85)*($Y85-1)-SUM($B86:I86))+IF($Y85&gt;1,IF(INT(J$6/$X85)&gt;0,$Z85-$AA85,0),-$AA85)</f>
        <v>0</v>
      </c>
      <c r="K86" s="511" t="n">
        <f aca="false">IF(INT(K$6/$X85)*$X$7&gt;K84*($X$7+$Z85)*$Y85,K84*($X$7+$Z85)-SUM($B86:J86),INT(K$6/$X85)*$X$7-K84*($X$7+$Z85)*($Y85-1)-SUM($B86:J86))+IF($Y85&gt;1,IF(INT(K$6/$X85)&gt;0,$Z85-$AA85,0),-$AA85)</f>
        <v>0</v>
      </c>
      <c r="L86" s="511" t="n">
        <f aca="false">IF(INT(L$6/$X85)*$X$7&gt;L84*($X$7+$Z85)*$Y85,L84*($X$7+$Z85)-SUM($B86:K86),INT(L$6/$X85)*$X$7-L84*($X$7+$Z85)*($Y85-1)-SUM($B86:K86))+IF($Y85&gt;1,IF(INT(L$6/$X85)&gt;0,$Z85-$AA85,0),-$AA85)</f>
        <v>0</v>
      </c>
      <c r="M86" s="511" t="n">
        <f aca="false">IF(INT(M$6/$X85)*$X$7&gt;M84*($X$7+$Z85)*$Y85,M84*($X$7+$Z85)-SUM($B86:L86),INT(M$6/$X85)*$X$7-M84*($X$7+$Z85)*($Y85-1)-SUM($B86:L86))+IF($Y85&gt;1,IF(INT(M$6/$X85)&gt;0,$Z85-$AA85,0),-$AA85)</f>
        <v>0</v>
      </c>
      <c r="N86" s="511" t="n">
        <f aca="false">IF(INT(N$6/$X85)*$X$7&gt;N84*($X$7+$Z85)*$Y85,N84*($X$7+$Z85)-SUM($B86:M86),INT(N$6/$X85)*$X$7-N84*($X$7+$Z85)*($Y85-1)-SUM($B86:M86))+IF($Y85&gt;1,IF(INT(N$6/$X85)&gt;0,$Z85-$AA85,0),-$AA85)</f>
        <v>0</v>
      </c>
      <c r="O86" s="511" t="n">
        <f aca="false">IF(INT(O$6/$X85)*$X$7&gt;O84*($X$7+$Z85)*$Y85,O84*($X$7+$Z85)-SUM($B86:N86),INT(O$6/$X85)*$X$7-O84*($X$7+$Z85)*($Y85-1)-SUM($B86:N86))+IF($Y85&gt;1,IF(INT(O$6/$X85)&gt;0,$Z85-$AA85,0),-$AA85)</f>
        <v>0</v>
      </c>
      <c r="P86" s="511" t="n">
        <f aca="false">IF(INT(P$6/$X85)*$X$7&gt;P84*($X$7+$Z85)*$Y85,P84*($X$7+$Z85)-SUM($B86:O86),INT(P$6/$X85)*$X$7-P84*($X$7+$Z85)*($Y85-1)-SUM($B86:O86))+IF($Y85&gt;1,IF(INT(P$6/$X85)&gt;0,$Z85-$AA85,0),-$AA85)</f>
        <v>0</v>
      </c>
      <c r="Q86" s="511" t="n">
        <f aca="false">IF(INT(Q$6/$X85)*$X$7&gt;Q84*($X$7+$Z85)*$Y85,Q84*($X$7+$Z85)-SUM($B86:P86),INT(Q$6/$X85)*$X$7-Q84*($X$7+$Z85)*($Y85-1)-SUM($B86:P86))+IF($Y85&gt;1,IF(INT(Q$6/$X85)&gt;0,$Z85-$AA85,0),-$AA85)</f>
        <v>0</v>
      </c>
      <c r="R86" s="511" t="n">
        <f aca="false">IF(INT(R$6/$X85)*$X$7&gt;R84*($X$7+$Z85)*$Y85,R84*($X$7+$Z85)-SUM($B86:Q86),INT(R$6/$X85)*$X$7-R84*($X$7+$Z85)*($Y85-1)-SUM($B86:Q86))+IF($Y85&gt;1,IF(INT(R$6/$X85)&gt;0,$Z85-$AA85,0),-$AA85)</f>
        <v>0</v>
      </c>
      <c r="S86" s="511" t="n">
        <f aca="false">IF(INT(S$6/$X85)*$X$7&gt;S84*($X$7+$Z85)*$Y85,S84*($X$7+$Z85)-SUM($B86:R86),INT(S$6/$X85)*$X$7-S84*($X$7+$Z85)*($Y85-1)-SUM($B86:R86))+IF($Y85&gt;1,IF(INT(S$6/$X85)&gt;0,$Z85-$AA85,0),-$AA85)</f>
        <v>0</v>
      </c>
      <c r="T86" s="511" t="n">
        <f aca="false">IF(INT(T$6/$X85)*$X$7&gt;T84*($X$7+$Z85)*$Y85,T84*($X$7+$Z85)-SUM($B86:S86),INT(T$6/$X85)*$X$7-T84*($X$7+$Z85)*($Y85-1)-SUM($B86:S86))+IF($Y85&gt;1,IF(INT(T$6/$X85)&gt;0,$Z85-$AA85,0),-$AA85)</f>
        <v>0</v>
      </c>
      <c r="U86" s="511" t="n">
        <f aca="false">IF(INT(U$6/$X85)*$X$7&gt;U84*($X$7+$Z85)*$Y85,U84*($X$7+$Z85)-SUM($B86:T86),INT(U$6/$X85)*$X$7-U84*($X$7+$Z85)*($Y85-1)-SUM($B86:T86))+IF($Y85&gt;1,IF(INT(U$6/$X85)&gt;0,$Z85-$AA85,0),-$AA85)</f>
        <v>0</v>
      </c>
      <c r="V86" s="511" t="n">
        <f aca="false">IF(INT(V$6/$X85)*$X$7&gt;V84*($X$7+$Z85)*$Y85,V84*($X$7+$Z85)-SUM($B86:U86),INT(V$6/$X85)*$X$7-V84*($X$7+$Z85)*($Y85-1)-SUM($B86:U86))+IF($Y85&gt;1,IF(INT(V$6/$X85)&gt;0,$Z85-$AA85,0),-$AA85)</f>
        <v>0</v>
      </c>
      <c r="W86" s="803"/>
      <c r="Z86" s="157"/>
      <c r="AA86" s="157"/>
      <c r="AB86" s="157"/>
    </row>
    <row r="87" customFormat="false" ht="12.75" hidden="false" customHeight="false" outlineLevel="0" collapsed="false">
      <c r="A87" s="157"/>
      <c r="B87" s="518"/>
      <c r="C87" s="518"/>
      <c r="D87" s="518"/>
      <c r="E87" s="518"/>
      <c r="F87" s="518"/>
      <c r="G87" s="518"/>
      <c r="H87" s="518"/>
      <c r="I87" s="157"/>
      <c r="J87" s="518"/>
      <c r="K87" s="518"/>
      <c r="L87" s="518"/>
      <c r="M87" s="518"/>
      <c r="N87" s="157"/>
      <c r="O87" s="157"/>
      <c r="P87" s="157"/>
      <c r="Q87" s="157"/>
      <c r="R87" s="157"/>
      <c r="S87" s="157"/>
      <c r="T87" s="157"/>
      <c r="U87" s="157"/>
      <c r="V87" s="157"/>
      <c r="W87" s="785"/>
      <c r="X87" s="157"/>
      <c r="Y87" s="157"/>
      <c r="Z87" s="157"/>
      <c r="AA87" s="157"/>
      <c r="AB87" s="157"/>
    </row>
    <row r="88" customFormat="false" ht="12.75" hidden="true" customHeight="false" outlineLevel="0" collapsed="false">
      <c r="A88" s="153" t="s">
        <v>1395</v>
      </c>
      <c r="B88" s="511"/>
      <c r="C88" s="153" t="n">
        <f aca="false">INT((INT(C$6/$X89)*$X$7+$X$7+$Z89-1)/($X$7+$Z89)/$Y89)</f>
        <v>0</v>
      </c>
      <c r="D88" s="153" t="n">
        <f aca="false">INT((INT(D$6/$X89)*$X$7+$X$7+$Z89-1)/($X$7+$Z89)/$Y89)</f>
        <v>0</v>
      </c>
      <c r="E88" s="153" t="n">
        <f aca="false">INT((INT(E$6/$X89)*$X$7+$X$7+$Z89-1)/($X$7+$Z89)/$Y89)</f>
        <v>0</v>
      </c>
      <c r="F88" s="153" t="n">
        <f aca="false">INT((INT(F$6/$X89)*$X$7+$X$7+$Z89-1)/($X$7+$Z89)/$Y89)</f>
        <v>0</v>
      </c>
      <c r="G88" s="153" t="n">
        <f aca="false">INT((INT(G$6/$X89)*$X$7+$X$7+$Z89-1)/($X$7+$Z89)/$Y89)</f>
        <v>0</v>
      </c>
      <c r="H88" s="153" t="n">
        <f aca="false">INT((INT(H$6/$X89)*$X$7+$X$7+$Z89-1)/($X$7+$Z89)/$Y89)</f>
        <v>0</v>
      </c>
      <c r="I88" s="153" t="n">
        <f aca="false">INT((INT(I$6/$X89)*$X$7+$X$7+$Z89-1)/($X$7+$Z89)/$Y89)</f>
        <v>0</v>
      </c>
      <c r="J88" s="153" t="n">
        <f aca="false">INT((INT(J$6/$X89)*$X$7+$X$7+$Z89-1)/($X$7+$Z89)/$Y89)</f>
        <v>0</v>
      </c>
      <c r="K88" s="153" t="n">
        <f aca="false">INT((INT(K$6/$X89)*$X$7+$X$7+$Z89-1)/($X$7+$Z89)/$Y89)</f>
        <v>0</v>
      </c>
      <c r="L88" s="153" t="n">
        <f aca="false">INT((INT(L$6/$X89)*$X$7+$X$7+$Z89-1)/($X$7+$Z89)/$Y89)</f>
        <v>0</v>
      </c>
      <c r="M88" s="153" t="n">
        <f aca="false">INT((INT(M$6/$X89)*$X$7+$X$7+$Z89-1)/($X$7+$Z89)/$Y89)</f>
        <v>0</v>
      </c>
      <c r="N88" s="153" t="n">
        <f aca="false">INT((INT(N$6/$X89)*$X$7+$X$7+$Z89-1)/($X$7+$Z89)/$Y89)</f>
        <v>0</v>
      </c>
      <c r="O88" s="153" t="n">
        <f aca="false">INT((INT(O$6/$X89)*$X$7+$X$7+$Z89-1)/($X$7+$Z89)/$Y89)</f>
        <v>0</v>
      </c>
      <c r="P88" s="153" t="n">
        <f aca="false">INT((INT(P$6/$X89)*$X$7+$X$7+$Z89-1)/($X$7+$Z89)/$Y89)</f>
        <v>0</v>
      </c>
      <c r="Q88" s="153" t="n">
        <f aca="false">INT((INT(Q$6/$X89)*$X$7+$X$7+$Z89-1)/($X$7+$Z89)/$Y89)</f>
        <v>0</v>
      </c>
      <c r="R88" s="153" t="n">
        <f aca="false">INT((INT(R$6/$X89)*$X$7+$X$7+$Z89-1)/($X$7+$Z89)/$Y89)</f>
        <v>0</v>
      </c>
      <c r="S88" s="153" t="n">
        <f aca="false">INT((INT(S$6/$X89)*$X$7+$X$7+$Z89-1)/($X$7+$Z89)/$Y89)</f>
        <v>0</v>
      </c>
      <c r="T88" s="153" t="n">
        <f aca="false">INT((INT(T$6/$X89)*$X$7+$X$7+$Z89-1)/($X$7+$Z89)/$Y89)</f>
        <v>0</v>
      </c>
      <c r="U88" s="153" t="n">
        <f aca="false">INT((INT(U$6/$X89)*$X$7+$X$7+$Z89-1)/($X$7+$Z89)/$Y89)</f>
        <v>0</v>
      </c>
      <c r="V88" s="153" t="n">
        <f aca="false">INT((INT(V$6/$X89)*$X$7+$X$7+$Z89-1)/($X$7+$Z89)/$Y89)</f>
        <v>0</v>
      </c>
      <c r="W88" s="157"/>
      <c r="X88" s="157"/>
      <c r="Y88" s="157"/>
      <c r="Z88" s="157"/>
      <c r="AA88" s="157"/>
      <c r="AB88" s="157"/>
    </row>
    <row r="89" customFormat="false" ht="12.75" hidden="false" customHeight="false" outlineLevel="0" collapsed="false">
      <c r="A89" s="153" t="s">
        <v>1396</v>
      </c>
      <c r="B89" s="511" t="s">
        <v>1007</v>
      </c>
      <c r="C89" s="511" t="n">
        <f aca="false">IF($Y89=1,0,$X$7*(INT(C$6/$X89)-INT(B$6/$X89))-IF(SUM($B89:B89)&gt;0,C90,0))</f>
        <v>0</v>
      </c>
      <c r="D89" s="511" t="n">
        <f aca="false">IF($Y89=1,0,$X$7*(INT(D$6/$X89)-INT(C$6/$X89))-IF(SUM($B89:C89)&gt;0,D90,0))</f>
        <v>0</v>
      </c>
      <c r="E89" s="511" t="n">
        <f aca="false">IF($Y89=1,0,$X$7*(INT(E$6/$X89)-INT(D$6/$X89))-IF(SUM($B89:D89)&gt;0,E90,0))</f>
        <v>0</v>
      </c>
      <c r="F89" s="511" t="n">
        <f aca="false">IF($Y89=1,0,$X$7*(INT(F$6/$X89)-INT(E$6/$X89))-IF(SUM($B89:E89)&gt;0,F90,0))</f>
        <v>0</v>
      </c>
      <c r="G89" s="511" t="n">
        <f aca="false">IF($Y89=1,0,$X$7*(INT(G$6/$X89)-INT(F$6/$X89))-IF(SUM($B89:F89)&gt;0,G90,0))</f>
        <v>0</v>
      </c>
      <c r="H89" s="511" t="n">
        <f aca="false">IF($Y89=1,0,$X$7*(INT(H$6/$X89)-INT(G$6/$X89))-IF(SUM($B89:G89)&gt;0,H90,0))</f>
        <v>0</v>
      </c>
      <c r="I89" s="511" t="n">
        <f aca="false">IF($Y89=1,0,$X$7*(INT(I$6/$X89)-INT(H$6/$X89))-IF(SUM($B89:H89)&gt;0,I90,0))</f>
        <v>0</v>
      </c>
      <c r="J89" s="511" t="n">
        <f aca="false">IF($Y89=1,0,$X$7*(INT(J$6/$X89)-INT(I$6/$X89))-IF(SUM($B89:I89)&gt;0,J90,0))</f>
        <v>0</v>
      </c>
      <c r="K89" s="511" t="n">
        <f aca="false">IF($Y89=1,0,$X$7*(INT(K$6/$X89)-INT(J$6/$X89))-IF(SUM($B89:J89)&gt;0,K90,0))</f>
        <v>0</v>
      </c>
      <c r="L89" s="511" t="n">
        <f aca="false">IF($Y89=1,0,$X$7*(INT(L$6/$X89)-INT(K$6/$X89))-IF(SUM($B89:K89)&gt;0,L90,0))</f>
        <v>0</v>
      </c>
      <c r="M89" s="511" t="n">
        <f aca="false">IF($Y89=1,0,$X$7*(INT(M$6/$X89)-INT(L$6/$X89))-IF(SUM($B89:L89)&gt;0,M90,0))</f>
        <v>0</v>
      </c>
      <c r="N89" s="511" t="n">
        <f aca="false">IF($Y89=1,0,$X$7*(INT(N$6/$X89)-INT(M$6/$X89))-IF(SUM($B89:M89)&gt;0,N90,0))</f>
        <v>0</v>
      </c>
      <c r="O89" s="511" t="n">
        <f aca="false">IF($Y89=1,0,$X$7*(INT(O$6/$X89)-INT(N$6/$X89))-IF(SUM($B89:N89)&gt;0,O90,0))</f>
        <v>0</v>
      </c>
      <c r="P89" s="511" t="n">
        <f aca="false">IF($Y89=1,0,$X$7*(INT(P$6/$X89)-INT(O$6/$X89))-IF(SUM($B89:O89)&gt;0,P90,0))</f>
        <v>0</v>
      </c>
      <c r="Q89" s="511" t="n">
        <f aca="false">IF($Y89=1,0,$X$7*(INT(Q$6/$X89)-INT(P$6/$X89))-IF(SUM($B89:P89)&gt;0,Q90,0))</f>
        <v>0</v>
      </c>
      <c r="R89" s="511" t="n">
        <f aca="false">IF($Y89=1,0,$X$7*(INT(R$6/$X89)-INT(Q$6/$X89))-IF(SUM($B89:Q89)&gt;0,R90,0))</f>
        <v>0</v>
      </c>
      <c r="S89" s="511" t="n">
        <f aca="false">IF($Y89=1,0,$X$7*(INT(S$6/$X89)-INT(R$6/$X89))-IF(SUM($B89:R89)&gt;0,S90,0))</f>
        <v>0</v>
      </c>
      <c r="T89" s="511" t="n">
        <f aca="false">IF($Y89=1,0,$X$7*(INT(T$6/$X89)-INT(S$6/$X89))-IF(SUM($B89:S89)&gt;0,T90,0))</f>
        <v>0</v>
      </c>
      <c r="U89" s="511" t="n">
        <f aca="false">IF($Y89=1,0,$X$7*(INT(U$6/$X89)-INT(T$6/$X89))-IF(SUM($B89:T89)&gt;0,U90,0))</f>
        <v>0</v>
      </c>
      <c r="V89" s="511" t="n">
        <f aca="false">IF($Y89=1,0,$X$7*(INT(V$6/$X89)-INT(U$6/$X89))-IF(SUM($B89:U89)&gt;0,V90,0))</f>
        <v>0</v>
      </c>
      <c r="W89" s="808" t="str">
        <f aca="false">'GT schd cost(W501D5A)'!A32</f>
        <v>Comp Diaphragms</v>
      </c>
      <c r="X89" s="800" t="n">
        <f aca="false">IF($AD$6=1,'GTDB(W501D5A)'!B35,'GTDB(W501D5A)'!G35)</f>
        <v>48000</v>
      </c>
      <c r="Y89" s="800" t="n">
        <f aca="false">IF($AD$6=1,'GTDB(W501D5A)'!C35,'GTDB(W501D5A)'!H35)</f>
        <v>2</v>
      </c>
      <c r="Z89" s="801" t="n">
        <v>1</v>
      </c>
      <c r="AA89" s="805" t="n">
        <f aca="false">'Initial_Spares(W501D5A)'!$E$29</f>
        <v>0</v>
      </c>
      <c r="AB89" s="764" t="n">
        <f aca="false">'GT schd cost(W501D5A)'!X32+'GT schd cost(W501D5A)'!X58</f>
        <v>0</v>
      </c>
    </row>
    <row r="90" customFormat="false" ht="12.75" hidden="false" customHeight="false" outlineLevel="0" collapsed="false">
      <c r="A90" s="153" t="s">
        <v>1397</v>
      </c>
      <c r="B90" s="511" t="s">
        <v>1007</v>
      </c>
      <c r="C90" s="511" t="n">
        <f aca="false">IF(INT(C$6/$X89)*$X$7&gt;C88*($X$7+$Z89)*$Y89,C88*($X$7+$Z89)-SUM($B90:B90),INT(C$6/$X89)*$X$7-C88*($X$7+$Z89)*($Y89-1)-SUM($B90:B90))+IF($Y89&gt;1,IF(INT(C$6/$X89)&gt;0,$Z89-$AA89,0),-$AA89)</f>
        <v>0</v>
      </c>
      <c r="D90" s="511" t="n">
        <f aca="false">IF(INT(D$6/$X89)*$X$7&gt;D88*($X$7+$Z89)*$Y89,D88*($X$7+$Z89)-SUM($B90:C90),INT(D$6/$X89)*$X$7-D88*($X$7+$Z89)*($Y89-1)-SUM($B90:C90))+IF($Y89&gt;1,IF(INT(D$6/$X89)&gt;0,$Z89-$AA89,0),-$AA89)</f>
        <v>0</v>
      </c>
      <c r="E90" s="511" t="n">
        <f aca="false">IF(INT(E$6/$X89)*$X$7&gt;E88*($X$7+$Z89)*$Y89,E88*($X$7+$Z89)-SUM($B90:D90),INT(E$6/$X89)*$X$7-E88*($X$7+$Z89)*($Y89-1)-SUM($B90:D90))+IF($Y89&gt;1,IF(INT(E$6/$X89)&gt;0,$Z89-$AA89,0),-$AA89)</f>
        <v>0</v>
      </c>
      <c r="F90" s="511" t="n">
        <f aca="false">IF(INT(F$6/$X89)*$X$7&gt;F88*($X$7+$Z89)*$Y89,F88*($X$7+$Z89)-SUM($B90:E90),INT(F$6/$X89)*$X$7-F88*($X$7+$Z89)*($Y89-1)-SUM($B90:E90))+IF($Y89&gt;1,IF(INT(F$6/$X89)&gt;0,$Z89-$AA89,0),-$AA89)</f>
        <v>0</v>
      </c>
      <c r="G90" s="511" t="n">
        <f aca="false">IF(INT(G$6/$X89)*$X$7&gt;G88*($X$7+$Z89)*$Y89,G88*($X$7+$Z89)-SUM($B90:F90),INT(G$6/$X89)*$X$7-G88*($X$7+$Z89)*($Y89-1)-SUM($B90:F90))+IF($Y89&gt;1,IF(INT(G$6/$X89)&gt;0,$Z89-$AA89,0),-$AA89)</f>
        <v>0</v>
      </c>
      <c r="H90" s="511" t="n">
        <f aca="false">IF(INT(H$6/$X89)*$X$7&gt;H88*($X$7+$Z89)*$Y89,H88*($X$7+$Z89)-SUM($B90:G90),INT(H$6/$X89)*$X$7-H88*($X$7+$Z89)*($Y89-1)-SUM($B90:G90))+IF($Y89&gt;1,IF(INT(H$6/$X89)&gt;0,$Z89-$AA89,0),-$AA89)</f>
        <v>0</v>
      </c>
      <c r="I90" s="511" t="n">
        <f aca="false">IF(INT(I$6/$X89)*$X$7&gt;I88*($X$7+$Z89)*$Y89,I88*($X$7+$Z89)-SUM($B90:H90),INT(I$6/$X89)*$X$7-I88*($X$7+$Z89)*($Y89-1)-SUM($B90:H90))+IF($Y89&gt;1,IF(INT(I$6/$X89)&gt;0,$Z89-$AA89,0),-$AA89)</f>
        <v>0</v>
      </c>
      <c r="J90" s="511" t="n">
        <f aca="false">IF(INT(J$6/$X89)*$X$7&gt;J88*($X$7+$Z89)*$Y89,J88*($X$7+$Z89)-SUM($B90:I90),INT(J$6/$X89)*$X$7-J88*($X$7+$Z89)*($Y89-1)-SUM($B90:I90))+IF($Y89&gt;1,IF(INT(J$6/$X89)&gt;0,$Z89-$AA89,0),-$AA89)</f>
        <v>0</v>
      </c>
      <c r="K90" s="511" t="n">
        <f aca="false">IF(INT(K$6/$X89)*$X$7&gt;K88*($X$7+$Z89)*$Y89,K88*($X$7+$Z89)-SUM($B90:J90),INT(K$6/$X89)*$X$7-K88*($X$7+$Z89)*($Y89-1)-SUM($B90:J90))+IF($Y89&gt;1,IF(INT(K$6/$X89)&gt;0,$Z89-$AA89,0),-$AA89)</f>
        <v>0</v>
      </c>
      <c r="L90" s="511" t="n">
        <f aca="false">IF(INT(L$6/$X89)*$X$7&gt;L88*($X$7+$Z89)*$Y89,L88*($X$7+$Z89)-SUM($B90:K90),INT(L$6/$X89)*$X$7-L88*($X$7+$Z89)*($Y89-1)-SUM($B90:K90))+IF($Y89&gt;1,IF(INT(L$6/$X89)&gt;0,$Z89-$AA89,0),-$AA89)</f>
        <v>0</v>
      </c>
      <c r="M90" s="511" t="n">
        <f aca="false">IF(INT(M$6/$X89)*$X$7&gt;M88*($X$7+$Z89)*$Y89,M88*($X$7+$Z89)-SUM($B90:L90),INT(M$6/$X89)*$X$7-M88*($X$7+$Z89)*($Y89-1)-SUM($B90:L90))+IF($Y89&gt;1,IF(INT(M$6/$X89)&gt;0,$Z89-$AA89,0),-$AA89)</f>
        <v>0</v>
      </c>
      <c r="N90" s="511" t="n">
        <f aca="false">IF(INT(N$6/$X89)*$X$7&gt;N88*($X$7+$Z89)*$Y89,N88*($X$7+$Z89)-SUM($B90:M90),INT(N$6/$X89)*$X$7-N88*($X$7+$Z89)*($Y89-1)-SUM($B90:M90))+IF($Y89&gt;1,IF(INT(N$6/$X89)&gt;0,$Z89-$AA89,0),-$AA89)</f>
        <v>0</v>
      </c>
      <c r="O90" s="511" t="n">
        <f aca="false">IF(INT(O$6/$X89)*$X$7&gt;O88*($X$7+$Z89)*$Y89,O88*($X$7+$Z89)-SUM($B90:N90),INT(O$6/$X89)*$X$7-O88*($X$7+$Z89)*($Y89-1)-SUM($B90:N90))+IF($Y89&gt;1,IF(INT(O$6/$X89)&gt;0,$Z89-$AA89,0),-$AA89)</f>
        <v>0</v>
      </c>
      <c r="P90" s="511" t="n">
        <f aca="false">IF(INT(P$6/$X89)*$X$7&gt;P88*($X$7+$Z89)*$Y89,P88*($X$7+$Z89)-SUM($B90:O90),INT(P$6/$X89)*$X$7-P88*($X$7+$Z89)*($Y89-1)-SUM($B90:O90))+IF($Y89&gt;1,IF(INT(P$6/$X89)&gt;0,$Z89-$AA89,0),-$AA89)</f>
        <v>0</v>
      </c>
      <c r="Q90" s="511" t="n">
        <f aca="false">IF(INT(Q$6/$X89)*$X$7&gt;Q88*($X$7+$Z89)*$Y89,Q88*($X$7+$Z89)-SUM($B90:P90),INT(Q$6/$X89)*$X$7-Q88*($X$7+$Z89)*($Y89-1)-SUM($B90:P90))+IF($Y89&gt;1,IF(INT(Q$6/$X89)&gt;0,$Z89-$AA89,0),-$AA89)</f>
        <v>0</v>
      </c>
      <c r="R90" s="511" t="n">
        <f aca="false">IF(INT(R$6/$X89)*$X$7&gt;R88*($X$7+$Z89)*$Y89,R88*($X$7+$Z89)-SUM($B90:Q90),INT(R$6/$X89)*$X$7-R88*($X$7+$Z89)*($Y89-1)-SUM($B90:Q90))+IF($Y89&gt;1,IF(INT(R$6/$X89)&gt;0,$Z89-$AA89,0),-$AA89)</f>
        <v>0</v>
      </c>
      <c r="S90" s="511" t="n">
        <f aca="false">IF(INT(S$6/$X89)*$X$7&gt;S88*($X$7+$Z89)*$Y89,S88*($X$7+$Z89)-SUM($B90:R90),INT(S$6/$X89)*$X$7-S88*($X$7+$Z89)*($Y89-1)-SUM($B90:R90))+IF($Y89&gt;1,IF(INT(S$6/$X89)&gt;0,$Z89-$AA89,0),-$AA89)</f>
        <v>0</v>
      </c>
      <c r="T90" s="511" t="n">
        <f aca="false">IF(INT(T$6/$X89)*$X$7&gt;T88*($X$7+$Z89)*$Y89,T88*($X$7+$Z89)-SUM($B90:S90),INT(T$6/$X89)*$X$7-T88*($X$7+$Z89)*($Y89-1)-SUM($B90:S90))+IF($Y89&gt;1,IF(INT(T$6/$X89)&gt;0,$Z89-$AA89,0),-$AA89)</f>
        <v>0</v>
      </c>
      <c r="U90" s="511" t="n">
        <f aca="false">IF(INT(U$6/$X89)*$X$7&gt;U88*($X$7+$Z89)*$Y89,U88*($X$7+$Z89)-SUM($B90:T90),INT(U$6/$X89)*$X$7-U88*($X$7+$Z89)*($Y89-1)-SUM($B90:T90))+IF($Y89&gt;1,IF(INT(U$6/$X89)&gt;0,$Z89-$AA89,0),-$AA89)</f>
        <v>0</v>
      </c>
      <c r="V90" s="511" t="n">
        <f aca="false">IF(INT(V$6/$X89)*$X$7&gt;V88*($X$7+$Z89)*$Y89,V88*($X$7+$Z89)-SUM($B90:U90),INT(V$6/$X89)*$X$7-V88*($X$7+$Z89)*($Y89-1)-SUM($B90:U90))+IF($Y89&gt;1,IF(INT(V$6/$X89)&gt;0,$Z89-$AA89,0),-$AA89)</f>
        <v>0</v>
      </c>
      <c r="W90" s="108"/>
      <c r="Z90" s="157"/>
      <c r="AA90" s="157"/>
      <c r="AB90" s="157"/>
    </row>
    <row r="91" customFormat="false" ht="12.75" hidden="false" customHeight="false" outlineLevel="0" collapsed="false">
      <c r="A91" s="157"/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785"/>
      <c r="Y91" s="157"/>
      <c r="Z91" s="157"/>
      <c r="AA91" s="157"/>
      <c r="AB91" s="157"/>
    </row>
    <row r="92" customFormat="false" ht="12.75" hidden="true" customHeight="false" outlineLevel="0" collapsed="false">
      <c r="A92" s="153" t="s">
        <v>1395</v>
      </c>
      <c r="B92" s="511"/>
      <c r="C92" s="153" t="e">
        <f aca="false">INT((INT(C$6/#REF!)*$X$7+$X$7+#REF!-1)/($X$7+#REF!)/#REF!)</f>
        <v>#REF!</v>
      </c>
      <c r="D92" s="153" t="e">
        <f aca="false">INT((INT(D$6/#REF!)*$X$7+$X$7+#REF!-1)/($X$7+#REF!)/#REF!)</f>
        <v>#REF!</v>
      </c>
      <c r="E92" s="153" t="e">
        <f aca="false">INT((INT(E$6/#REF!)*$X$7+$X$7+#REF!-1)/($X$7+#REF!)/#REF!)</f>
        <v>#REF!</v>
      </c>
      <c r="F92" s="153" t="e">
        <f aca="false">INT((INT(F$6/#REF!)*$X$7+$X$7+#REF!-1)/($X$7+#REF!)/#REF!)</f>
        <v>#REF!</v>
      </c>
      <c r="G92" s="153" t="e">
        <f aca="false">INT((INT(G$6/#REF!)*$X$7+$X$7+#REF!-1)/($X$7+#REF!)/#REF!)</f>
        <v>#REF!</v>
      </c>
      <c r="H92" s="153" t="e">
        <f aca="false">INT((INT(H$6/#REF!)*$X$7+$X$7+#REF!-1)/($X$7+#REF!)/#REF!)</f>
        <v>#REF!</v>
      </c>
      <c r="I92" s="153" t="e">
        <f aca="false">INT((INT(I$6/#REF!)*$X$7+$X$7+#REF!-1)/($X$7+#REF!)/#REF!)</f>
        <v>#REF!</v>
      </c>
      <c r="J92" s="153" t="e">
        <f aca="false">INT((INT(J$6/#REF!)*$X$7+$X$7+#REF!-1)/($X$7+#REF!)/#REF!)</f>
        <v>#REF!</v>
      </c>
      <c r="K92" s="153" t="e">
        <f aca="false">INT((INT(K$6/#REF!)*$X$7+$X$7+#REF!-1)/($X$7+#REF!)/#REF!)</f>
        <v>#REF!</v>
      </c>
      <c r="L92" s="153" t="e">
        <f aca="false">INT((INT(L$6/#REF!)*$X$7+$X$7+#REF!-1)/($X$7+#REF!)/#REF!)</f>
        <v>#REF!</v>
      </c>
      <c r="M92" s="153" t="e">
        <f aca="false">INT((INT(M$6/#REF!)*$X$7+$X$7+#REF!-1)/($X$7+#REF!)/#REF!)</f>
        <v>#REF!</v>
      </c>
      <c r="N92" s="153" t="e">
        <f aca="false">INT((INT(N$6/#REF!)*$X$7+$X$7+#REF!-1)/($X$7+#REF!)/#REF!)</f>
        <v>#REF!</v>
      </c>
      <c r="O92" s="153" t="e">
        <f aca="false">INT((INT(O$6/#REF!)*$X$7+$X$7+#REF!-1)/($X$7+#REF!)/#REF!)</f>
        <v>#REF!</v>
      </c>
      <c r="P92" s="153" t="e">
        <f aca="false">INT((INT(P$6/#REF!)*$X$7+$X$7+#REF!-1)/($X$7+#REF!)/#REF!)</f>
        <v>#REF!</v>
      </c>
      <c r="Q92" s="153" t="e">
        <f aca="false">INT((INT(Q$6/#REF!)*$X$7+$X$7+#REF!-1)/($X$7+#REF!)/#REF!)</f>
        <v>#REF!</v>
      </c>
      <c r="R92" s="153" t="e">
        <f aca="false">INT((INT(R$6/#REF!)*$X$7+$X$7+#REF!-1)/($X$7+#REF!)/#REF!)</f>
        <v>#REF!</v>
      </c>
      <c r="S92" s="153" t="e">
        <f aca="false">INT((INT(S$6/#REF!)*$X$7+$X$7+#REF!-1)/($X$7+#REF!)/#REF!)</f>
        <v>#REF!</v>
      </c>
      <c r="T92" s="153" t="e">
        <f aca="false">INT((INT(T$6/#REF!)*$X$7+$X$7+#REF!-1)/($X$7+#REF!)/#REF!)</f>
        <v>#REF!</v>
      </c>
      <c r="U92" s="153" t="e">
        <f aca="false">INT((INT(U$6/#REF!)*$X$7+$X$7+#REF!-1)/($X$7+#REF!)/#REF!)</f>
        <v>#REF!</v>
      </c>
      <c r="V92" s="153" t="e">
        <f aca="false">INT((INT(V$6/#REF!)*$X$7+$X$7+#REF!-1)/($X$7+#REF!)/#REF!)</f>
        <v>#REF!</v>
      </c>
      <c r="W92" s="157"/>
      <c r="X92" s="157"/>
      <c r="Y92" s="157"/>
      <c r="Z92" s="157"/>
      <c r="AA92" s="157"/>
      <c r="AB92" s="1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rowBreaks count="1" manualBreakCount="1">
    <brk id="74" man="true" max="16383" min="0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9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selection pane="topLeft" activeCell="A46" activeCellId="0" sqref="A4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809" t="s">
        <v>1398</v>
      </c>
      <c r="B2" s="157"/>
      <c r="C2" s="157"/>
      <c r="D2" s="157"/>
      <c r="E2" s="157"/>
    </row>
    <row r="3" customFormat="false" ht="11.25" hidden="false" customHeight="true" outlineLevel="0" collapsed="false">
      <c r="A3" s="809"/>
      <c r="B3" s="157"/>
      <c r="C3" s="157"/>
      <c r="D3" s="157"/>
      <c r="E3" s="157"/>
    </row>
    <row r="4" customFormat="false" ht="12.75" hidden="false" customHeight="false" outlineLevel="0" collapsed="false">
      <c r="A4" s="518" t="s">
        <v>1399</v>
      </c>
      <c r="B4" s="810" t="s">
        <v>1143</v>
      </c>
      <c r="C4" s="810"/>
      <c r="D4" s="157"/>
      <c r="E4" s="157"/>
    </row>
    <row r="5" customFormat="false" ht="12.75" hidden="false" customHeight="false" outlineLevel="0" collapsed="false">
      <c r="A5" s="518" t="s">
        <v>1400</v>
      </c>
      <c r="B5" s="810" t="s">
        <v>1143</v>
      </c>
      <c r="C5" s="810"/>
      <c r="D5" s="157"/>
      <c r="E5" s="157" t="s">
        <v>1007</v>
      </c>
    </row>
    <row r="6" customFormat="false" ht="12.75" hidden="false" customHeight="false" outlineLevel="0" collapsed="false">
      <c r="A6" s="518" t="s">
        <v>1401</v>
      </c>
      <c r="B6" s="811" t="n">
        <v>36663</v>
      </c>
      <c r="C6" s="157"/>
      <c r="D6" s="157"/>
      <c r="E6" s="157" t="s">
        <v>1007</v>
      </c>
    </row>
    <row r="7" customFormat="false" ht="12.75" hidden="false" customHeight="false" outlineLevel="0" collapsed="false">
      <c r="A7" s="518" t="s">
        <v>1402</v>
      </c>
      <c r="B7" s="157" t="s">
        <v>1403</v>
      </c>
      <c r="C7" s="157"/>
      <c r="D7" s="157"/>
      <c r="E7" s="157"/>
    </row>
    <row r="8" customFormat="false" ht="12.75" hidden="false" customHeight="false" outlineLevel="0" collapsed="false">
      <c r="A8" s="518" t="s">
        <v>1007</v>
      </c>
      <c r="B8" s="157"/>
      <c r="C8" s="157"/>
      <c r="D8" s="157"/>
      <c r="E8" s="157"/>
    </row>
    <row r="9" customFormat="false" ht="12.75" hidden="false" customHeight="false" outlineLevel="0" collapsed="false">
      <c r="A9" s="518" t="s">
        <v>1007</v>
      </c>
      <c r="B9" s="157" t="s">
        <v>1007</v>
      </c>
      <c r="C9" s="157"/>
      <c r="D9" s="157"/>
      <c r="E9" s="157"/>
    </row>
    <row r="10" customFormat="false" ht="12.75" hidden="false" customHeight="false" outlineLevel="0" collapsed="false">
      <c r="A10" s="667"/>
      <c r="B10" s="667"/>
      <c r="C10" s="667"/>
      <c r="D10" s="667"/>
      <c r="E10" s="667"/>
      <c r="F10" s="667"/>
      <c r="G10" s="667"/>
    </row>
    <row r="11" customFormat="false" ht="26.25" hidden="false" customHeight="false" outlineLevel="0" collapsed="false">
      <c r="A11" s="812" t="s">
        <v>1007</v>
      </c>
      <c r="B11" s="812" t="s">
        <v>1404</v>
      </c>
      <c r="C11" s="812" t="s">
        <v>1405</v>
      </c>
      <c r="D11" s="812" t="s">
        <v>1406</v>
      </c>
      <c r="E11" s="667"/>
      <c r="F11" s="667"/>
      <c r="G11" s="812" t="s">
        <v>1407</v>
      </c>
    </row>
    <row r="12" customFormat="false" ht="12.75" hidden="false" customHeight="false" outlineLevel="0" collapsed="false">
      <c r="A12" s="813" t="s">
        <v>1408</v>
      </c>
      <c r="B12" s="814" t="n">
        <v>8000</v>
      </c>
      <c r="C12" s="815" t="n">
        <v>106</v>
      </c>
      <c r="D12" s="815" t="n">
        <v>90.1</v>
      </c>
      <c r="G12" s="814" t="n">
        <v>400</v>
      </c>
    </row>
    <row r="13" customFormat="false" ht="12.75" hidden="false" customHeight="false" outlineLevel="0" collapsed="false">
      <c r="A13" s="153" t="s">
        <v>1409</v>
      </c>
      <c r="B13" s="816" t="n">
        <v>24000</v>
      </c>
      <c r="C13" s="770" t="n">
        <v>212</v>
      </c>
      <c r="D13" s="770" t="n">
        <v>121.9</v>
      </c>
      <c r="G13" s="816" t="n">
        <v>800</v>
      </c>
    </row>
    <row r="14" customFormat="false" ht="12.75" hidden="false" customHeight="false" outlineLevel="0" collapsed="false">
      <c r="A14" s="153" t="s">
        <v>1410</v>
      </c>
      <c r="B14" s="816" t="n">
        <v>48000</v>
      </c>
      <c r="C14" s="770" t="n">
        <v>598.9</v>
      </c>
      <c r="D14" s="770" t="n">
        <v>174.9</v>
      </c>
      <c r="G14" s="816" t="n">
        <v>2400</v>
      </c>
      <c r="M14" s="792"/>
    </row>
    <row r="16" customFormat="false" ht="39" hidden="false" customHeight="false" outlineLevel="0" collapsed="false">
      <c r="A16" s="817" t="s">
        <v>1411</v>
      </c>
      <c r="B16" s="817" t="s">
        <v>1412</v>
      </c>
      <c r="C16" s="817" t="s">
        <v>1413</v>
      </c>
      <c r="D16" s="817" t="s">
        <v>1414</v>
      </c>
      <c r="E16" s="817" t="s">
        <v>1415</v>
      </c>
      <c r="F16" s="818"/>
      <c r="G16" s="812" t="s">
        <v>1416</v>
      </c>
      <c r="H16" s="812" t="s">
        <v>1417</v>
      </c>
    </row>
    <row r="17" customFormat="false" ht="12.75" hidden="false" customHeight="false" outlineLevel="0" collapsed="false">
      <c r="A17" s="819" t="s">
        <v>1418</v>
      </c>
      <c r="B17" s="820" t="n">
        <v>8000</v>
      </c>
      <c r="C17" s="820" t="n">
        <v>6</v>
      </c>
      <c r="D17" s="819" t="n">
        <v>117.6</v>
      </c>
      <c r="E17" s="819" t="n">
        <v>490.588</v>
      </c>
      <c r="F17" s="785"/>
      <c r="G17" s="821" t="n">
        <v>400</v>
      </c>
      <c r="H17" s="822" t="n">
        <v>4</v>
      </c>
      <c r="L17" s="792"/>
    </row>
    <row r="18" customFormat="false" ht="12.75" hidden="false" customHeight="false" outlineLevel="0" collapsed="false">
      <c r="A18" s="823" t="s">
        <v>1419</v>
      </c>
      <c r="B18" s="824" t="n">
        <v>8000</v>
      </c>
      <c r="C18" s="824" t="n">
        <v>6</v>
      </c>
      <c r="D18" s="823" t="n">
        <v>98.2</v>
      </c>
      <c r="E18" s="823" t="n">
        <v>714</v>
      </c>
      <c r="F18" s="785"/>
      <c r="G18" s="821" t="n">
        <v>400</v>
      </c>
      <c r="H18" s="825" t="n">
        <v>4</v>
      </c>
      <c r="P18" s="792"/>
    </row>
    <row r="19" customFormat="false" ht="12.75" hidden="false" customHeight="false" outlineLevel="0" collapsed="false">
      <c r="A19" s="823" t="s">
        <v>1420</v>
      </c>
      <c r="B19" s="824" t="n">
        <v>8000</v>
      </c>
      <c r="C19" s="824" t="n">
        <v>3</v>
      </c>
      <c r="D19" s="823" t="n">
        <v>15</v>
      </c>
      <c r="E19" s="823" t="n">
        <v>49.938</v>
      </c>
      <c r="F19" s="785"/>
      <c r="G19" s="821" t="n">
        <v>400</v>
      </c>
      <c r="H19" s="825" t="n">
        <v>2</v>
      </c>
    </row>
    <row r="20" customFormat="false" ht="12.75" hidden="false" customHeight="false" outlineLevel="0" collapsed="false">
      <c r="A20" s="823" t="s">
        <v>1421</v>
      </c>
      <c r="B20" s="824" t="n">
        <v>8000</v>
      </c>
      <c r="C20" s="824" t="n">
        <v>8</v>
      </c>
      <c r="D20" s="823" t="n">
        <v>96.75</v>
      </c>
      <c r="E20" s="823" t="n">
        <v>521.64</v>
      </c>
      <c r="F20" s="785"/>
      <c r="G20" s="821" t="n">
        <v>400</v>
      </c>
      <c r="H20" s="825" t="n">
        <v>5</v>
      </c>
    </row>
    <row r="21" customFormat="false" ht="12.75" hidden="false" customHeight="false" outlineLevel="0" collapsed="false">
      <c r="A21" s="823" t="s">
        <v>1422</v>
      </c>
      <c r="B21" s="824" t="n">
        <v>8000</v>
      </c>
      <c r="C21" s="824" t="n">
        <v>8</v>
      </c>
      <c r="D21" s="823" t="n">
        <v>14.7</v>
      </c>
      <c r="E21" s="823" t="n">
        <v>81.9</v>
      </c>
      <c r="F21" s="785"/>
      <c r="G21" s="821" t="n">
        <v>400</v>
      </c>
      <c r="H21" s="825" t="n">
        <v>5</v>
      </c>
    </row>
    <row r="22" customFormat="false" ht="12.75" hidden="false" customHeight="false" outlineLevel="0" collapsed="false">
      <c r="A22" s="826" t="s">
        <v>1423</v>
      </c>
      <c r="B22" s="827" t="n">
        <v>24000</v>
      </c>
      <c r="C22" s="827" t="n">
        <v>2</v>
      </c>
      <c r="D22" s="826" t="n">
        <v>137.2</v>
      </c>
      <c r="E22" s="826" t="n">
        <v>560.115</v>
      </c>
      <c r="F22" s="785"/>
      <c r="G22" s="828" t="n">
        <v>800</v>
      </c>
      <c r="H22" s="829" t="n">
        <v>2</v>
      </c>
    </row>
    <row r="23" customFormat="false" ht="12.75" hidden="false" customHeight="false" outlineLevel="0" collapsed="false">
      <c r="A23" s="826" t="s">
        <v>1424</v>
      </c>
      <c r="B23" s="827" t="n">
        <v>24000</v>
      </c>
      <c r="C23" s="827" t="n">
        <v>3</v>
      </c>
      <c r="D23" s="826" t="n">
        <v>115</v>
      </c>
      <c r="E23" s="826" t="n">
        <v>470.12</v>
      </c>
      <c r="F23" s="785"/>
      <c r="G23" s="828" t="n">
        <v>800</v>
      </c>
      <c r="H23" s="829" t="n">
        <v>3</v>
      </c>
      <c r="K23" s="792"/>
    </row>
    <row r="24" customFormat="false" ht="12.75" hidden="false" customHeight="false" outlineLevel="0" collapsed="false">
      <c r="A24" s="826" t="s">
        <v>1425</v>
      </c>
      <c r="B24" s="827" t="n">
        <v>24000</v>
      </c>
      <c r="C24" s="827" t="n">
        <v>4</v>
      </c>
      <c r="D24" s="826" t="n">
        <v>111.13</v>
      </c>
      <c r="E24" s="826" t="n">
        <v>491.92</v>
      </c>
      <c r="F24" s="785"/>
      <c r="G24" s="832" t="n">
        <v>1600</v>
      </c>
      <c r="H24" s="833" t="n">
        <v>2</v>
      </c>
    </row>
    <row r="25" customFormat="false" ht="12.75" hidden="false" customHeight="false" outlineLevel="0" collapsed="false">
      <c r="A25" s="830" t="s">
        <v>1426</v>
      </c>
      <c r="B25" s="831" t="n">
        <v>48000</v>
      </c>
      <c r="C25" s="831" t="n">
        <v>2</v>
      </c>
      <c r="D25" s="830" t="n">
        <v>113.93</v>
      </c>
      <c r="E25" s="830" t="n">
        <v>984.656</v>
      </c>
      <c r="F25" s="785"/>
      <c r="G25" s="832" t="n">
        <v>1600</v>
      </c>
      <c r="H25" s="833" t="n">
        <v>2</v>
      </c>
    </row>
    <row r="26" customFormat="false" ht="12.75" hidden="false" customHeight="false" outlineLevel="0" collapsed="false">
      <c r="A26" s="826" t="s">
        <v>1427</v>
      </c>
      <c r="B26" s="827" t="n">
        <v>24000</v>
      </c>
      <c r="C26" s="827" t="n">
        <v>2</v>
      </c>
      <c r="D26" s="826" t="n">
        <v>177.5</v>
      </c>
      <c r="E26" s="826" t="n">
        <v>900.336</v>
      </c>
      <c r="F26" s="785"/>
      <c r="G26" s="828" t="n">
        <v>800</v>
      </c>
      <c r="H26" s="829" t="n">
        <v>2</v>
      </c>
    </row>
    <row r="27" customFormat="false" ht="12.75" hidden="false" customHeight="false" outlineLevel="0" collapsed="false">
      <c r="A27" s="826" t="s">
        <v>1428</v>
      </c>
      <c r="B27" s="827" t="n">
        <v>24000</v>
      </c>
      <c r="C27" s="827" t="n">
        <v>3</v>
      </c>
      <c r="D27" s="826" t="n">
        <v>132.3</v>
      </c>
      <c r="E27" s="826" t="n">
        <v>617.056</v>
      </c>
      <c r="F27" s="785"/>
      <c r="G27" s="828" t="n">
        <v>800</v>
      </c>
      <c r="H27" s="829" t="n">
        <v>3</v>
      </c>
    </row>
    <row r="28" customFormat="false" ht="12.75" hidden="false" customHeight="false" outlineLevel="0" collapsed="false">
      <c r="A28" s="826" t="s">
        <v>1429</v>
      </c>
      <c r="B28" s="827" t="n">
        <v>24000</v>
      </c>
      <c r="C28" s="827" t="n">
        <v>4</v>
      </c>
      <c r="D28" s="826" t="n">
        <v>77.4</v>
      </c>
      <c r="E28" s="826" t="n">
        <v>660.002</v>
      </c>
      <c r="F28" s="785"/>
      <c r="G28" s="828" t="n">
        <v>800</v>
      </c>
      <c r="H28" s="829" t="n">
        <v>4</v>
      </c>
      <c r="K28" s="792"/>
    </row>
    <row r="29" customFormat="false" ht="12.75" hidden="false" customHeight="false" outlineLevel="0" collapsed="false">
      <c r="A29" s="830" t="s">
        <v>1430</v>
      </c>
      <c r="B29" s="831" t="n">
        <v>48000</v>
      </c>
      <c r="C29" s="831" t="n">
        <v>2</v>
      </c>
      <c r="D29" s="830" t="n">
        <v>90.405</v>
      </c>
      <c r="E29" s="830" t="n">
        <v>709.604</v>
      </c>
      <c r="F29" s="785"/>
      <c r="G29" s="832" t="n">
        <v>1600</v>
      </c>
      <c r="H29" s="833" t="n">
        <v>2</v>
      </c>
    </row>
    <row r="30" customFormat="false" ht="12.75" hidden="false" customHeight="false" outlineLevel="0" collapsed="false">
      <c r="A30" s="826" t="s">
        <v>1431</v>
      </c>
      <c r="B30" s="827" t="n">
        <v>24000</v>
      </c>
      <c r="C30" s="827" t="n">
        <v>2</v>
      </c>
      <c r="D30" s="826" t="n">
        <v>14.5</v>
      </c>
      <c r="E30" s="826" t="n">
        <v>128.88</v>
      </c>
      <c r="F30" s="785"/>
      <c r="G30" s="828" t="n">
        <v>800</v>
      </c>
      <c r="H30" s="829" t="n">
        <v>2</v>
      </c>
    </row>
    <row r="31" customFormat="false" ht="12.75" hidden="false" customHeight="false" outlineLevel="0" collapsed="false">
      <c r="A31" s="826" t="s">
        <v>1432</v>
      </c>
      <c r="B31" s="827" t="n">
        <v>24000</v>
      </c>
      <c r="C31" s="827" t="n">
        <v>2</v>
      </c>
      <c r="D31" s="826" t="n">
        <v>14.5</v>
      </c>
      <c r="E31" s="826" t="n">
        <v>117.504</v>
      </c>
      <c r="F31" s="785"/>
      <c r="G31" s="828" t="n">
        <v>800</v>
      </c>
      <c r="H31" s="829" t="n">
        <v>2</v>
      </c>
    </row>
    <row r="32" customFormat="false" ht="12.75" hidden="false" customHeight="false" outlineLevel="0" collapsed="false">
      <c r="A32" s="830" t="s">
        <v>1433</v>
      </c>
      <c r="B32" s="831" t="n">
        <v>48000</v>
      </c>
      <c r="C32" s="831" t="n">
        <v>1.5</v>
      </c>
      <c r="D32" s="830" t="n">
        <v>13</v>
      </c>
      <c r="E32" s="830" t="n">
        <v>64.74</v>
      </c>
      <c r="F32" s="785"/>
      <c r="G32" s="832" t="n">
        <v>1600</v>
      </c>
      <c r="H32" s="834" t="n">
        <v>1.5</v>
      </c>
    </row>
    <row r="33" customFormat="false" ht="12.75" hidden="false" customHeight="false" outlineLevel="0" collapsed="false">
      <c r="A33" s="830" t="s">
        <v>1434</v>
      </c>
      <c r="B33" s="831" t="n">
        <v>48000</v>
      </c>
      <c r="C33" s="831" t="n">
        <v>2</v>
      </c>
      <c r="D33" s="830" t="n">
        <v>13</v>
      </c>
      <c r="E33" s="830" t="n">
        <v>125.075</v>
      </c>
      <c r="F33" s="785"/>
      <c r="G33" s="832" t="n">
        <v>1600</v>
      </c>
      <c r="H33" s="834" t="n">
        <v>2</v>
      </c>
    </row>
    <row r="34" customFormat="false" ht="12.75" hidden="false" customHeight="false" outlineLevel="0" collapsed="false">
      <c r="A34" s="830" t="s">
        <v>1435</v>
      </c>
      <c r="B34" s="831" t="n">
        <v>48000</v>
      </c>
      <c r="C34" s="831" t="n">
        <v>2</v>
      </c>
      <c r="D34" s="830" t="n">
        <v>63</v>
      </c>
      <c r="E34" s="830" t="n">
        <v>654.335</v>
      </c>
      <c r="F34" s="785"/>
      <c r="G34" s="832" t="n">
        <v>1600</v>
      </c>
      <c r="H34" s="834" t="n">
        <v>2</v>
      </c>
    </row>
    <row r="35" customFormat="false" ht="12.75" hidden="false" customHeight="false" outlineLevel="0" collapsed="false">
      <c r="A35" s="830" t="s">
        <v>1436</v>
      </c>
      <c r="B35" s="831" t="n">
        <v>48000</v>
      </c>
      <c r="C35" s="831" t="n">
        <v>2</v>
      </c>
      <c r="D35" s="830" t="n">
        <v>63</v>
      </c>
      <c r="E35" s="830" t="n">
        <v>1817.532</v>
      </c>
      <c r="F35" s="785"/>
      <c r="G35" s="832" t="n">
        <v>1600</v>
      </c>
      <c r="H35" s="834" t="n">
        <v>2</v>
      </c>
    </row>
    <row r="36" customFormat="false" ht="12.75" hidden="true" customHeight="false" outlineLevel="0" collapsed="false">
      <c r="A36" s="763"/>
      <c r="B36" s="835"/>
      <c r="C36" s="835"/>
      <c r="D36" s="816"/>
      <c r="E36" s="763"/>
      <c r="F36" s="785"/>
      <c r="G36" s="816" t="n">
        <v>9999999</v>
      </c>
      <c r="H36" s="816" t="n">
        <v>999</v>
      </c>
    </row>
    <row r="37" customFormat="false" ht="12.75" hidden="true" customHeight="false" outlineLevel="0" collapsed="false">
      <c r="A37" s="763"/>
      <c r="B37" s="835"/>
      <c r="C37" s="835"/>
      <c r="D37" s="816"/>
      <c r="E37" s="763"/>
      <c r="F37" s="785"/>
      <c r="G37" s="816" t="n">
        <v>9999999</v>
      </c>
      <c r="H37" s="816" t="n">
        <v>999</v>
      </c>
    </row>
    <row r="38" customFormat="false" ht="12.75" hidden="true" customHeight="false" outlineLevel="0" collapsed="false">
      <c r="A38" s="836"/>
      <c r="B38" s="824"/>
      <c r="C38" s="824"/>
      <c r="D38" s="837"/>
      <c r="E38" s="823"/>
      <c r="F38" s="785"/>
      <c r="G38" s="837" t="n">
        <v>9999999</v>
      </c>
      <c r="H38" s="837" t="n">
        <v>999</v>
      </c>
    </row>
    <row r="39" customFormat="false" ht="12.75" hidden="true" customHeight="false" outlineLevel="0" collapsed="false">
      <c r="A39" s="836"/>
      <c r="B39" s="824"/>
      <c r="C39" s="824"/>
      <c r="D39" s="837"/>
      <c r="E39" s="837"/>
      <c r="F39" s="785"/>
      <c r="G39" s="837" t="n">
        <v>9999999</v>
      </c>
      <c r="H39" s="837" t="n">
        <v>999</v>
      </c>
    </row>
    <row r="40" customFormat="false" ht="12.75" hidden="true" customHeight="false" outlineLevel="0" collapsed="false">
      <c r="A40" s="837"/>
      <c r="B40" s="824"/>
      <c r="C40" s="824"/>
      <c r="D40" s="837"/>
      <c r="E40" s="837"/>
      <c r="F40" s="785"/>
      <c r="G40" s="837" t="n">
        <v>9999999</v>
      </c>
      <c r="H40" s="837" t="n">
        <v>999</v>
      </c>
    </row>
    <row r="41" customFormat="false" ht="12.75" hidden="true" customHeight="false" outlineLevel="0" collapsed="false">
      <c r="A41" s="826"/>
      <c r="B41" s="827"/>
      <c r="C41" s="827"/>
      <c r="D41" s="826"/>
      <c r="E41" s="826"/>
      <c r="F41" s="785"/>
      <c r="G41" s="838" t="n">
        <v>9999999</v>
      </c>
      <c r="H41" s="838" t="n">
        <v>999</v>
      </c>
    </row>
    <row r="42" customFormat="false" ht="12.75" hidden="true" customHeight="false" outlineLevel="0" collapsed="false">
      <c r="A42" s="826"/>
      <c r="B42" s="827"/>
      <c r="C42" s="827"/>
      <c r="D42" s="826"/>
      <c r="E42" s="826"/>
      <c r="F42" s="785"/>
      <c r="G42" s="838" t="n">
        <v>9999999</v>
      </c>
      <c r="H42" s="838" t="n">
        <v>999</v>
      </c>
    </row>
    <row r="43" customFormat="false" ht="12.75" hidden="true" customHeight="false" outlineLevel="0" collapsed="false">
      <c r="A43" s="826"/>
      <c r="B43" s="827"/>
      <c r="C43" s="827"/>
      <c r="D43" s="826"/>
      <c r="E43" s="826"/>
      <c r="F43" s="785"/>
      <c r="G43" s="838" t="n">
        <v>9999999</v>
      </c>
      <c r="H43" s="838" t="n">
        <v>999</v>
      </c>
    </row>
    <row r="45" customFormat="false" ht="12.75" hidden="false" customHeight="false" outlineLevel="0" collapsed="false">
      <c r="A45" s="839" t="s">
        <v>1437</v>
      </c>
      <c r="B45" s="840"/>
      <c r="C45" s="840"/>
      <c r="D45" s="840"/>
      <c r="E45" s="841"/>
    </row>
    <row r="46" customFormat="false" ht="12.75" hidden="false" customHeight="false" outlineLevel="0" collapsed="false">
      <c r="A46" s="395" t="s">
        <v>1438</v>
      </c>
      <c r="B46" s="157"/>
      <c r="C46" s="157"/>
      <c r="D46" s="157"/>
      <c r="E46" s="503"/>
    </row>
    <row r="47" customFormat="false" ht="12.75" hidden="false" customHeight="false" outlineLevel="0" collapsed="false">
      <c r="A47" s="395"/>
      <c r="B47" s="157"/>
      <c r="C47" s="157"/>
      <c r="D47" s="157"/>
      <c r="E47" s="503"/>
    </row>
    <row r="48" customFormat="false" ht="12.75" hidden="false" customHeight="false" outlineLevel="0" collapsed="false">
      <c r="A48" s="395"/>
      <c r="B48" s="157"/>
      <c r="C48" s="157"/>
      <c r="D48" s="157"/>
      <c r="E48" s="503"/>
    </row>
    <row r="49" customFormat="false" ht="12.75" hidden="false" customHeight="false" outlineLevel="0" collapsed="false">
      <c r="A49" s="842"/>
      <c r="B49" s="520"/>
      <c r="C49" s="520"/>
      <c r="D49" s="520"/>
      <c r="E49" s="52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70"/>
  <sheetViews>
    <sheetView showFormulas="false" showGridLines="true" showRowColHeaders="true" showZeros="true" rightToLeft="false" tabSelected="false" showOutlineSymbols="true" defaultGridColor="true" view="normal" topLeftCell="N1" colorId="64" zoomScale="75" zoomScaleNormal="75" zoomScalePageLayoutView="100" workbookViewId="0">
      <selection pane="topLeft" activeCell="C11" activeCellId="0" sqref="C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74" t="s">
        <v>1374</v>
      </c>
    </row>
    <row r="4" customFormat="false" ht="20.25" hidden="false" customHeight="false" outlineLevel="0" collapsed="false">
      <c r="A4" s="774" t="s">
        <v>1375</v>
      </c>
      <c r="B4" s="17"/>
      <c r="C4" s="17"/>
      <c r="D4" s="17"/>
      <c r="W4" s="775" t="str">
        <f aca="false">'GTDB(7EA)'!B4</f>
        <v>GE-7EA-H-V0</v>
      </c>
      <c r="X4" s="153" t="s">
        <v>1376</v>
      </c>
      <c r="Y4" s="153" t="s">
        <v>1377</v>
      </c>
      <c r="Z4" s="157" t="s">
        <v>1007</v>
      </c>
      <c r="AA4" s="153" t="s">
        <v>1378</v>
      </c>
    </row>
    <row r="5" customFormat="false" ht="12.75" hidden="false" customHeight="false" outlineLevel="0" collapsed="false">
      <c r="A5" s="153" t="s">
        <v>1327</v>
      </c>
      <c r="B5" s="153" t="s">
        <v>1007</v>
      </c>
      <c r="C5" s="153" t="n">
        <v>1</v>
      </c>
      <c r="D5" s="153" t="n">
        <v>2</v>
      </c>
      <c r="E5" s="153" t="n">
        <v>3</v>
      </c>
      <c r="F5" s="153" t="n">
        <v>4</v>
      </c>
      <c r="G5" s="153" t="n">
        <v>5</v>
      </c>
      <c r="H5" s="153" t="n">
        <v>6</v>
      </c>
      <c r="I5" s="153" t="n">
        <v>7</v>
      </c>
      <c r="J5" s="153" t="n">
        <v>8</v>
      </c>
      <c r="K5" s="153" t="n">
        <v>9</v>
      </c>
      <c r="L5" s="153" t="n">
        <v>10</v>
      </c>
      <c r="M5" s="153" t="n">
        <v>11</v>
      </c>
      <c r="N5" s="153" t="n">
        <v>12</v>
      </c>
      <c r="O5" s="153" t="n">
        <v>13</v>
      </c>
      <c r="P5" s="153" t="n">
        <v>14</v>
      </c>
      <c r="Q5" s="153" t="n">
        <v>15</v>
      </c>
      <c r="R5" s="153" t="n">
        <v>16</v>
      </c>
      <c r="S5" s="153" t="n">
        <v>17</v>
      </c>
      <c r="T5" s="153" t="n">
        <v>18</v>
      </c>
      <c r="U5" s="153" t="n">
        <v>19</v>
      </c>
      <c r="V5" s="380" t="n">
        <v>20</v>
      </c>
      <c r="W5" s="511" t="s">
        <v>1379</v>
      </c>
      <c r="X5" s="776" t="n">
        <v>20</v>
      </c>
      <c r="Y5" s="776" t="n">
        <f aca="false">20-X5</f>
        <v>0</v>
      </c>
      <c r="Z5" s="157" t="s">
        <v>1007</v>
      </c>
      <c r="AA5" s="777"/>
    </row>
    <row r="6" customFormat="false" ht="13.5" hidden="false" customHeight="false" outlineLevel="0" collapsed="false">
      <c r="A6" s="153" t="s">
        <v>1380</v>
      </c>
      <c r="B6" s="520"/>
      <c r="C6" s="153" t="n">
        <f aca="false">B6+IF(C5&gt;$X$5,$Y$6,$X$6)</f>
        <v>0</v>
      </c>
      <c r="D6" s="153" t="n">
        <f aca="false">C6+IF(D5&gt;$X$5,$Y$6,$X$6)</f>
        <v>0</v>
      </c>
      <c r="E6" s="153" t="n">
        <f aca="false">D6+IF(E5&gt;$X$5,$Y$6,$X$6)</f>
        <v>0</v>
      </c>
      <c r="F6" s="153" t="n">
        <f aca="false">E6+IF(F5&gt;$X$5,$Y$6,$X$6)</f>
        <v>0</v>
      </c>
      <c r="G6" s="153" t="n">
        <f aca="false">F6+IF(G5&gt;$X$5,$Y$6,$X$6)</f>
        <v>0</v>
      </c>
      <c r="H6" s="153" t="n">
        <f aca="false">G6+IF(H5&gt;$X$5,$Y$6,$X$6)</f>
        <v>0</v>
      </c>
      <c r="I6" s="153" t="n">
        <f aca="false">H6+IF(I5&gt;$X$5,$Y$6,$X$6)</f>
        <v>0</v>
      </c>
      <c r="J6" s="153" t="n">
        <f aca="false">I6+IF(J5&gt;$X$5,$Y$6,$X$6)</f>
        <v>0</v>
      </c>
      <c r="K6" s="153" t="n">
        <f aca="false">J6+IF(K5&gt;$X$5,$Y$6,$X$6)</f>
        <v>0</v>
      </c>
      <c r="L6" s="153" t="n">
        <f aca="false">K6+IF(L5&gt;$X$5,$Y$6,$X$6)</f>
        <v>0</v>
      </c>
      <c r="M6" s="153" t="n">
        <f aca="false">L6+IF(M5&gt;$X$5,$Y$6,$X$6)</f>
        <v>0</v>
      </c>
      <c r="N6" s="153" t="n">
        <f aca="false">M6+IF(N5&gt;$X$5,$Y$6,$X$6)</f>
        <v>0</v>
      </c>
      <c r="O6" s="153" t="n">
        <f aca="false">N6+IF(O5&gt;$X$5,$Y$6,$X$6)</f>
        <v>0</v>
      </c>
      <c r="P6" s="153" t="n">
        <f aca="false">O6+IF(P5&gt;$X$5,$Y$6,$X$6)</f>
        <v>0</v>
      </c>
      <c r="Q6" s="153" t="n">
        <f aca="false">P6+IF(Q5&gt;$X$5,$Y$6,$X$6)</f>
        <v>0</v>
      </c>
      <c r="R6" s="153" t="n">
        <f aca="false">Q6+IF(R5&gt;$X$5,$Y$6,$X$6)</f>
        <v>0</v>
      </c>
      <c r="S6" s="153" t="n">
        <f aca="false">R6+IF(S5&gt;$X$5,$Y$6,$X$6)</f>
        <v>0</v>
      </c>
      <c r="T6" s="153" t="n">
        <f aca="false">S6+IF(T5&gt;$X$5,$Y$6,$X$6)</f>
        <v>0</v>
      </c>
      <c r="U6" s="153" t="n">
        <f aca="false">T6+IF(U5&gt;$X$5,$Y$6,$X$6)</f>
        <v>0</v>
      </c>
      <c r="V6" s="153" t="n">
        <f aca="false">U6+IF(V5&gt;$X$5,$Y$6,$X$6)</f>
        <v>0</v>
      </c>
      <c r="W6" s="778" t="s">
        <v>1381</v>
      </c>
      <c r="X6" s="779" t="n">
        <v>0</v>
      </c>
      <c r="Y6" s="780" t="n">
        <v>8000</v>
      </c>
      <c r="Z6" s="781"/>
      <c r="AA6" s="777"/>
      <c r="AD6" s="782" t="n">
        <v>1</v>
      </c>
    </row>
    <row r="7" customFormat="false" ht="13.5" hidden="false" customHeight="false" outlineLevel="0" collapsed="false">
      <c r="A7" s="157"/>
      <c r="B7" s="157" t="s">
        <v>1007</v>
      </c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783" t="s">
        <v>1382</v>
      </c>
      <c r="X7" s="784" t="n">
        <v>0</v>
      </c>
      <c r="Y7" s="785"/>
      <c r="Z7" s="157"/>
      <c r="AA7" s="786"/>
    </row>
    <row r="8" customFormat="false" ht="12.75" hidden="false" customHeight="false" outlineLevel="0" collapsed="false">
      <c r="A8" s="153" t="s">
        <v>1383</v>
      </c>
      <c r="B8" s="153" t="n">
        <v>0</v>
      </c>
      <c r="C8" s="153" t="n">
        <f aca="false">(INT(C6/$X8)*$X$7-INT(B6/$X8)*$X$7-C9-C10)</f>
        <v>0</v>
      </c>
      <c r="D8" s="153" t="n">
        <f aca="false">(INT(D6/$X8)*$X$7-INT(C6/$X8)*$X$7-D9-D10)</f>
        <v>0</v>
      </c>
      <c r="E8" s="153" t="n">
        <f aca="false">(INT(E6/$X8)*$X$7-INT(D6/$X8)*$X$7-E9-E10)</f>
        <v>0</v>
      </c>
      <c r="F8" s="153" t="n">
        <f aca="false">(INT(F6/$X8)*$X$7-INT(E6/$X8)*$X$7-F9-F10)</f>
        <v>0</v>
      </c>
      <c r="G8" s="153" t="n">
        <f aca="false">(INT(G6/$X8)*$X$7-INT(F6/$X8)*$X$7-G9-G10)</f>
        <v>0</v>
      </c>
      <c r="H8" s="153" t="n">
        <f aca="false">(INT(H6/$X8)*$X$7-INT(G6/$X8)*$X$7-H9-H10)</f>
        <v>0</v>
      </c>
      <c r="I8" s="153" t="n">
        <f aca="false">(INT(I6/$X8)*$X$7-INT(H6/$X8)*$X$7-I9-I10)</f>
        <v>0</v>
      </c>
      <c r="J8" s="153" t="n">
        <f aca="false">(INT(J6/$X8)*$X$7-INT(I6/$X8)*$X$7-J9-J10)</f>
        <v>0</v>
      </c>
      <c r="K8" s="153" t="n">
        <f aca="false">(INT(K6/$X8)*$X$7-INT(J6/$X8)*$X$7-K9-K10)</f>
        <v>0</v>
      </c>
      <c r="L8" s="153" t="n">
        <f aca="false">(INT(L6/$X8)*$X$7-INT(K6/$X8)*$X$7-L9-L10)</f>
        <v>0</v>
      </c>
      <c r="M8" s="153" t="n">
        <f aca="false">(INT(M6/$X8)*$X$7-INT(L6/$X8)*$X$7-M9-M10)</f>
        <v>0</v>
      </c>
      <c r="N8" s="153" t="n">
        <f aca="false">(INT(N6/$X8)*$X$7-INT(M6/$X8)*$X$7-N9-N10)</f>
        <v>0</v>
      </c>
      <c r="O8" s="153" t="n">
        <f aca="false">(INT(O6/$X8)*$X$7-INT(N6/$X8)*$X$7-O9-O10)</f>
        <v>0</v>
      </c>
      <c r="P8" s="153" t="n">
        <f aca="false">(INT(P6/$X8)*$X$7-INT(O6/$X8)*$X$7-P9-P10)</f>
        <v>0</v>
      </c>
      <c r="Q8" s="153" t="n">
        <f aca="false">(INT(Q6/$X8)*$X$7-INT(P6/$X8)*$X$7-Q9-Q10)</f>
        <v>0</v>
      </c>
      <c r="R8" s="153" t="n">
        <f aca="false">(INT(R6/$X8)*$X$7-INT(Q6/$X8)*$X$7-R9-R10)</f>
        <v>0</v>
      </c>
      <c r="S8" s="153" t="n">
        <f aca="false">(INT(S6/$X8)*$X$7-INT(R6/$X8)*$X$7-S9-S10)</f>
        <v>0</v>
      </c>
      <c r="T8" s="153" t="n">
        <f aca="false">(INT(T6/$X8)*$X$7-INT(S6/$X8)*$X$7-T9-T10)</f>
        <v>0</v>
      </c>
      <c r="U8" s="153" t="n">
        <f aca="false">(INT(U6/$X8)*$X$7-INT(T6/$X8)*$X$7-U9-U10)</f>
        <v>0</v>
      </c>
      <c r="V8" s="380" t="n">
        <f aca="false">(INT(V6/$X8)*$X$7-INT(U6/$X8)*$X$7-V9-V10)</f>
        <v>0</v>
      </c>
      <c r="W8" s="787" t="s">
        <v>1384</v>
      </c>
      <c r="X8" s="788" t="n">
        <f aca="false">IF($AD$6=1,'GTDB(7EA)'!B12,'GTDB(7EA)'!G12)</f>
        <v>8000</v>
      </c>
      <c r="Y8" s="785"/>
      <c r="Z8" s="785"/>
    </row>
    <row r="9" customFormat="false" ht="12.75" hidden="false" customHeight="false" outlineLevel="0" collapsed="false">
      <c r="A9" s="153" t="s">
        <v>1385</v>
      </c>
      <c r="B9" s="153" t="n">
        <v>0</v>
      </c>
      <c r="C9" s="153" t="n">
        <f aca="false">(INT(C6/$X9)-INT(B6/$X9))*$X$7-C10</f>
        <v>0</v>
      </c>
      <c r="D9" s="153" t="n">
        <f aca="false">(INT(D6/$X9)-INT(C6/$X9))*$X$7-D10</f>
        <v>0</v>
      </c>
      <c r="E9" s="153" t="n">
        <f aca="false">(INT(E6/$X9)-INT(D6/$X9))*$X$7-E10</f>
        <v>0</v>
      </c>
      <c r="F9" s="153" t="n">
        <f aca="false">(INT(F6/$X9)-INT(E6/$X9))*$X$7-F10</f>
        <v>0</v>
      </c>
      <c r="G9" s="153" t="n">
        <f aca="false">(INT(G6/$X9)-INT(F6/$X9))*$X$7-G10</f>
        <v>0</v>
      </c>
      <c r="H9" s="153" t="n">
        <f aca="false">(INT(H6/$X9)-INT(G6/$X9))*$X$7-H10</f>
        <v>0</v>
      </c>
      <c r="I9" s="153" t="n">
        <f aca="false">(INT(I6/$X9)-INT(H6/$X9))*$X$7-I10</f>
        <v>0</v>
      </c>
      <c r="J9" s="153" t="n">
        <f aca="false">(INT(J6/$X9)-INT(I6/$X9))*$X$7-J10</f>
        <v>0</v>
      </c>
      <c r="K9" s="153" t="n">
        <f aca="false">(INT(K6/$X9)-INT(J6/$X9))*$X$7-K10</f>
        <v>0</v>
      </c>
      <c r="L9" s="153" t="n">
        <f aca="false">(INT(L6/$X9)-INT(K6/$X9))*$X$7-L10</f>
        <v>0</v>
      </c>
      <c r="M9" s="153" t="n">
        <f aca="false">(INT(M6/$X9)-INT(L6/$X9))*$X$7-M10</f>
        <v>0</v>
      </c>
      <c r="N9" s="153" t="n">
        <f aca="false">(INT(N6/$X9)-INT(M6/$X9))*$X$7-N10</f>
        <v>0</v>
      </c>
      <c r="O9" s="153" t="n">
        <f aca="false">(INT(O6/$X9)-INT(N6/$X9))*$X$7-O10</f>
        <v>0</v>
      </c>
      <c r="P9" s="153" t="n">
        <f aca="false">(INT(P6/$X9)-INT(O6/$X9))*$X$7-P10</f>
        <v>0</v>
      </c>
      <c r="Q9" s="153" t="n">
        <f aca="false">(INT(Q6/$X9)-INT(P6/$X9))*$X$7-Q10</f>
        <v>0</v>
      </c>
      <c r="R9" s="153" t="n">
        <f aca="false">(INT(R6/$X9)-INT(Q6/$X9))*$X$7-R10</f>
        <v>0</v>
      </c>
      <c r="S9" s="153" t="n">
        <f aca="false">(INT(S6/$X9)-INT(R6/$X9))*$X$7-S10</f>
        <v>0</v>
      </c>
      <c r="T9" s="153" t="n">
        <f aca="false">(INT(T6/$X9)-INT(S6/$X9))*$X$7-T10</f>
        <v>0</v>
      </c>
      <c r="U9" s="153" t="n">
        <f aca="false">(INT(U6/$X9)-INT(T6/$X9))*$X$7-U10</f>
        <v>0</v>
      </c>
      <c r="V9" s="380" t="n">
        <f aca="false">(INT(V6/$X9)-INT(U6/$X9))*$X$7-V10</f>
        <v>0</v>
      </c>
      <c r="W9" s="789" t="s">
        <v>1386</v>
      </c>
      <c r="X9" s="788" t="n">
        <f aca="false">IF($AD$6=1,'GTDB(7EA)'!B13,'GTDB(7EA)'!G13)</f>
        <v>24000</v>
      </c>
      <c r="Y9" s="785"/>
      <c r="Z9" s="785"/>
    </row>
    <row r="10" customFormat="false" ht="12.75" hidden="false" customHeight="false" outlineLevel="0" collapsed="false">
      <c r="A10" s="153" t="s">
        <v>1387</v>
      </c>
      <c r="B10" s="153" t="n">
        <v>0</v>
      </c>
      <c r="C10" s="153" t="n">
        <f aca="false">(INT(C6/$X10)-INT(B6/$X10))*$X$7</f>
        <v>0</v>
      </c>
      <c r="D10" s="153" t="n">
        <f aca="false">(INT(D6/$X10)-INT(C6/$X10))*$X$7</f>
        <v>0</v>
      </c>
      <c r="E10" s="153" t="n">
        <f aca="false">(INT(E6/$X10)-INT(D6/$X10))*$X$7</f>
        <v>0</v>
      </c>
      <c r="F10" s="153" t="n">
        <f aca="false">(INT(F6/$X10)-INT(E6/$X10))*$X$7</f>
        <v>0</v>
      </c>
      <c r="G10" s="153" t="n">
        <f aca="false">(INT(G6/$X10)-INT(F6/$X10))*$X$7</f>
        <v>0</v>
      </c>
      <c r="H10" s="153" t="n">
        <f aca="false">(INT(H6/$X10)-INT(G6/$X10))*$X$7</f>
        <v>0</v>
      </c>
      <c r="I10" s="153" t="n">
        <f aca="false">(INT(I6/$X10)-INT(H6/$X10))*$X$7</f>
        <v>0</v>
      </c>
      <c r="J10" s="153" t="n">
        <f aca="false">(INT(J6/$X10)-INT(I6/$X10))*$X$7</f>
        <v>0</v>
      </c>
      <c r="K10" s="153" t="n">
        <f aca="false">(INT(K6/$X10)-INT(J6/$X10))*$X$7</f>
        <v>0</v>
      </c>
      <c r="L10" s="153" t="n">
        <f aca="false">(INT(L6/$X10)-INT(K6/$X10))*$X$7</f>
        <v>0</v>
      </c>
      <c r="M10" s="153" t="n">
        <f aca="false">(INT(M6/$X10)-INT(L6/$X10))*$X$7</f>
        <v>0</v>
      </c>
      <c r="N10" s="153" t="n">
        <f aca="false">(INT(N6/$X10)-INT(M6/$X10))*$X$7</f>
        <v>0</v>
      </c>
      <c r="O10" s="153" t="n">
        <f aca="false">(INT(O6/$X10)-INT(N6/$X10))*$X$7</f>
        <v>0</v>
      </c>
      <c r="P10" s="153" t="n">
        <f aca="false">(INT(P6/$X10)-INT(O6/$X10))*$X$7</f>
        <v>0</v>
      </c>
      <c r="Q10" s="153" t="n">
        <f aca="false">(INT(Q6/$X10)-INT(P6/$X10))*$X$7</f>
        <v>0</v>
      </c>
      <c r="R10" s="153" t="n">
        <f aca="false">(INT(R6/$X10)-INT(Q6/$X10))*$X$7</f>
        <v>0</v>
      </c>
      <c r="S10" s="153" t="n">
        <f aca="false">(INT(S6/$X10)-INT(R6/$X10))*$X$7</f>
        <v>0</v>
      </c>
      <c r="T10" s="153" t="n">
        <f aca="false">(INT(T6/$X10)-INT(S6/$X10))*$X$7</f>
        <v>0</v>
      </c>
      <c r="U10" s="153" t="n">
        <f aca="false">(INT(U6/$X10)-INT(T6/$X10))*$X$7</f>
        <v>0</v>
      </c>
      <c r="V10" s="380" t="n">
        <f aca="false">(INT(V6/$X10)-INT(U6/$X10))*$X$7</f>
        <v>0</v>
      </c>
      <c r="W10" s="789" t="s">
        <v>1388</v>
      </c>
      <c r="X10" s="788" t="n">
        <f aca="false">IF($AD$6=1,'GTDB(7EA)'!B14,'GTDB(7EA)'!G14)</f>
        <v>48000</v>
      </c>
      <c r="Y10" s="785"/>
      <c r="Z10" s="785"/>
      <c r="AA10" s="0" t="s">
        <v>1007</v>
      </c>
    </row>
    <row r="11" customFormat="false" ht="11.25" hidden="false" customHeight="true" outlineLevel="0" collapsed="false">
      <c r="A11" s="157"/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790"/>
      <c r="X11" s="791"/>
      <c r="Y11" s="785"/>
      <c r="Z11" s="785"/>
      <c r="AF11" s="792"/>
    </row>
    <row r="12" customFormat="false" ht="12.75" hidden="true" customHeight="false" outlineLevel="0" collapsed="false">
      <c r="A12" s="153" t="s">
        <v>1383</v>
      </c>
      <c r="B12" s="153"/>
      <c r="C12" s="153" t="str">
        <f aca="false">IF(C8=0," ",IF(C8/$X$7=1,"C",C8/$X$7&amp;"C"))</f>
        <v> </v>
      </c>
      <c r="D12" s="153" t="str">
        <f aca="false">IF(D8=0," ",IF(D8/$X$7=1,"C",D8/$X$7&amp;"C"))</f>
        <v> </v>
      </c>
      <c r="E12" s="153" t="str">
        <f aca="false">IF(E8=0," ",IF(E8/$X$7=1,"C",E8/$X$7&amp;"C"))</f>
        <v> </v>
      </c>
      <c r="F12" s="153" t="str">
        <f aca="false">IF(F8=0," ",IF(F8/$X$7=1,"C",F8/$X$7&amp;"C"))</f>
        <v> </v>
      </c>
      <c r="G12" s="153" t="str">
        <f aca="false">IF(G8=0," ",IF(G8/$X$7=1,"C",G8/$X$7&amp;"C"))</f>
        <v> </v>
      </c>
      <c r="H12" s="153" t="str">
        <f aca="false">IF(H8=0," ",IF(H8/$X$7=1,"C",H8/$X$7&amp;"C"))</f>
        <v> </v>
      </c>
      <c r="I12" s="153" t="str">
        <f aca="false">IF(I8=0," ",IF(I8/$X$7=1,"C",I8/$X$7&amp;"C"))</f>
        <v> </v>
      </c>
      <c r="J12" s="153" t="str">
        <f aca="false">IF(J8=0," ",IF(J8/$X$7=1,"C",J8/$X$7&amp;"C"))</f>
        <v> </v>
      </c>
      <c r="K12" s="153" t="str">
        <f aca="false">IF(K8=0," ",IF(K8/$X$7=1,"C",K8/$X$7&amp;"C"))</f>
        <v> </v>
      </c>
      <c r="L12" s="153" t="str">
        <f aca="false">IF(L8=0," ",IF(L8/$X$7=1,"C",L8/$X$7&amp;"C"))</f>
        <v> </v>
      </c>
      <c r="M12" s="153" t="str">
        <f aca="false">IF(M8=0," ",IF(M8/$X$7=1,"C",M8/$X$7&amp;"C"))</f>
        <v> </v>
      </c>
      <c r="N12" s="153" t="str">
        <f aca="false">IF(N8=0," ",IF(N8/$X$7=1,"C",N8/$X$7&amp;"C"))</f>
        <v> </v>
      </c>
      <c r="O12" s="153" t="str">
        <f aca="false">IF(O8=0," ",IF(O8/$X$7=1,"C",O8/$X$7&amp;"C"))</f>
        <v> </v>
      </c>
      <c r="P12" s="153" t="str">
        <f aca="false">IF(P8=0," ",IF(P8/$X$7=1,"C",P8/$X$7&amp;"C"))</f>
        <v> </v>
      </c>
      <c r="Q12" s="153" t="str">
        <f aca="false">IF(Q8=0," ",IF(Q8/$X$7=1,"C",Q8/$X$7&amp;"C"))</f>
        <v> </v>
      </c>
      <c r="R12" s="153" t="str">
        <f aca="false">IF(R8=0," ",IF(R8/$X$7=1,"C",R8/$X$7&amp;"C"))</f>
        <v> </v>
      </c>
      <c r="S12" s="153" t="str">
        <f aca="false">IF(S8=0," ",IF(S8/$X$7=1,"C",S8/$X$7&amp;"C"))</f>
        <v> </v>
      </c>
      <c r="T12" s="153" t="str">
        <f aca="false">IF(T8=0," ",IF(T8/$X$7=1,"C",T8/$X$7&amp;"C"))</f>
        <v> </v>
      </c>
      <c r="U12" s="153" t="str">
        <f aca="false">IF(U8=0," ",IF(U8/$X$7=1,"C",U8/$X$7&amp;"C"))</f>
        <v> </v>
      </c>
      <c r="V12" s="153" t="str">
        <f aca="false">IF(V8=0," ",IF(V8/$X$7=1,"C",V8/$X$7&amp;"C"))</f>
        <v> </v>
      </c>
      <c r="W12" s="518"/>
      <c r="X12" s="793"/>
      <c r="Y12" s="794"/>
      <c r="Z12" s="794"/>
    </row>
    <row r="13" customFormat="false" ht="12.75" hidden="true" customHeight="false" outlineLevel="0" collapsed="false">
      <c r="A13" s="153" t="s">
        <v>1385</v>
      </c>
      <c r="B13" s="153"/>
      <c r="C13" s="153" t="str">
        <f aca="false">IF(C9=0," ",IF(C9/$X$7=1,"H",C9/$X$7&amp;"H"))</f>
        <v> </v>
      </c>
      <c r="D13" s="153" t="str">
        <f aca="false">IF(D9=0," ",IF(D9/$X$7=1,"H",D9/$X$7&amp;"H"))</f>
        <v> </v>
      </c>
      <c r="E13" s="153" t="str">
        <f aca="false">IF(E9=0," ",IF(E9/$X$7=1,"H",E9/$X$7&amp;"H"))</f>
        <v> </v>
      </c>
      <c r="F13" s="153" t="str">
        <f aca="false">IF(F9=0," ",IF(F9/$X$7=1,"H",F9/$X$7&amp;"H"))</f>
        <v> </v>
      </c>
      <c r="G13" s="153" t="str">
        <f aca="false">IF(G9=0," ",IF(G9/$X$7=1,"H",G9/$X$7&amp;"H"))</f>
        <v> </v>
      </c>
      <c r="H13" s="153" t="str">
        <f aca="false">IF(H9=0," ",IF(H9/$X$7=1,"H",H9/$X$7&amp;"H"))</f>
        <v> </v>
      </c>
      <c r="I13" s="153" t="str">
        <f aca="false">IF(I9=0," ",IF(I9/$X$7=1,"H",I9/$X$7&amp;"H"))</f>
        <v> </v>
      </c>
      <c r="J13" s="153" t="str">
        <f aca="false">IF(J9=0," ",IF(J9/$X$7=1,"H",J9/$X$7&amp;"H"))</f>
        <v> </v>
      </c>
      <c r="K13" s="153" t="str">
        <f aca="false">IF(K9=0," ",IF(K9/$X$7=1,"H",K9/$X$7&amp;"H"))</f>
        <v> </v>
      </c>
      <c r="L13" s="153" t="str">
        <f aca="false">IF(L9=0," ",IF(L9/$X$7=1,"H",L9/$X$7&amp;"H"))</f>
        <v> </v>
      </c>
      <c r="M13" s="153" t="str">
        <f aca="false">IF(M9=0," ",IF(M9/$X$7=1,"H",M9/$X$7&amp;"H"))</f>
        <v> </v>
      </c>
      <c r="N13" s="153" t="str">
        <f aca="false">IF(N9=0," ",IF(N9/$X$7=1,"H",N9/$X$7&amp;"H"))</f>
        <v> </v>
      </c>
      <c r="O13" s="153" t="str">
        <f aca="false">IF(O9=0," ",IF(O9/$X$7=1,"H",O9/$X$7&amp;"H"))</f>
        <v> </v>
      </c>
      <c r="P13" s="153" t="str">
        <f aca="false">IF(P9=0," ",IF(P9/$X$7=1,"H",P9/$X$7&amp;"H"))</f>
        <v> </v>
      </c>
      <c r="Q13" s="153" t="str">
        <f aca="false">IF(Q9=0," ",IF(Q9/$X$7=1,"H",Q9/$X$7&amp;"H"))</f>
        <v> </v>
      </c>
      <c r="R13" s="153" t="str">
        <f aca="false">IF(R9=0," ",IF(R9/$X$7=1,"H",R9/$X$7&amp;"H"))</f>
        <v> </v>
      </c>
      <c r="S13" s="153" t="str">
        <f aca="false">IF(S9=0," ",IF(S9/$X$7=1,"H",S9/$X$7&amp;"H"))</f>
        <v> </v>
      </c>
      <c r="T13" s="153" t="str">
        <f aca="false">IF(T9=0," ",IF(T9/$X$7=1,"H",T9/$X$7&amp;"H"))</f>
        <v> </v>
      </c>
      <c r="U13" s="153" t="str">
        <f aca="false">IF(U9=0," ",IF(U9/$X$7=1,"H",U9/$X$7&amp;"H"))</f>
        <v> </v>
      </c>
      <c r="V13" s="153" t="str">
        <f aca="false">IF(V9=0," ",IF(V9/$X$7=1,"H",V9/$X$7&amp;"H"))</f>
        <v> </v>
      </c>
      <c r="W13" s="518"/>
      <c r="X13" s="793"/>
      <c r="Y13" s="794"/>
      <c r="Z13" s="794"/>
    </row>
    <row r="14" customFormat="false" ht="12.75" hidden="true" customHeight="true" outlineLevel="0" collapsed="false">
      <c r="A14" s="153" t="s">
        <v>1387</v>
      </c>
      <c r="B14" s="153"/>
      <c r="C14" s="153" t="str">
        <f aca="false">IF(C10=0," ",IF(C10/$X$7=1,"M",C10/$X$7&amp;"M"))</f>
        <v> </v>
      </c>
      <c r="D14" s="153" t="str">
        <f aca="false">IF(D10=0," ",IF(D10/$X$7=1,"M",D10/$X$7&amp;"M"))</f>
        <v> </v>
      </c>
      <c r="E14" s="153" t="str">
        <f aca="false">IF(E10=0," ",IF(E10/$X$7=1,"M",E10/$X$7&amp;"M"))</f>
        <v> </v>
      </c>
      <c r="F14" s="153" t="str">
        <f aca="false">IF(F10=0," ",IF(F10/$X$7=1,"M",F10/$X$7&amp;"M"))</f>
        <v> </v>
      </c>
      <c r="G14" s="153" t="str">
        <f aca="false">IF(G10=0," ",IF(G10/$X$7=1,"M",G10/$X$7&amp;"M"))</f>
        <v> </v>
      </c>
      <c r="H14" s="153" t="str">
        <f aca="false">IF(H10=0," ",IF(H10/$X$7=1,"M",H10/$X$7&amp;"M"))</f>
        <v> </v>
      </c>
      <c r="I14" s="153" t="str">
        <f aca="false">IF(I10=0," ",IF(I10/$X$7=1,"M",I10/$X$7&amp;"M"))</f>
        <v> </v>
      </c>
      <c r="J14" s="153" t="str">
        <f aca="false">IF(J10=0," ",IF(J10/$X$7=1,"M",J10/$X$7&amp;"M"))</f>
        <v> </v>
      </c>
      <c r="K14" s="153" t="str">
        <f aca="false">IF(K10=0," ",IF(K10/$X$7=1,"M",K10/$X$7&amp;"M"))</f>
        <v> </v>
      </c>
      <c r="L14" s="153" t="str">
        <f aca="false">IF(L10=0," ",IF(L10/$X$7=1,"M",L10/$X$7&amp;"M"))</f>
        <v> </v>
      </c>
      <c r="M14" s="153" t="str">
        <f aca="false">IF(M10=0," ",IF(M10/$X$7=1,"M",M10/$X$7&amp;"M"))</f>
        <v> </v>
      </c>
      <c r="N14" s="153" t="str">
        <f aca="false">IF(N10=0," ",IF(N10/$X$7=1,"M",N10/$X$7&amp;"M"))</f>
        <v> </v>
      </c>
      <c r="O14" s="153" t="str">
        <f aca="false">IF(O10=0," ",IF(O10/$X$7=1,"M",O10/$X$7&amp;"M"))</f>
        <v> </v>
      </c>
      <c r="P14" s="153" t="str">
        <f aca="false">IF(P10=0," ",IF(P10/$X$7=1,"M",P10/$X$7&amp;"M"))</f>
        <v> </v>
      </c>
      <c r="Q14" s="153" t="str">
        <f aca="false">IF(Q10=0," ",IF(Q10/$X$7=1,"M",Q10/$X$7&amp;"M"))</f>
        <v> </v>
      </c>
      <c r="R14" s="153" t="str">
        <f aca="false">IF(R10=0," ",IF(R10/$X$7=1,"M",R10/$X$7&amp;"M"))</f>
        <v> </v>
      </c>
      <c r="S14" s="153" t="str">
        <f aca="false">IF(S10=0," ",IF(S10/$X$7=1,"M",S10/$X$7&amp;"M"))</f>
        <v> </v>
      </c>
      <c r="T14" s="153" t="str">
        <f aca="false">IF(T10=0," ",IF(T10/$X$7=1,"M",T10/$X$7&amp;"M"))</f>
        <v> </v>
      </c>
      <c r="U14" s="153" t="str">
        <f aca="false">IF(U10=0," ",IF(U10/$X$7=1,"M",U10/$X$7&amp;"M"))</f>
        <v> </v>
      </c>
      <c r="V14" s="153" t="str">
        <f aca="false">IF(V10=0," ",IF(V10/$X$7=1,"M",V10/$X$7&amp;"M"))</f>
        <v> </v>
      </c>
      <c r="W14" s="108" t="s">
        <v>1007</v>
      </c>
    </row>
    <row r="15" customFormat="false" ht="36.75" hidden="false" customHeight="true" outlineLevel="0" collapsed="false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795"/>
      <c r="W15" s="796" t="s">
        <v>1389</v>
      </c>
      <c r="X15" s="797" t="s">
        <v>1390</v>
      </c>
      <c r="Y15" s="797" t="s">
        <v>1391</v>
      </c>
      <c r="Z15" s="797" t="s">
        <v>1392</v>
      </c>
      <c r="AA15" s="798" t="s">
        <v>1393</v>
      </c>
      <c r="AB15" s="797" t="s">
        <v>1394</v>
      </c>
    </row>
    <row r="16" customFormat="false" ht="12.75" hidden="true" customHeight="false" outlineLevel="0" collapsed="false">
      <c r="A16" s="153" t="s">
        <v>1395</v>
      </c>
      <c r="B16" s="511"/>
      <c r="C16" s="153" t="n">
        <f aca="false">INT((INT(C$6/$X17)*$X$7+$X$7+$Z17-1)/($X$7+$Z17)/$Y17)</f>
        <v>0</v>
      </c>
      <c r="D16" s="153" t="n">
        <f aca="false">INT((INT(D$6/$X17)*$X$7+$X$7+$Z17-1)/($X$7+$Z17)/$Y17)</f>
        <v>0</v>
      </c>
      <c r="E16" s="153" t="n">
        <f aca="false">INT((INT(E$6/$X17)*$X$7+$X$7+$Z17-1)/($X$7+$Z17)/$Y17)</f>
        <v>0</v>
      </c>
      <c r="F16" s="153" t="n">
        <f aca="false">INT((INT(F$6/$X17)*$X$7+$X$7+$Z17-1)/($X$7+$Z17)/$Y17)</f>
        <v>0</v>
      </c>
      <c r="G16" s="153" t="n">
        <f aca="false">INT((INT(G$6/$X17)*$X$7+$X$7+$Z17-1)/($X$7+$Z17)/$Y17)</f>
        <v>0</v>
      </c>
      <c r="H16" s="153" t="n">
        <f aca="false">INT((INT(H$6/$X17)*$X$7+$X$7+$Z17-1)/($X$7+$Z17)/$Y17)</f>
        <v>0</v>
      </c>
      <c r="I16" s="153" t="n">
        <f aca="false">INT((INT(I$6/$X17)*$X$7+$X$7+$Z17-1)/($X$7+$Z17)/$Y17)</f>
        <v>0</v>
      </c>
      <c r="J16" s="153" t="n">
        <f aca="false">INT((INT(J$6/$X17)*$X$7+$X$7+$Z17-1)/($X$7+$Z17)/$Y17)</f>
        <v>0</v>
      </c>
      <c r="K16" s="153" t="n">
        <f aca="false">INT((INT(K$6/$X17)*$X$7+$X$7+$Z17-1)/($X$7+$Z17)/$Y17)</f>
        <v>0</v>
      </c>
      <c r="L16" s="153" t="n">
        <f aca="false">INT((INT(L$6/$X17)*$X$7+$X$7+$Z17-1)/($X$7+$Z17)/$Y17)</f>
        <v>0</v>
      </c>
      <c r="M16" s="153" t="n">
        <f aca="false">INT((INT(M$6/$X17)*$X$7+$X$7+$Z17-1)/($X$7+$Z17)/$Y17)</f>
        <v>0</v>
      </c>
      <c r="N16" s="153" t="n">
        <f aca="false">INT((INT(N$6/$X17)*$X$7+$X$7+$Z17-1)/($X$7+$Z17)/$Y17)</f>
        <v>0</v>
      </c>
      <c r="O16" s="153" t="n">
        <f aca="false">INT((INT(O$6/$X17)*$X$7+$X$7+$Z17-1)/($X$7+$Z17)/$Y17)</f>
        <v>0</v>
      </c>
      <c r="P16" s="153" t="n">
        <f aca="false">INT((INT(P$6/$X17)*$X$7+$X$7+$Z17-1)/($X$7+$Z17)/$Y17)</f>
        <v>0</v>
      </c>
      <c r="Q16" s="153" t="n">
        <f aca="false">INT((INT(Q$6/$X17)*$X$7+$X$7+$Z17-1)/($X$7+$Z17)/$Y17)</f>
        <v>0</v>
      </c>
      <c r="R16" s="153" t="n">
        <f aca="false">INT((INT(R$6/$X17)*$X$7+$X$7+$Z17-1)/($X$7+$Z17)/$Y17)</f>
        <v>0</v>
      </c>
      <c r="S16" s="153" t="n">
        <f aca="false">INT((INT(S$6/$X17)*$X$7+$X$7+$Z17-1)/($X$7+$Z17)/$Y17)</f>
        <v>0</v>
      </c>
      <c r="T16" s="153" t="n">
        <f aca="false">INT((INT(T$6/$X17)*$X$7+$X$7+$Z17-1)/($X$7+$Z17)/$Y17)</f>
        <v>0</v>
      </c>
      <c r="U16" s="153" t="n">
        <f aca="false">INT((INT(U$6/$X17)*$X$7+$X$7+$Z17-1)/($X$7+$Z17)/$Y17)</f>
        <v>0</v>
      </c>
      <c r="V16" s="153" t="n">
        <f aca="false">INT((INT(V$6/$X17)*$X$7+$X$7+$Z17-1)/($X$7+$Z17)/$Y17)</f>
        <v>0</v>
      </c>
      <c r="AB16" s="153"/>
    </row>
    <row r="17" customFormat="false" ht="12.75" hidden="false" customHeight="false" outlineLevel="0" collapsed="false">
      <c r="A17" s="153" t="s">
        <v>1396</v>
      </c>
      <c r="B17" s="511" t="s">
        <v>1007</v>
      </c>
      <c r="C17" s="511" t="n">
        <f aca="false">IF($Y17=1,0,$X$7*(INT(C$6/$X17)-INT(B$6/$X17))-IF(SUM($B17:B17)&gt;0,C18,0))</f>
        <v>0</v>
      </c>
      <c r="D17" s="511" t="n">
        <f aca="false">IF($Y17=1,0,$X$7*(INT(D$6/$X17)-INT(C$6/$X17))-IF(SUM($B17:C17)&gt;0,D18,0))</f>
        <v>0</v>
      </c>
      <c r="E17" s="511" t="n">
        <f aca="false">IF($Y17=1,0,$X$7*(INT(E$6/$X17)-INT(D$6/$X17))-IF(SUM($B17:D17)&gt;0,E18,0))</f>
        <v>0</v>
      </c>
      <c r="F17" s="511" t="n">
        <f aca="false">IF($Y17=1,0,$X$7*(INT(F$6/$X17)-INT(E$6/$X17))-IF(SUM($B17:E17)&gt;0,F18,0))</f>
        <v>0</v>
      </c>
      <c r="G17" s="511" t="n">
        <f aca="false">IF($Y17=1,0,$X$7*(INT(G$6/$X17)-INT(F$6/$X17))-IF(SUM($B17:F17)&gt;0,G18,0))</f>
        <v>0</v>
      </c>
      <c r="H17" s="511" t="n">
        <f aca="false">IF($Y17=1,0,$X$7*(INT(H$6/$X17)-INT(G$6/$X17))-IF(SUM($B17:G17)&gt;0,H18,0))</f>
        <v>0</v>
      </c>
      <c r="I17" s="511" t="n">
        <f aca="false">IF($Y17=1,0,$X$7*(INT(I$6/$X17)-INT(H$6/$X17))-IF(SUM($B17:H17)&gt;0,I18,0))</f>
        <v>0</v>
      </c>
      <c r="J17" s="511" t="n">
        <f aca="false">IF($Y17=1,0,$X$7*(INT(J$6/$X17)-INT(I$6/$X17))-IF(SUM($B17:I17)&gt;0,J18,0))</f>
        <v>0</v>
      </c>
      <c r="K17" s="511" t="n">
        <f aca="false">IF($Y17=1,0,$X$7*(INT(K$6/$X17)-INT(J$6/$X17))-IF(SUM($B17:J17)&gt;0,K18,0))</f>
        <v>0</v>
      </c>
      <c r="L17" s="511" t="n">
        <f aca="false">IF($Y17=1,0,$X$7*(INT(L$6/$X17)-INT(K$6/$X17))-IF(SUM($B17:K17)&gt;0,L18,0))</f>
        <v>0</v>
      </c>
      <c r="M17" s="511" t="n">
        <f aca="false">IF($Y17=1,0,$X$7*(INT(M$6/$X17)-INT(L$6/$X17))-IF(SUM($B17:L17)&gt;0,M18,0))</f>
        <v>0</v>
      </c>
      <c r="N17" s="511" t="n">
        <f aca="false">IF($Y17=1,0,$X$7*(INT(N$6/$X17)-INT(M$6/$X17))-IF(SUM($B17:M17)&gt;0,N18,0))</f>
        <v>0</v>
      </c>
      <c r="O17" s="511" t="n">
        <f aca="false">IF($Y17=1,0,$X$7*(INT(O$6/$X17)-INT(N$6/$X17))-IF(SUM($B17:N17)&gt;0,O18,0))</f>
        <v>0</v>
      </c>
      <c r="P17" s="511" t="n">
        <f aca="false">IF($Y17=1,0,$X$7*(INT(P$6/$X17)-INT(O$6/$X17))-IF(SUM($B17:O17)&gt;0,P18,0))</f>
        <v>0</v>
      </c>
      <c r="Q17" s="511" t="n">
        <f aca="false">IF($Y17=1,0,$X$7*(INT(Q$6/$X17)-INT(P$6/$X17))-IF(SUM($B17:P17)&gt;0,Q18,0))</f>
        <v>0</v>
      </c>
      <c r="R17" s="511" t="n">
        <f aca="false">IF($Y17=1,0,$X$7*(INT(R$6/$X17)-INT(Q$6/$X17))-IF(SUM($B17:Q17)&gt;0,R18,0))</f>
        <v>0</v>
      </c>
      <c r="S17" s="511" t="n">
        <f aca="false">IF($Y17=1,0,$X$7*(INT(S$6/$X17)-INT(R$6/$X17))-IF(SUM($B17:R17)&gt;0,S18,0))</f>
        <v>0</v>
      </c>
      <c r="T17" s="511" t="n">
        <f aca="false">IF($Y17=1,0,$X$7*(INT(T$6/$X17)-INT(S$6/$X17))-IF(SUM($B17:S17)&gt;0,T18,0))</f>
        <v>0</v>
      </c>
      <c r="U17" s="511" t="n">
        <f aca="false">IF($Y17=1,0,$X$7*(INT(U$6/$X17)-INT(T$6/$X17))-IF(SUM($B17:T17)&gt;0,U18,0))</f>
        <v>0</v>
      </c>
      <c r="V17" s="511" t="n">
        <f aca="false">IF($Y17=1,0,$X$7*(INT(V$6/$X17)-INT(U$6/$X17))-IF(SUM($B17:U17)&gt;0,V18,0))</f>
        <v>0</v>
      </c>
      <c r="W17" s="799" t="str">
        <f aca="false">'GT schd cost(7EA)'!A14</f>
        <v>Combustion Liners</v>
      </c>
      <c r="X17" s="800" t="n">
        <f aca="false">IF($AD$6=1,'GTDB(7EA)'!B17,'GTDB(7EA)'!G17)</f>
        <v>8000</v>
      </c>
      <c r="Y17" s="800" t="n">
        <f aca="false">IF($AD$6=1,'GTDB(7EA)'!C17,'GTDB(7EA)'!H17)</f>
        <v>5</v>
      </c>
      <c r="Z17" s="801" t="n">
        <v>1</v>
      </c>
      <c r="AA17" s="802" t="n">
        <f aca="false">'Initial_Spares(7EA) '!$E$11</f>
        <v>0</v>
      </c>
      <c r="AB17" s="764" t="n">
        <f aca="false">'GT schd cost(7EA)'!X14+'GT schd cost(7EA)'!X37</f>
        <v>0</v>
      </c>
    </row>
    <row r="18" customFormat="false" ht="12.75" hidden="false" customHeight="false" outlineLevel="0" collapsed="false">
      <c r="A18" s="153" t="s">
        <v>1397</v>
      </c>
      <c r="B18" s="511" t="s">
        <v>1007</v>
      </c>
      <c r="C18" s="511" t="n">
        <f aca="false">IF(INT(C$6/$X17)*$X$7&gt;C16*($X$7+$Z17)*$Y17,C16*($X$7+$Z17)-SUM($B18:B18),INT(C$6/$X17)*$X$7-C16*($X$7+$Z17)*($Y17-1)-SUM($B18:B18))+IF($Y17&gt;1,IF(INT(C$6/$X17)&gt;0,$Z17-$AA17,0),-$AA17)</f>
        <v>0</v>
      </c>
      <c r="D18" s="511" t="n">
        <f aca="false">IF(INT(D$6/$X17)*$X$7&gt;D16*($X$7+$Z17)*$Y17,D16*($X$7+$Z17)-SUM($B18:C18),INT(D$6/$X17)*$X$7-D16*($X$7+$Z17)*($Y17-1)-SUM($B18:C18))+IF($Y17&gt;1,IF(INT(D$6/$X17)&gt;0,$Z17-$AA17,0),-$AA17)</f>
        <v>0</v>
      </c>
      <c r="E18" s="511" t="n">
        <f aca="false">IF(INT(E$6/$X17)*$X$7&gt;E16*($X$7+$Z17)*$Y17,E16*($X$7+$Z17)-SUM($B18:D18),INT(E$6/$X17)*$X$7-E16*($X$7+$Z17)*($Y17-1)-SUM($B18:D18))+IF($Y17&gt;1,IF(INT(E$6/$X17)&gt;0,$Z17-$AA17,0),-$AA17)</f>
        <v>0</v>
      </c>
      <c r="F18" s="511" t="n">
        <f aca="false">IF(INT(F$6/$X17)*$X$7&gt;F16*($X$7+$Z17)*$Y17,F16*($X$7+$Z17)-SUM($B18:E18),INT(F$6/$X17)*$X$7-F16*($X$7+$Z17)*($Y17-1)-SUM($B18:E18))+IF($Y17&gt;1,IF(INT(F$6/$X17)&gt;0,$Z17-$AA17,0),-$AA17)</f>
        <v>0</v>
      </c>
      <c r="G18" s="511" t="n">
        <f aca="false">IF(INT(G$6/$X17)*$X$7&gt;G16*($X$7+$Z17)*$Y17,G16*($X$7+$Z17)-SUM($B18:F18),INT(G$6/$X17)*$X$7-G16*($X$7+$Z17)*($Y17-1)-SUM($B18:F18))+IF($Y17&gt;1,IF(INT(G$6/$X17)&gt;0,$Z17-$AA17,0),-$AA17)</f>
        <v>0</v>
      </c>
      <c r="H18" s="511" t="n">
        <f aca="false">IF(INT(H$6/$X17)*$X$7&gt;H16*($X$7+$Z17)*$Y17,H16*($X$7+$Z17)-SUM($B18:G18),INT(H$6/$X17)*$X$7-H16*($X$7+$Z17)*($Y17-1)-SUM($B18:G18))+IF($Y17&gt;1,IF(INT(H$6/$X17)&gt;0,$Z17-$AA17,0),-$AA17)</f>
        <v>0</v>
      </c>
      <c r="I18" s="511" t="n">
        <f aca="false">IF(INT(I$6/$X17)*$X$7&gt;I16*($X$7+$Z17)*$Y17,I16*($X$7+$Z17)-SUM($B18:H18),INT(I$6/$X17)*$X$7-I16*($X$7+$Z17)*($Y17-1)-SUM($B18:H18))+IF($Y17&gt;1,IF(INT(I$6/$X17)&gt;0,$Z17-$AA17,0),-$AA17)</f>
        <v>0</v>
      </c>
      <c r="J18" s="511" t="n">
        <f aca="false">IF(INT(J$6/$X17)*$X$7&gt;J16*($X$7+$Z17)*$Y17,J16*($X$7+$Z17)-SUM($B18:I18),INT(J$6/$X17)*$X$7-J16*($X$7+$Z17)*($Y17-1)-SUM($B18:I18))+IF($Y17&gt;1,IF(INT(J$6/$X17)&gt;0,$Z17-$AA17,0),-$AA17)</f>
        <v>0</v>
      </c>
      <c r="K18" s="511" t="n">
        <f aca="false">IF(INT(K$6/$X17)*$X$7&gt;K16*($X$7+$Z17)*$Y17,K16*($X$7+$Z17)-SUM($B18:J18),INT(K$6/$X17)*$X$7-K16*($X$7+$Z17)*($Y17-1)-SUM($B18:J18))+IF($Y17&gt;1,IF(INT(K$6/$X17)&gt;0,$Z17-$AA17,0),-$AA17)</f>
        <v>0</v>
      </c>
      <c r="L18" s="511" t="n">
        <f aca="false">IF(INT(L$6/$X17)*$X$7&gt;L16*($X$7+$Z17)*$Y17,L16*($X$7+$Z17)-SUM($B18:K18),INT(L$6/$X17)*$X$7-L16*($X$7+$Z17)*($Y17-1)-SUM($B18:K18))+IF($Y17&gt;1,IF(INT(L$6/$X17)&gt;0,$Z17-$AA17,0),-$AA17)</f>
        <v>0</v>
      </c>
      <c r="M18" s="511" t="n">
        <f aca="false">IF(INT(M$6/$X17)*$X$7&gt;M16*($X$7+$Z17)*$Y17,M16*($X$7+$Z17)-SUM($B18:L18),INT(M$6/$X17)*$X$7-M16*($X$7+$Z17)*($Y17-1)-SUM($B18:L18))+IF($Y17&gt;1,IF(INT(M$6/$X17)&gt;0,$Z17-$AA17,0),-$AA17)</f>
        <v>0</v>
      </c>
      <c r="N18" s="511" t="n">
        <f aca="false">IF(INT(N$6/$X17)*$X$7&gt;N16*($X$7+$Z17)*$Y17,N16*($X$7+$Z17)-SUM($B18:M18),INT(N$6/$X17)*$X$7-N16*($X$7+$Z17)*($Y17-1)-SUM($B18:M18))+IF($Y17&gt;1,IF(INT(N$6/$X17)&gt;0,$Z17-$AA17,0),-$AA17)</f>
        <v>0</v>
      </c>
      <c r="O18" s="511" t="n">
        <f aca="false">IF(INT(O$6/$X17)*$X$7&gt;O16*($X$7+$Z17)*$Y17,O16*($X$7+$Z17)-SUM($B18:N18),INT(O$6/$X17)*$X$7-O16*($X$7+$Z17)*($Y17-1)-SUM($B18:N18))+IF($Y17&gt;1,IF(INT(O$6/$X17)&gt;0,$Z17-$AA17,0),-$AA17)</f>
        <v>0</v>
      </c>
      <c r="P18" s="511" t="n">
        <f aca="false">IF(INT(P$6/$X17)*$X$7&gt;P16*($X$7+$Z17)*$Y17,P16*($X$7+$Z17)-SUM($B18:O18),INT(P$6/$X17)*$X$7-P16*($X$7+$Z17)*($Y17-1)-SUM($B18:O18))+IF($Y17&gt;1,IF(INT(P$6/$X17)&gt;0,$Z17-$AA17,0),-$AA17)</f>
        <v>0</v>
      </c>
      <c r="Q18" s="511" t="n">
        <f aca="false">IF(INT(Q$6/$X17)*$X$7&gt;Q16*($X$7+$Z17)*$Y17,Q16*($X$7+$Z17)-SUM($B18:P18),INT(Q$6/$X17)*$X$7-Q16*($X$7+$Z17)*($Y17-1)-SUM($B18:P18))+IF($Y17&gt;1,IF(INT(Q$6/$X17)&gt;0,$Z17-$AA17,0),-$AA17)</f>
        <v>0</v>
      </c>
      <c r="R18" s="511" t="n">
        <f aca="false">IF(INT(R$6/$X17)*$X$7&gt;R16*($X$7+$Z17)*$Y17,R16*($X$7+$Z17)-SUM($B18:Q18),INT(R$6/$X17)*$X$7-R16*($X$7+$Z17)*($Y17-1)-SUM($B18:Q18))+IF($Y17&gt;1,IF(INT(R$6/$X17)&gt;0,$Z17-$AA17,0),-$AA17)</f>
        <v>0</v>
      </c>
      <c r="S18" s="511" t="n">
        <f aca="false">IF(INT(S$6/$X17)*$X$7&gt;S16*($X$7+$Z17)*$Y17,S16*($X$7+$Z17)-SUM($B18:R18),INT(S$6/$X17)*$X$7-S16*($X$7+$Z17)*($Y17-1)-SUM($B18:R18))+IF($Y17&gt;1,IF(INT(S$6/$X17)&gt;0,$Z17-$AA17,0),-$AA17)</f>
        <v>0</v>
      </c>
      <c r="T18" s="511" t="n">
        <f aca="false">IF(INT(T$6/$X17)*$X$7&gt;T16*($X$7+$Z17)*$Y17,T16*($X$7+$Z17)-SUM($B18:S18),INT(T$6/$X17)*$X$7-T16*($X$7+$Z17)*($Y17-1)-SUM($B18:S18))+IF($Y17&gt;1,IF(INT(T$6/$X17)&gt;0,$Z17-$AA17,0),-$AA17)</f>
        <v>0</v>
      </c>
      <c r="U18" s="511" t="n">
        <f aca="false">IF(INT(U$6/$X17)*$X$7&gt;U16*($X$7+$Z17)*$Y17,U16*($X$7+$Z17)-SUM($B18:T18),INT(U$6/$X17)*$X$7-U16*($X$7+$Z17)*($Y17-1)-SUM($B18:T18))+IF($Y17&gt;1,IF(INT(U$6/$X17)&gt;0,$Z17-$AA17,0),-$AA17)</f>
        <v>0</v>
      </c>
      <c r="V18" s="511" t="n">
        <f aca="false">IF(INT(V$6/$X17)*$X$7&gt;V16*($X$7+$Z17)*$Y17,V16*($X$7+$Z17)-SUM($B18:U18),INT(V$6/$X17)*$X$7-V16*($X$7+$Z17)*($Y17-1)-SUM($B18:U18))+IF($Y17&gt;1,IF(INT(V$6/$X17)&gt;0,$Z17-$AA17,0),-$AA17)</f>
        <v>0</v>
      </c>
      <c r="W18" s="803"/>
    </row>
    <row r="19" customFormat="false" ht="12.75" hidden="false" customHeight="false" outlineLevel="0" collapsed="false"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803" t="s">
        <v>1007</v>
      </c>
      <c r="X19" s="0" t="s">
        <v>1007</v>
      </c>
    </row>
    <row r="20" customFormat="false" ht="12.75" hidden="true" customHeight="false" outlineLevel="0" collapsed="false">
      <c r="A20" s="153" t="s">
        <v>1395</v>
      </c>
      <c r="B20" s="511"/>
      <c r="C20" s="153" t="n">
        <f aca="false">INT((INT(C$6/$X21)*$X$7+$X$7+$Z21-1)/($X$7+$Z21)/$Y21)</f>
        <v>0</v>
      </c>
      <c r="D20" s="153" t="n">
        <f aca="false">INT((INT(D$6/$X21)*$X$7+$X$7+$Z21-1)/($X$7+$Z21)/$Y21)</f>
        <v>0</v>
      </c>
      <c r="E20" s="153" t="n">
        <f aca="false">INT((INT(E$6/$X21)*$X$7+$X$7+$Z21-1)/($X$7+$Z21)/$Y21)</f>
        <v>0</v>
      </c>
      <c r="F20" s="153" t="n">
        <f aca="false">INT((INT(F$6/$X21)*$X$7+$X$7+$Z21-1)/($X$7+$Z21)/$Y21)</f>
        <v>0</v>
      </c>
      <c r="G20" s="153" t="n">
        <f aca="false">INT((INT(G$6/$X21)*$X$7+$X$7+$Z21-1)/($X$7+$Z21)/$Y21)</f>
        <v>0</v>
      </c>
      <c r="H20" s="153" t="n">
        <f aca="false">INT((INT(H$6/$X21)*$X$7+$X$7+$Z21-1)/($X$7+$Z21)/$Y21)</f>
        <v>0</v>
      </c>
      <c r="I20" s="153" t="n">
        <f aca="false">INT((INT(I$6/$X21)*$X$7+$X$7+$Z21-1)/($X$7+$Z21)/$Y21)</f>
        <v>0</v>
      </c>
      <c r="J20" s="153" t="n">
        <f aca="false">INT((INT(J$6/$X21)*$X$7+$X$7+$Z21-1)/($X$7+$Z21)/$Y21)</f>
        <v>0</v>
      </c>
      <c r="K20" s="153" t="n">
        <f aca="false">INT((INT(K$6/$X21)*$X$7+$X$7+$Z21-1)/($X$7+$Z21)/$Y21)</f>
        <v>0</v>
      </c>
      <c r="L20" s="153" t="n">
        <f aca="false">INT((INT(L$6/$X21)*$X$7+$X$7+$Z21-1)/($X$7+$Z21)/$Y21)</f>
        <v>0</v>
      </c>
      <c r="M20" s="153" t="n">
        <f aca="false">INT((INT(M$6/$X21)*$X$7+$X$7+$Z21-1)/($X$7+$Z21)/$Y21)</f>
        <v>0</v>
      </c>
      <c r="N20" s="153" t="n">
        <f aca="false">INT((INT(N$6/$X21)*$X$7+$X$7+$Z21-1)/($X$7+$Z21)/$Y21)</f>
        <v>0</v>
      </c>
      <c r="O20" s="153" t="n">
        <f aca="false">INT((INT(O$6/$X21)*$X$7+$X$7+$Z21-1)/($X$7+$Z21)/$Y21)</f>
        <v>0</v>
      </c>
      <c r="P20" s="153" t="n">
        <f aca="false">INT((INT(P$6/$X21)*$X$7+$X$7+$Z21-1)/($X$7+$Z21)/$Y21)</f>
        <v>0</v>
      </c>
      <c r="Q20" s="153" t="n">
        <f aca="false">INT((INT(Q$6/$X21)*$X$7+$X$7+$Z21-1)/($X$7+$Z21)/$Y21)</f>
        <v>0</v>
      </c>
      <c r="R20" s="153" t="n">
        <f aca="false">INT((INT(R$6/$X21)*$X$7+$X$7+$Z21-1)/($X$7+$Z21)/$Y21)</f>
        <v>0</v>
      </c>
      <c r="S20" s="153" t="n">
        <f aca="false">INT((INT(S$6/$X21)*$X$7+$X$7+$Z21-1)/($X$7+$Z21)/$Y21)</f>
        <v>0</v>
      </c>
      <c r="T20" s="153" t="n">
        <f aca="false">INT((INT(T$6/$X21)*$X$7+$X$7+$Z21-1)/($X$7+$Z21)/$Y21)</f>
        <v>0</v>
      </c>
      <c r="U20" s="153" t="n">
        <f aca="false">INT((INT(U$6/$X21)*$X$7+$X$7+$Z21-1)/($X$7+$Z21)/$Y21)</f>
        <v>0</v>
      </c>
      <c r="V20" s="153" t="n">
        <f aca="false">INT((INT(V$6/$X21)*$X$7+$X$7+$Z21-1)/($X$7+$Z21)/$Y21)</f>
        <v>0</v>
      </c>
    </row>
    <row r="21" customFormat="false" ht="12.75" hidden="false" customHeight="false" outlineLevel="0" collapsed="false">
      <c r="A21" s="153" t="s">
        <v>1396</v>
      </c>
      <c r="B21" s="511" t="s">
        <v>1007</v>
      </c>
      <c r="C21" s="511" t="n">
        <f aca="false">IF($Y21=1,0,$X$7*(INT(C$6/$X21)-INT(B$6/$X21))-IF(SUM($B21:B21)&gt;0,C22,0))</f>
        <v>0</v>
      </c>
      <c r="D21" s="511" t="n">
        <f aca="false">IF($Y21=1,0,$X$7*(INT(D$6/$X21)-INT(C$6/$X21))-IF(SUM($B21:C21)&gt;0,D22,0))</f>
        <v>0</v>
      </c>
      <c r="E21" s="511" t="n">
        <f aca="false">IF($Y21=1,0,$X$7*(INT(E$6/$X21)-INT(D$6/$X21))-IF(SUM($B21:D21)&gt;0,E22,0))</f>
        <v>0</v>
      </c>
      <c r="F21" s="511" t="n">
        <f aca="false">IF($Y21=1,0,$X$7*(INT(F$6/$X21)-INT(E$6/$X21))-IF(SUM($B21:E21)&gt;0,F22,0))</f>
        <v>0</v>
      </c>
      <c r="G21" s="511" t="n">
        <f aca="false">IF($Y21=1,0,$X$7*(INT(G$6/$X21)-INT(F$6/$X21))-IF(SUM($B21:F21)&gt;0,G22,0))</f>
        <v>0</v>
      </c>
      <c r="H21" s="511" t="n">
        <f aca="false">IF($Y21=1,0,$X$7*(INT(H$6/$X21)-INT(G$6/$X21))-IF(SUM($B21:G21)&gt;0,H22,0))</f>
        <v>0</v>
      </c>
      <c r="I21" s="511" t="n">
        <f aca="false">IF($Y21=1,0,$X$7*(INT(I$6/$X21)-INT(H$6/$X21))-IF(SUM($B21:H21)&gt;0,I22,0))</f>
        <v>0</v>
      </c>
      <c r="J21" s="511" t="n">
        <f aca="false">IF($Y21=1,0,$X$7*(INT(J$6/$X21)-INT(I$6/$X21))-IF(SUM($B21:I21)&gt;0,J22,0))</f>
        <v>0</v>
      </c>
      <c r="K21" s="511" t="n">
        <f aca="false">IF($Y21=1,0,$X$7*(INT(K$6/$X21)-INT(J$6/$X21))-IF(SUM($B21:J21)&gt;0,K22,0))</f>
        <v>0</v>
      </c>
      <c r="L21" s="511" t="n">
        <f aca="false">IF($Y21=1,0,$X$7*(INT(L$6/$X21)-INT(K$6/$X21))-IF(SUM($B21:K21)&gt;0,L22,0))</f>
        <v>0</v>
      </c>
      <c r="M21" s="511" t="n">
        <f aca="false">IF($Y21=1,0,$X$7*(INT(M$6/$X21)-INT(L$6/$X21))-IF(SUM($B21:L21)&gt;0,M22,0))</f>
        <v>0</v>
      </c>
      <c r="N21" s="511" t="n">
        <f aca="false">IF($Y21=1,0,$X$7*(INT(N$6/$X21)-INT(M$6/$X21))-IF(SUM($B21:M21)&gt;0,N22,0))</f>
        <v>0</v>
      </c>
      <c r="O21" s="511" t="n">
        <f aca="false">IF($Y21=1,0,$X$7*(INT(O$6/$X21)-INT(N$6/$X21))-IF(SUM($B21:N21)&gt;0,O22,0))</f>
        <v>0</v>
      </c>
      <c r="P21" s="511" t="n">
        <f aca="false">IF($Y21=1,0,$X$7*(INT(P$6/$X21)-INT(O$6/$X21))-IF(SUM($B21:O21)&gt;0,P22,0))</f>
        <v>0</v>
      </c>
      <c r="Q21" s="511" t="n">
        <f aca="false">IF($Y21=1,0,$X$7*(INT(Q$6/$X21)-INT(P$6/$X21))-IF(SUM($B21:P21)&gt;0,Q22,0))</f>
        <v>0</v>
      </c>
      <c r="R21" s="511" t="n">
        <f aca="false">IF($Y21=1,0,$X$7*(INT(R$6/$X21)-INT(Q$6/$X21))-IF(SUM($B21:Q21)&gt;0,R22,0))</f>
        <v>0</v>
      </c>
      <c r="S21" s="511" t="n">
        <f aca="false">IF($Y21=1,0,$X$7*(INT(S$6/$X21)-INT(R$6/$X21))-IF(SUM($B21:R21)&gt;0,S22,0))</f>
        <v>0</v>
      </c>
      <c r="T21" s="511" t="n">
        <f aca="false">IF($Y21=1,0,$X$7*(INT(T$6/$X21)-INT(S$6/$X21))-IF(SUM($B21:S21)&gt;0,T22,0))</f>
        <v>0</v>
      </c>
      <c r="U21" s="511" t="n">
        <f aca="false">IF($Y21=1,0,$X$7*(INT(U$6/$X21)-INT(T$6/$X21))-IF(SUM($B21:T21)&gt;0,U22,0))</f>
        <v>0</v>
      </c>
      <c r="V21" s="511" t="n">
        <f aca="false">IF($Y21=1,0,$X$7*(INT(V$6/$X21)-INT(U$6/$X21))-IF(SUM($B21:U21)&gt;0,V22,0))</f>
        <v>0</v>
      </c>
      <c r="W21" s="800" t="str">
        <f aca="false">'GT schd cost(7EA)'!A15</f>
        <v>Transition Pieces</v>
      </c>
      <c r="X21" s="800" t="n">
        <f aca="false">IF($AD$6=1,'GTDB(7EA)'!B18,'GTDB(7EA)'!G18)</f>
        <v>8000</v>
      </c>
      <c r="Y21" s="800" t="n">
        <f aca="false">IF($AD$6=1,'GTDB(7EA)'!C18,'GTDB(7EA)'!H18)</f>
        <v>6</v>
      </c>
      <c r="Z21" s="801" t="n">
        <v>1</v>
      </c>
      <c r="AA21" s="804" t="n">
        <f aca="false">'Initial_Spares(7EA) '!$E$12</f>
        <v>0</v>
      </c>
      <c r="AB21" s="764" t="n">
        <f aca="false">'GT schd cost(7EA)'!X15+'GT schd cost(7EA)'!X38</f>
        <v>0</v>
      </c>
    </row>
    <row r="22" customFormat="false" ht="12.75" hidden="false" customHeight="false" outlineLevel="0" collapsed="false">
      <c r="A22" s="153" t="s">
        <v>1397</v>
      </c>
      <c r="B22" s="511" t="s">
        <v>1007</v>
      </c>
      <c r="C22" s="511" t="n">
        <f aca="false">IF(INT(C$6/$X21)*$X$7&gt;C20*($X$7+$Z21)*$Y21,C20*($X$7+$Z21)-SUM($B22:B22),INT(C$6/$X21)*$X$7-C20*($X$7+$Z21)*($Y21-1)-SUM($B22:B22))+IF($Y21&gt;1,IF(INT(C$6/$X21)&gt;0,$Z21-$AA21,0),-$AA21)</f>
        <v>0</v>
      </c>
      <c r="D22" s="511" t="n">
        <f aca="false">IF(INT(D$6/$X21)*$X$7&gt;D20*($X$7+$Z21)*$Y21,D20*($X$7+$Z21)-SUM($B22:C22),INT(D$6/$X21)*$X$7-D20*($X$7+$Z21)*($Y21-1)-SUM($B22:C22))+IF($Y21&gt;1,IF(INT(D$6/$X21)&gt;0,$Z21-$AA21,0),-$AA21)</f>
        <v>0</v>
      </c>
      <c r="E22" s="511" t="n">
        <f aca="false">IF(INT(E$6/$X21)*$X$7&gt;E20*($X$7+$Z21)*$Y21,E20*($X$7+$Z21)-SUM($B22:D22),INT(E$6/$X21)*$X$7-E20*($X$7+$Z21)*($Y21-1)-SUM($B22:D22))+IF($Y21&gt;1,IF(INT(E$6/$X21)&gt;0,$Z21-$AA21,0),-$AA21)</f>
        <v>0</v>
      </c>
      <c r="F22" s="511" t="n">
        <f aca="false">IF(INT(F$6/$X21)*$X$7&gt;F20*($X$7+$Z21)*$Y21,F20*($X$7+$Z21)-SUM($B22:E22),INT(F$6/$X21)*$X$7-F20*($X$7+$Z21)*($Y21-1)-SUM($B22:E22))+IF($Y21&gt;1,IF(INT(F$6/$X21)&gt;0,$Z21-$AA21,0),-$AA21)</f>
        <v>0</v>
      </c>
      <c r="G22" s="511" t="n">
        <f aca="false">IF(INT(G$6/$X21)*$X$7&gt;G20*($X$7+$Z21)*$Y21,G20*($X$7+$Z21)-SUM($B22:F22),INT(G$6/$X21)*$X$7-G20*($X$7+$Z21)*($Y21-1)-SUM($B22:F22))+IF($Y21&gt;1,IF(INT(G$6/$X21)&gt;0,$Z21-$AA21,0),-$AA21)</f>
        <v>0</v>
      </c>
      <c r="H22" s="511" t="n">
        <f aca="false">IF(INT(H$6/$X21)*$X$7&gt;H20*($X$7+$Z21)*$Y21,H20*($X$7+$Z21)-SUM($B22:G22),INT(H$6/$X21)*$X$7-H20*($X$7+$Z21)*($Y21-1)-SUM($B22:G22))+IF($Y21&gt;1,IF(INT(H$6/$X21)&gt;0,$Z21-$AA21,0),-$AA21)</f>
        <v>0</v>
      </c>
      <c r="I22" s="511" t="n">
        <f aca="false">IF(INT(I$6/$X21)*$X$7&gt;I20*($X$7+$Z21)*$Y21,I20*($X$7+$Z21)-SUM($B22:H22),INT(I$6/$X21)*$X$7-I20*($X$7+$Z21)*($Y21-1)-SUM($B22:H22))+IF($Y21&gt;1,IF(INT(I$6/$X21)&gt;0,$Z21-$AA21,0),-$AA21)</f>
        <v>0</v>
      </c>
      <c r="J22" s="511" t="n">
        <f aca="false">IF(INT(J$6/$X21)*$X$7&gt;J20*($X$7+$Z21)*$Y21,J20*($X$7+$Z21)-SUM($B22:I22),INT(J$6/$X21)*$X$7-J20*($X$7+$Z21)*($Y21-1)-SUM($B22:I22))+IF($Y21&gt;1,IF(INT(J$6/$X21)&gt;0,$Z21-$AA21,0),-$AA21)</f>
        <v>0</v>
      </c>
      <c r="K22" s="511" t="n">
        <f aca="false">IF(INT(K$6/$X21)*$X$7&gt;K20*($X$7+$Z21)*$Y21,K20*($X$7+$Z21)-SUM($B22:J22),INT(K$6/$X21)*$X$7-K20*($X$7+$Z21)*($Y21-1)-SUM($B22:J22))+IF($Y21&gt;1,IF(INT(K$6/$X21)&gt;0,$Z21-$AA21,0),-$AA21)</f>
        <v>0</v>
      </c>
      <c r="L22" s="511" t="n">
        <f aca="false">IF(INT(L$6/$X21)*$X$7&gt;L20*($X$7+$Z21)*$Y21,L20*($X$7+$Z21)-SUM($B22:K22),INT(L$6/$X21)*$X$7-L20*($X$7+$Z21)*($Y21-1)-SUM($B22:K22))+IF($Y21&gt;1,IF(INT(L$6/$X21)&gt;0,$Z21-$AA21,0),-$AA21)</f>
        <v>0</v>
      </c>
      <c r="M22" s="511" t="n">
        <f aca="false">IF(INT(M$6/$X21)*$X$7&gt;M20*($X$7+$Z21)*$Y21,M20*($X$7+$Z21)-SUM($B22:L22),INT(M$6/$X21)*$X$7-M20*($X$7+$Z21)*($Y21-1)-SUM($B22:L22))+IF($Y21&gt;1,IF(INT(M$6/$X21)&gt;0,$Z21-$AA21,0),-$AA21)</f>
        <v>0</v>
      </c>
      <c r="N22" s="511" t="n">
        <f aca="false">IF(INT(N$6/$X21)*$X$7&gt;N20*($X$7+$Z21)*$Y21,N20*($X$7+$Z21)-SUM($B22:M22),INT(N$6/$X21)*$X$7-N20*($X$7+$Z21)*($Y21-1)-SUM($B22:M22))+IF($Y21&gt;1,IF(INT(N$6/$X21)&gt;0,$Z21-$AA21,0),-$AA21)</f>
        <v>0</v>
      </c>
      <c r="O22" s="511" t="n">
        <f aca="false">IF(INT(O$6/$X21)*$X$7&gt;O20*($X$7+$Z21)*$Y21,O20*($X$7+$Z21)-SUM($B22:N22),INT(O$6/$X21)*$X$7-O20*($X$7+$Z21)*($Y21-1)-SUM($B22:N22))+IF($Y21&gt;1,IF(INT(O$6/$X21)&gt;0,$Z21-$AA21,0),-$AA21)</f>
        <v>0</v>
      </c>
      <c r="P22" s="511" t="n">
        <f aca="false">IF(INT(P$6/$X21)*$X$7&gt;P20*($X$7+$Z21)*$Y21,P20*($X$7+$Z21)-SUM($B22:O22),INT(P$6/$X21)*$X$7-P20*($X$7+$Z21)*($Y21-1)-SUM($B22:O22))+IF($Y21&gt;1,IF(INT(P$6/$X21)&gt;0,$Z21-$AA21,0),-$AA21)</f>
        <v>0</v>
      </c>
      <c r="Q22" s="511" t="n">
        <f aca="false">IF(INT(Q$6/$X21)*$X$7&gt;Q20*($X$7+$Z21)*$Y21,Q20*($X$7+$Z21)-SUM($B22:P22),INT(Q$6/$X21)*$X$7-Q20*($X$7+$Z21)*($Y21-1)-SUM($B22:P22))+IF($Y21&gt;1,IF(INT(Q$6/$X21)&gt;0,$Z21-$AA21,0),-$AA21)</f>
        <v>0</v>
      </c>
      <c r="R22" s="511" t="n">
        <f aca="false">IF(INT(R$6/$X21)*$X$7&gt;R20*($X$7+$Z21)*$Y21,R20*($X$7+$Z21)-SUM($B22:Q22),INT(R$6/$X21)*$X$7-R20*($X$7+$Z21)*($Y21-1)-SUM($B22:Q22))+IF($Y21&gt;1,IF(INT(R$6/$X21)&gt;0,$Z21-$AA21,0),-$AA21)</f>
        <v>0</v>
      </c>
      <c r="S22" s="511" t="n">
        <f aca="false">IF(INT(S$6/$X21)*$X$7&gt;S20*($X$7+$Z21)*$Y21,S20*($X$7+$Z21)-SUM($B22:R22),INT(S$6/$X21)*$X$7-S20*($X$7+$Z21)*($Y21-1)-SUM($B22:R22))+IF($Y21&gt;1,IF(INT(S$6/$X21)&gt;0,$Z21-$AA21,0),-$AA21)</f>
        <v>0</v>
      </c>
      <c r="T22" s="511" t="n">
        <f aca="false">IF(INT(T$6/$X21)*$X$7&gt;T20*($X$7+$Z21)*$Y21,T20*($X$7+$Z21)-SUM($B22:S22),INT(T$6/$X21)*$X$7-T20*($X$7+$Z21)*($Y21-1)-SUM($B22:S22))+IF($Y21&gt;1,IF(INT(T$6/$X21)&gt;0,$Z21-$AA21,0),-$AA21)</f>
        <v>0</v>
      </c>
      <c r="U22" s="511" t="n">
        <f aca="false">IF(INT(U$6/$X21)*$X$7&gt;U20*($X$7+$Z21)*$Y21,U20*($X$7+$Z21)-SUM($B22:T22),INT(U$6/$X21)*$X$7-U20*($X$7+$Z21)*($Y21-1)-SUM($B22:T22))+IF($Y21&gt;1,IF(INT(U$6/$X21)&gt;0,$Z21-$AA21,0),-$AA21)</f>
        <v>0</v>
      </c>
      <c r="V22" s="511" t="n">
        <f aca="false">IF(INT(V$6/$X21)*$X$7&gt;V20*($X$7+$Z21)*$Y21,V20*($X$7+$Z21)-SUM($B22:U22),INT(V$6/$X21)*$X$7-V20*($X$7+$Z21)*($Y21-1)-SUM($B22:U22))+IF($Y21&gt;1,IF(INT(V$6/$X21)&gt;0,$Z21-$AA21,0),-$AA21)</f>
        <v>0</v>
      </c>
      <c r="W22" s="803"/>
    </row>
    <row r="23" customFormat="false" ht="12.75" hidden="false" customHeight="false" outlineLevel="0" collapsed="false">
      <c r="W23" s="803"/>
    </row>
    <row r="24" customFormat="false" ht="12.75" hidden="true" customHeight="false" outlineLevel="0" collapsed="false">
      <c r="A24" s="153" t="s">
        <v>1395</v>
      </c>
      <c r="B24" s="511"/>
      <c r="C24" s="153" t="e">
        <f aca="false">INT((INT(C$6/$X25)*$X$7+$X$7+$Z25-1)/($X$7+$Z25)/$Y25)</f>
        <v>#REF!</v>
      </c>
      <c r="D24" s="153" t="e">
        <f aca="false">INT((INT(D$6/$X25)*$X$7+$X$7+$Z25-1)/($X$7+$Z25)/$Y25)</f>
        <v>#REF!</v>
      </c>
      <c r="E24" s="153" t="e">
        <f aca="false">INT((INT(E$6/$X25)*$X$7+$X$7+$Z25-1)/($X$7+$Z25)/$Y25)</f>
        <v>#REF!</v>
      </c>
      <c r="F24" s="153" t="e">
        <f aca="false">INT((INT(F$6/$X25)*$X$7+$X$7+$Z25-1)/($X$7+$Z25)/$Y25)</f>
        <v>#REF!</v>
      </c>
      <c r="G24" s="153" t="e">
        <f aca="false">INT((INT(G$6/$X25)*$X$7+$X$7+$Z25-1)/($X$7+$Z25)/$Y25)</f>
        <v>#REF!</v>
      </c>
      <c r="H24" s="153" t="e">
        <f aca="false">INT((INT(H$6/$X25)*$X$7+$X$7+$Z25-1)/($X$7+$Z25)/$Y25)</f>
        <v>#REF!</v>
      </c>
      <c r="I24" s="153" t="e">
        <f aca="false">INT((INT(I$6/$X25)*$X$7+$X$7+$Z25-1)/($X$7+$Z25)/$Y25)</f>
        <v>#REF!</v>
      </c>
      <c r="J24" s="153" t="e">
        <f aca="false">INT((INT(J$6/$X25)*$X$7+$X$7+$Z25-1)/($X$7+$Z25)/$Y25)</f>
        <v>#REF!</v>
      </c>
      <c r="K24" s="153" t="e">
        <f aca="false">INT((INT(K$6/$X25)*$X$7+$X$7+$Z25-1)/($X$7+$Z25)/$Y25)</f>
        <v>#REF!</v>
      </c>
      <c r="L24" s="153" t="e">
        <f aca="false">INT((INT(L$6/$X25)*$X$7+$X$7+$Z25-1)/($X$7+$Z25)/$Y25)</f>
        <v>#REF!</v>
      </c>
      <c r="M24" s="153" t="e">
        <f aca="false">INT((INT(M$6/$X25)*$X$7+$X$7+$Z25-1)/($X$7+$Z25)/$Y25)</f>
        <v>#REF!</v>
      </c>
      <c r="N24" s="153" t="e">
        <f aca="false">INT((INT(N$6/$X25)*$X$7+$X$7+$Z25-1)/($X$7+$Z25)/$Y25)</f>
        <v>#REF!</v>
      </c>
      <c r="O24" s="153" t="e">
        <f aca="false">INT((INT(O$6/$X25)*$X$7+$X$7+$Z25-1)/($X$7+$Z25)/$Y25)</f>
        <v>#REF!</v>
      </c>
      <c r="P24" s="153" t="e">
        <f aca="false">INT((INT(P$6/$X25)*$X$7+$X$7+$Z25-1)/($X$7+$Z25)/$Y25)</f>
        <v>#REF!</v>
      </c>
      <c r="Q24" s="153" t="e">
        <f aca="false">INT((INT(Q$6/$X25)*$X$7+$X$7+$Z25-1)/($X$7+$Z25)/$Y25)</f>
        <v>#REF!</v>
      </c>
      <c r="R24" s="153" t="e">
        <f aca="false">INT((INT(R$6/$X25)*$X$7+$X$7+$Z25-1)/($X$7+$Z25)/$Y25)</f>
        <v>#REF!</v>
      </c>
      <c r="S24" s="153" t="e">
        <f aca="false">INT((INT(S$6/$X25)*$X$7+$X$7+$Z25-1)/($X$7+$Z25)/$Y25)</f>
        <v>#REF!</v>
      </c>
      <c r="T24" s="153" t="e">
        <f aca="false">INT((INT(T$6/$X25)*$X$7+$X$7+$Z25-1)/($X$7+$Z25)/$Y25)</f>
        <v>#REF!</v>
      </c>
      <c r="U24" s="153" t="e">
        <f aca="false">INT((INT(U$6/$X25)*$X$7+$X$7+$Z25-1)/($X$7+$Z25)/$Y25)</f>
        <v>#REF!</v>
      </c>
      <c r="V24" s="153" t="e">
        <f aca="false">INT((INT(V$6/$X25)*$X$7+$X$7+$Z25-1)/($X$7+$Z25)/$Y25)</f>
        <v>#REF!</v>
      </c>
    </row>
    <row r="25" customFormat="false" ht="12.75" hidden="true" customHeight="false" outlineLevel="0" collapsed="false">
      <c r="A25" s="153" t="s">
        <v>1396</v>
      </c>
      <c r="B25" s="511" t="s">
        <v>1007</v>
      </c>
      <c r="C25" s="511" t="e">
        <f aca="false">IF($Y25=1,0,$X$7*(INT(C$6/$X25)-INT(B$6/$X25))-IF(SUM($B25:B25)&gt;0,C26,0))</f>
        <v>#REF!</v>
      </c>
      <c r="D25" s="511" t="e">
        <f aca="false">IF($Y25=1,0,$X$7*(INT(D$6/$X25)-INT(C$6/$X25))-IF(SUM($B25:C25)&gt;0,D26,0))</f>
        <v>#REF!</v>
      </c>
      <c r="E25" s="511" t="e">
        <f aca="false">IF($Y25=1,0,$X$7*(INT(E$6/$X25)-INT(D$6/$X25))-IF(SUM($B25:D25)&gt;0,E26,0))</f>
        <v>#REF!</v>
      </c>
      <c r="F25" s="511" t="e">
        <f aca="false">IF($Y25=1,0,$X$7*(INT(F$6/$X25)-INT(E$6/$X25))-IF(SUM($B25:E25)&gt;0,F26,0))</f>
        <v>#REF!</v>
      </c>
      <c r="G25" s="511" t="e">
        <f aca="false">IF($Y25=1,0,$X$7*(INT(G$6/$X25)-INT(F$6/$X25))-IF(SUM($B25:F25)&gt;0,G26,0))</f>
        <v>#REF!</v>
      </c>
      <c r="H25" s="511" t="e">
        <f aca="false">IF($Y25=1,0,$X$7*(INT(H$6/$X25)-INT(G$6/$X25))-IF(SUM($B25:G25)&gt;0,H26,0))</f>
        <v>#REF!</v>
      </c>
      <c r="I25" s="511" t="e">
        <f aca="false">IF($Y25=1,0,$X$7*(INT(I$6/$X25)-INT(H$6/$X25))-IF(SUM($B25:H25)&gt;0,I26,0))</f>
        <v>#REF!</v>
      </c>
      <c r="J25" s="511" t="e">
        <f aca="false">IF($Y25=1,0,$X$7*(INT(J$6/$X25)-INT(I$6/$X25))-IF(SUM($B25:I25)&gt;0,J26,0))</f>
        <v>#REF!</v>
      </c>
      <c r="K25" s="511" t="e">
        <f aca="false">IF($Y25=1,0,$X$7*(INT(K$6/$X25)-INT(J$6/$X25))-IF(SUM($B25:J25)&gt;0,K26,0))</f>
        <v>#REF!</v>
      </c>
      <c r="L25" s="511" t="e">
        <f aca="false">IF($Y25=1,0,$X$7*(INT(L$6/$X25)-INT(K$6/$X25))-IF(SUM($B25:K25)&gt;0,L26,0))</f>
        <v>#REF!</v>
      </c>
      <c r="M25" s="511" t="e">
        <f aca="false">IF($Y25=1,0,$X$7*(INT(M$6/$X25)-INT(L$6/$X25))-IF(SUM($B25:L25)&gt;0,M26,0))</f>
        <v>#REF!</v>
      </c>
      <c r="N25" s="511" t="e">
        <f aca="false">IF($Y25=1,0,$X$7*(INT(N$6/$X25)-INT(M$6/$X25))-IF(SUM($B25:M25)&gt;0,N26,0))</f>
        <v>#REF!</v>
      </c>
      <c r="O25" s="511" t="e">
        <f aca="false">IF($Y25=1,0,$X$7*(INT(O$6/$X25)-INT(N$6/$X25))-IF(SUM($B25:N25)&gt;0,O26,0))</f>
        <v>#REF!</v>
      </c>
      <c r="P25" s="511" t="e">
        <f aca="false">IF($Y25=1,0,$X$7*(INT(P$6/$X25)-INT(O$6/$X25))-IF(SUM($B25:O25)&gt;0,P26,0))</f>
        <v>#REF!</v>
      </c>
      <c r="Q25" s="511" t="e">
        <f aca="false">IF($Y25=1,0,$X$7*(INT(Q$6/$X25)-INT(P$6/$X25))-IF(SUM($B25:P25)&gt;0,Q26,0))</f>
        <v>#REF!</v>
      </c>
      <c r="R25" s="511" t="e">
        <f aca="false">IF($Y25=1,0,$X$7*(INT(R$6/$X25)-INT(Q$6/$X25))-IF(SUM($B25:Q25)&gt;0,R26,0))</f>
        <v>#REF!</v>
      </c>
      <c r="S25" s="511" t="e">
        <f aca="false">IF($Y25=1,0,$X$7*(INT(S$6/$X25)-INT(R$6/$X25))-IF(SUM($B25:R25)&gt;0,S26,0))</f>
        <v>#REF!</v>
      </c>
      <c r="T25" s="511" t="e">
        <f aca="false">IF($Y25=1,0,$X$7*(INT(T$6/$X25)-INT(S$6/$X25))-IF(SUM($B25:S25)&gt;0,T26,0))</f>
        <v>#REF!</v>
      </c>
      <c r="U25" s="511" t="e">
        <f aca="false">IF($Y25=1,0,$X$7*(INT(U$6/$X25)-INT(T$6/$X25))-IF(SUM($B25:T25)&gt;0,U26,0))</f>
        <v>#REF!</v>
      </c>
      <c r="V25" s="511" t="e">
        <f aca="false">IF($Y25=1,0,$X$7*(INT(V$6/$X25)-INT(U$6/$X25))-IF(SUM($B25:U25)&gt;0,V26,0))</f>
        <v>#REF!</v>
      </c>
      <c r="W25" s="800" t="e">
        <f aca="false">#REF!</f>
        <v>#REF!</v>
      </c>
      <c r="X25" s="800" t="e">
        <f aca="false">IF($AD$6=1,#REF!,#REF!)</f>
        <v>#REF!</v>
      </c>
      <c r="Y25" s="800" t="e">
        <f aca="false">IF($AD$6=1,#REF!,#REF!)</f>
        <v>#REF!</v>
      </c>
      <c r="Z25" s="801" t="n">
        <v>2</v>
      </c>
      <c r="AA25" s="776" t="n">
        <v>0</v>
      </c>
      <c r="AB25" s="764" t="e">
        <f aca="false">#REF!+#REF!</f>
        <v>#REF!</v>
      </c>
    </row>
    <row r="26" customFormat="false" ht="12.75" hidden="true" customHeight="false" outlineLevel="0" collapsed="false">
      <c r="A26" s="153" t="s">
        <v>1397</v>
      </c>
      <c r="B26" s="511" t="s">
        <v>1007</v>
      </c>
      <c r="C26" s="511" t="e">
        <f aca="false">IF(INT(C$6/$X25)*$X$7&gt;C24*($X$7+$Z25)*$Y25,C24*($X$7+$Z25)-SUM($B26:B26),INT(C$6/$X25)*$X$7-C24*($X$7+$Z25)*($Y25-1)-SUM($B26:B26))+IF($Y25&gt;1,IF(INT(C$6/$X25)&gt;0,$Z25-$AA25,0),-$AA25)</f>
        <v>#REF!</v>
      </c>
      <c r="D26" s="511" t="e">
        <f aca="false">IF(INT(D$6/$X25)*$X$7&gt;D24*($X$7+$Z25)*$Y25,D24*($X$7+$Z25)-SUM($B26:C26),INT(D$6/$X25)*$X$7-D24*($X$7+$Z25)*($Y25-1)-SUM($B26:C26))+IF($Y25&gt;1,IF(INT(D$6/$X25)&gt;0,$Z25-$AA25,0),-$AA25)</f>
        <v>#REF!</v>
      </c>
      <c r="E26" s="511" t="e">
        <f aca="false">IF(INT(E$6/$X25)*$X$7&gt;E24*($X$7+$Z25)*$Y25,E24*($X$7+$Z25)-SUM($B26:D26),INT(E$6/$X25)*$X$7-E24*($X$7+$Z25)*($Y25-1)-SUM($B26:D26))+IF($Y25&gt;1,IF(INT(E$6/$X25)&gt;0,$Z25-$AA25,0),-$AA25)</f>
        <v>#REF!</v>
      </c>
      <c r="F26" s="511" t="e">
        <f aca="false">IF(INT(F$6/$X25)*$X$7&gt;F24*($X$7+$Z25)*$Y25,F24*($X$7+$Z25)-SUM($B26:E26),INT(F$6/$X25)*$X$7-F24*($X$7+$Z25)*($Y25-1)-SUM($B26:E26))+IF($Y25&gt;1,IF(INT(F$6/$X25)&gt;0,$Z25-$AA25,0),-$AA25)</f>
        <v>#REF!</v>
      </c>
      <c r="G26" s="511" t="e">
        <f aca="false">IF(INT(G$6/$X25)*$X$7&gt;G24*($X$7+$Z25)*$Y25,G24*($X$7+$Z25)-SUM($B26:F26),INT(G$6/$X25)*$X$7-G24*($X$7+$Z25)*($Y25-1)-SUM($B26:F26))+IF($Y25&gt;1,IF(INT(G$6/$X25)&gt;0,$Z25-$AA25,0),-$AA25)</f>
        <v>#REF!</v>
      </c>
      <c r="H26" s="511" t="e">
        <f aca="false">IF(INT(H$6/$X25)*$X$7&gt;H24*($X$7+$Z25)*$Y25,H24*($X$7+$Z25)-SUM($B26:G26),INT(H$6/$X25)*$X$7-H24*($X$7+$Z25)*($Y25-1)-SUM($B26:G26))+IF($Y25&gt;1,IF(INT(H$6/$X25)&gt;0,$Z25-$AA25,0),-$AA25)</f>
        <v>#REF!</v>
      </c>
      <c r="I26" s="511" t="e">
        <f aca="false">IF(INT(I$6/$X25)*$X$7&gt;I24*($X$7+$Z25)*$Y25,I24*($X$7+$Z25)-SUM($B26:H26),INT(I$6/$X25)*$X$7-I24*($X$7+$Z25)*($Y25-1)-SUM($B26:H26))+IF($Y25&gt;1,IF(INT(I$6/$X25)&gt;0,$Z25-$AA25,0),-$AA25)</f>
        <v>#REF!</v>
      </c>
      <c r="J26" s="511" t="e">
        <f aca="false">IF(INT(J$6/$X25)*$X$7&gt;J24*($X$7+$Z25)*$Y25,J24*($X$7+$Z25)-SUM($B26:I26),INT(J$6/$X25)*$X$7-J24*($X$7+$Z25)*($Y25-1)-SUM($B26:I26))+IF($Y25&gt;1,IF(INT(J$6/$X25)&gt;0,$Z25-$AA25,0),-$AA25)</f>
        <v>#REF!</v>
      </c>
      <c r="K26" s="511" t="e">
        <f aca="false">IF(INT(K$6/$X25)*$X$7&gt;K24*($X$7+$Z25)*$Y25,K24*($X$7+$Z25)-SUM($B26:J26),INT(K$6/$X25)*$X$7-K24*($X$7+$Z25)*($Y25-1)-SUM($B26:J26))+IF($Y25&gt;1,IF(INT(K$6/$X25)&gt;0,$Z25-$AA25,0),-$AA25)</f>
        <v>#REF!</v>
      </c>
      <c r="L26" s="511" t="e">
        <f aca="false">IF(INT(L$6/$X25)*$X$7&gt;L24*($X$7+$Z25)*$Y25,L24*($X$7+$Z25)-SUM($B26:K26),INT(L$6/$X25)*$X$7-L24*($X$7+$Z25)*($Y25-1)-SUM($B26:K26))+IF($Y25&gt;1,IF(INT(L$6/$X25)&gt;0,$Z25-$AA25,0),-$AA25)</f>
        <v>#REF!</v>
      </c>
      <c r="M26" s="511" t="e">
        <f aca="false">IF(INT(M$6/$X25)*$X$7&gt;M24*($X$7+$Z25)*$Y25,M24*($X$7+$Z25)-SUM($B26:L26),INT(M$6/$X25)*$X$7-M24*($X$7+$Z25)*($Y25-1)-SUM($B26:L26))+IF($Y25&gt;1,IF(INT(M$6/$X25)&gt;0,$Z25-$AA25,0),-$AA25)</f>
        <v>#REF!</v>
      </c>
      <c r="N26" s="511" t="e">
        <f aca="false">IF(INT(N$6/$X25)*$X$7&gt;N24*($X$7+$Z25)*$Y25,N24*($X$7+$Z25)-SUM($B26:M26),INT(N$6/$X25)*$X$7-N24*($X$7+$Z25)*($Y25-1)-SUM($B26:M26))+IF($Y25&gt;1,IF(INT(N$6/$X25)&gt;0,$Z25-$AA25,0),-$AA25)</f>
        <v>#REF!</v>
      </c>
      <c r="O26" s="511" t="e">
        <f aca="false">IF(INT(O$6/$X25)*$X$7&gt;O24*($X$7+$Z25)*$Y25,O24*($X$7+$Z25)-SUM($B26:N26),INT(O$6/$X25)*$X$7-O24*($X$7+$Z25)*($Y25-1)-SUM($B26:N26))+IF($Y25&gt;1,IF(INT(O$6/$X25)&gt;0,$Z25-$AA25,0),-$AA25)</f>
        <v>#REF!</v>
      </c>
      <c r="P26" s="511" t="e">
        <f aca="false">IF(INT(P$6/$X25)*$X$7&gt;P24*($X$7+$Z25)*$Y25,P24*($X$7+$Z25)-SUM($B26:O26),INT(P$6/$X25)*$X$7-P24*($X$7+$Z25)*($Y25-1)-SUM($B26:O26))+IF($Y25&gt;1,IF(INT(P$6/$X25)&gt;0,$Z25-$AA25,0),-$AA25)</f>
        <v>#REF!</v>
      </c>
      <c r="Q26" s="511" t="e">
        <f aca="false">IF(INT(Q$6/$X25)*$X$7&gt;Q24*($X$7+$Z25)*$Y25,Q24*($X$7+$Z25)-SUM($B26:P26),INT(Q$6/$X25)*$X$7-Q24*($X$7+$Z25)*($Y25-1)-SUM($B26:P26))+IF($Y25&gt;1,IF(INT(Q$6/$X25)&gt;0,$Z25-$AA25,0),-$AA25)</f>
        <v>#REF!</v>
      </c>
      <c r="R26" s="511" t="e">
        <f aca="false">IF(INT(R$6/$X25)*$X$7&gt;R24*($X$7+$Z25)*$Y25,R24*($X$7+$Z25)-SUM($B26:Q26),INT(R$6/$X25)*$X$7-R24*($X$7+$Z25)*($Y25-1)-SUM($B26:Q26))+IF($Y25&gt;1,IF(INT(R$6/$X25)&gt;0,$Z25-$AA25,0),-$AA25)</f>
        <v>#REF!</v>
      </c>
      <c r="S26" s="511" t="e">
        <f aca="false">IF(INT(S$6/$X25)*$X$7&gt;S24*($X$7+$Z25)*$Y25,S24*($X$7+$Z25)-SUM($B26:R26),INT(S$6/$X25)*$X$7-S24*($X$7+$Z25)*($Y25-1)-SUM($B26:R26))+IF($Y25&gt;1,IF(INT(S$6/$X25)&gt;0,$Z25-$AA25,0),-$AA25)</f>
        <v>#REF!</v>
      </c>
      <c r="T26" s="511" t="e">
        <f aca="false">IF(INT(T$6/$X25)*$X$7&gt;T24*($X$7+$Z25)*$Y25,T24*($X$7+$Z25)-SUM($B26:S26),INT(T$6/$X25)*$X$7-T24*($X$7+$Z25)*($Y25-1)-SUM($B26:S26))+IF($Y25&gt;1,IF(INT(T$6/$X25)&gt;0,$Z25-$AA25,0),-$AA25)</f>
        <v>#REF!</v>
      </c>
      <c r="U26" s="511" t="e">
        <f aca="false">IF(INT(U$6/$X25)*$X$7&gt;U24*($X$7+$Z25)*$Y25,U24*($X$7+$Z25)-SUM($B26:T26),INT(U$6/$X25)*$X$7-U24*($X$7+$Z25)*($Y25-1)-SUM($B26:T26))+IF($Y25&gt;1,IF(INT(U$6/$X25)&gt;0,$Z25-$AA25,0),-$AA25)</f>
        <v>#REF!</v>
      </c>
      <c r="V26" s="511" t="e">
        <f aca="false">IF(INT(V$6/$X25)*$X$7&gt;V24*($X$7+$Z25)*$Y25,V24*($X$7+$Z25)-SUM($B26:U26),INT(V$6/$X25)*$X$7-V24*($X$7+$Z25)*($Y25-1)-SUM($B26:U26))+IF($Y25&gt;1,IF(INT(V$6/$X25)&gt;0,$Z25-$AA25,0),-$AA25)</f>
        <v>#REF!</v>
      </c>
      <c r="W26" s="803"/>
    </row>
    <row r="27" customFormat="false" ht="12.75" hidden="true" customHeight="false" outlineLevel="0" collapsed="false">
      <c r="W27" s="803"/>
    </row>
    <row r="28" customFormat="false" ht="12.75" hidden="true" customHeight="false" outlineLevel="0" collapsed="false">
      <c r="A28" s="153" t="s">
        <v>1395</v>
      </c>
      <c r="B28" s="511"/>
      <c r="C28" s="153" t="n">
        <f aca="false">INT((INT(C$6/$X29)*$X$7+$X$7+$Z29-1)/($X$7+$Z29)/$Y29)</f>
        <v>0</v>
      </c>
      <c r="D28" s="153" t="n">
        <f aca="false">INT((INT(D$6/$X29)*$X$7+$X$7+$Z29-1)/($X$7+$Z29)/$Y29)</f>
        <v>0</v>
      </c>
      <c r="E28" s="153" t="n">
        <f aca="false">INT((INT(E$6/$X29)*$X$7+$X$7+$Z29-1)/($X$7+$Z29)/$Y29)</f>
        <v>0</v>
      </c>
      <c r="F28" s="153" t="n">
        <f aca="false">INT((INT(F$6/$X29)*$X$7+$X$7+$Z29-1)/($X$7+$Z29)/$Y29)</f>
        <v>0</v>
      </c>
      <c r="G28" s="153" t="n">
        <f aca="false">INT((INT(G$6/$X29)*$X$7+$X$7+$Z29-1)/($X$7+$Z29)/$Y29)</f>
        <v>0</v>
      </c>
      <c r="H28" s="153" t="n">
        <f aca="false">INT((INT(H$6/$X29)*$X$7+$X$7+$Z29-1)/($X$7+$Z29)/$Y29)</f>
        <v>0</v>
      </c>
      <c r="I28" s="153" t="n">
        <f aca="false">INT((INT(I$6/$X29)*$X$7+$X$7+$Z29-1)/($X$7+$Z29)/$Y29)</f>
        <v>0</v>
      </c>
      <c r="J28" s="153" t="n">
        <f aca="false">INT((INT(J$6/$X29)*$X$7+$X$7+$Z29-1)/($X$7+$Z29)/$Y29)</f>
        <v>0</v>
      </c>
      <c r="K28" s="153" t="n">
        <f aca="false">INT((INT(K$6/$X29)*$X$7+$X$7+$Z29-1)/($X$7+$Z29)/$Y29)</f>
        <v>0</v>
      </c>
      <c r="L28" s="153" t="n">
        <f aca="false">INT((INT(L$6/$X29)*$X$7+$X$7+$Z29-1)/($X$7+$Z29)/$Y29)</f>
        <v>0</v>
      </c>
      <c r="M28" s="153" t="n">
        <f aca="false">INT((INT(M$6/$X29)*$X$7+$X$7+$Z29-1)/($X$7+$Z29)/$Y29)</f>
        <v>0</v>
      </c>
      <c r="N28" s="153" t="n">
        <f aca="false">INT((INT(N$6/$X29)*$X$7+$X$7+$Z29-1)/($X$7+$Z29)/$Y29)</f>
        <v>0</v>
      </c>
      <c r="O28" s="153" t="n">
        <f aca="false">INT((INT(O$6/$X29)*$X$7+$X$7+$Z29-1)/($X$7+$Z29)/$Y29)</f>
        <v>0</v>
      </c>
      <c r="P28" s="153" t="n">
        <f aca="false">INT((INT(P$6/$X29)*$X$7+$X$7+$Z29-1)/($X$7+$Z29)/$Y29)</f>
        <v>0</v>
      </c>
      <c r="Q28" s="153" t="n">
        <f aca="false">INT((INT(Q$6/$X29)*$X$7+$X$7+$Z29-1)/($X$7+$Z29)/$Y29)</f>
        <v>0</v>
      </c>
      <c r="R28" s="153" t="n">
        <f aca="false">INT((INT(R$6/$X29)*$X$7+$X$7+$Z29-1)/($X$7+$Z29)/$Y29)</f>
        <v>0</v>
      </c>
      <c r="S28" s="153" t="n">
        <f aca="false">INT((INT(S$6/$X29)*$X$7+$X$7+$Z29-1)/($X$7+$Z29)/$Y29)</f>
        <v>0</v>
      </c>
      <c r="T28" s="153" t="n">
        <f aca="false">INT((INT(T$6/$X29)*$X$7+$X$7+$Z29-1)/($X$7+$Z29)/$Y29)</f>
        <v>0</v>
      </c>
      <c r="U28" s="153" t="n">
        <f aca="false">INT((INT(U$6/$X29)*$X$7+$X$7+$Z29-1)/($X$7+$Z29)/$Y29)</f>
        <v>0</v>
      </c>
      <c r="V28" s="153" t="n">
        <f aca="false">INT((INT(V$6/$X29)*$X$7+$X$7+$Z29-1)/($X$7+$Z29)/$Y29)</f>
        <v>0</v>
      </c>
    </row>
    <row r="29" customFormat="false" ht="12.75" hidden="false" customHeight="false" outlineLevel="0" collapsed="false">
      <c r="A29" s="153" t="s">
        <v>1396</v>
      </c>
      <c r="B29" s="511" t="s">
        <v>1007</v>
      </c>
      <c r="C29" s="511" t="n">
        <f aca="false">IF($Y29=1,0,$X$7*(INT(C$6/$X29)-INT(B$6/$X29))-IF(SUM($B29:B29)&gt;0,C30,0))</f>
        <v>0</v>
      </c>
      <c r="D29" s="511" t="n">
        <f aca="false">IF($Y29=1,0,$X$7*(INT(D$6/$X29)-INT(C$6/$X29))-IF(SUM($B29:C29)&gt;0,D30,0))</f>
        <v>0</v>
      </c>
      <c r="E29" s="511" t="n">
        <f aca="false">IF($Y29=1,0,$X$7*(INT(E$6/$X29)-INT(D$6/$X29))-IF(SUM($B29:D29)&gt;0,E30,0))</f>
        <v>0</v>
      </c>
      <c r="F29" s="511" t="n">
        <f aca="false">IF($Y29=1,0,$X$7*(INT(F$6/$X29)-INT(E$6/$X29))-IF(SUM($B29:E29)&gt;0,F30,0))</f>
        <v>0</v>
      </c>
      <c r="G29" s="511" t="n">
        <f aca="false">IF($Y29=1,0,$X$7*(INT(G$6/$X29)-INT(F$6/$X29))-IF(SUM($B29:F29)&gt;0,G30,0))</f>
        <v>0</v>
      </c>
      <c r="H29" s="511" t="n">
        <f aca="false">IF($Y29=1,0,$X$7*(INT(H$6/$X29)-INT(G$6/$X29))-IF(SUM($B29:G29)&gt;0,H30,0))</f>
        <v>0</v>
      </c>
      <c r="I29" s="511" t="n">
        <f aca="false">IF($Y29=1,0,$X$7*(INT(I$6/$X29)-INT(H$6/$X29))-IF(SUM($B29:H29)&gt;0,I30,0))</f>
        <v>0</v>
      </c>
      <c r="J29" s="511" t="n">
        <f aca="false">IF($Y29=1,0,$X$7*(INT(J$6/$X29)-INT(I$6/$X29))-IF(SUM($B29:I29)&gt;0,J30,0))</f>
        <v>0</v>
      </c>
      <c r="K29" s="511" t="n">
        <f aca="false">IF($Y29=1,0,$X$7*(INT(K$6/$X29)-INT(J$6/$X29))-IF(SUM($B29:J29)&gt;0,K30,0))</f>
        <v>0</v>
      </c>
      <c r="L29" s="511" t="n">
        <f aca="false">IF($Y29=1,0,$X$7*(INT(L$6/$X29)-INT(K$6/$X29))-IF(SUM($B29:K29)&gt;0,L30,0))</f>
        <v>0</v>
      </c>
      <c r="M29" s="511" t="n">
        <f aca="false">IF($Y29=1,0,$X$7*(INT(M$6/$X29)-INT(L$6/$X29))-IF(SUM($B29:L29)&gt;0,M30,0))</f>
        <v>0</v>
      </c>
      <c r="N29" s="511" t="n">
        <f aca="false">IF($Y29=1,0,$X$7*(INT(N$6/$X29)-INT(M$6/$X29))-IF(SUM($B29:M29)&gt;0,N30,0))</f>
        <v>0</v>
      </c>
      <c r="O29" s="511" t="n">
        <f aca="false">IF($Y29=1,0,$X$7*(INT(O$6/$X29)-INT(N$6/$X29))-IF(SUM($B29:N29)&gt;0,O30,0))</f>
        <v>0</v>
      </c>
      <c r="P29" s="511" t="n">
        <f aca="false">IF($Y29=1,0,$X$7*(INT(P$6/$X29)-INT(O$6/$X29))-IF(SUM($B29:O29)&gt;0,P30,0))</f>
        <v>0</v>
      </c>
      <c r="Q29" s="511" t="n">
        <f aca="false">IF($Y29=1,0,$X$7*(INT(Q$6/$X29)-INT(P$6/$X29))-IF(SUM($B29:P29)&gt;0,Q30,0))</f>
        <v>0</v>
      </c>
      <c r="R29" s="511" t="n">
        <f aca="false">IF($Y29=1,0,$X$7*(INT(R$6/$X29)-INT(Q$6/$X29))-IF(SUM($B29:Q29)&gt;0,R30,0))</f>
        <v>0</v>
      </c>
      <c r="S29" s="511" t="n">
        <f aca="false">IF($Y29=1,0,$X$7*(INT(S$6/$X29)-INT(R$6/$X29))-IF(SUM($B29:R29)&gt;0,S30,0))</f>
        <v>0</v>
      </c>
      <c r="T29" s="511" t="n">
        <f aca="false">IF($Y29=1,0,$X$7*(INT(T$6/$X29)-INT(S$6/$X29))-IF(SUM($B29:S29)&gt;0,T30,0))</f>
        <v>0</v>
      </c>
      <c r="U29" s="511" t="n">
        <f aca="false">IF($Y29=1,0,$X$7*(INT(U$6/$X29)-INT(T$6/$X29))-IF(SUM($B29:T29)&gt;0,U30,0))</f>
        <v>0</v>
      </c>
      <c r="V29" s="511" t="n">
        <f aca="false">IF($Y29=1,0,$X$7*(INT(V$6/$X29)-INT(U$6/$X29))-IF(SUM($B29:U29)&gt;0,V30,0))</f>
        <v>0</v>
      </c>
      <c r="W29" s="800" t="str">
        <f aca="false">'GT schd cost(7EA)'!A16</f>
        <v>Fuel Nozzles</v>
      </c>
      <c r="X29" s="800" t="n">
        <f aca="false">IF($AD$6=1,'GTDB(7EA)'!B19,'GTDB(7EA)'!G19)</f>
        <v>8000</v>
      </c>
      <c r="Y29" s="800" t="n">
        <f aca="false">IF($AD$6=1,'GTDB(7EA)'!C19,'GTDB(7EA)'!H19)</f>
        <v>3</v>
      </c>
      <c r="Z29" s="801" t="n">
        <v>1</v>
      </c>
      <c r="AA29" s="805" t="n">
        <f aca="false">'Initial_Spares(7EA) '!$E$13</f>
        <v>0</v>
      </c>
      <c r="AB29" s="764" t="n">
        <f aca="false">'GT schd cost(7EA)'!X16+'GT schd cost(7EA)'!X39</f>
        <v>0</v>
      </c>
    </row>
    <row r="30" customFormat="false" ht="12.75" hidden="false" customHeight="false" outlineLevel="0" collapsed="false">
      <c r="A30" s="153" t="s">
        <v>1397</v>
      </c>
      <c r="B30" s="511" t="s">
        <v>1007</v>
      </c>
      <c r="C30" s="511" t="n">
        <f aca="false">IF(INT(C$6/$X29)*$X$7&gt;C28*($X$7+$Z29)*$Y29,C28*($X$7+$Z29)-SUM($B30:B30),INT(C$6/$X29)*$X$7-C28*($X$7+$Z29)*($Y29-1)-SUM($B30:B30))+IF($Y29&gt;1,IF(INT(C$6/$X29)&gt;0,$Z29-$AA29,0),-$AA29)</f>
        <v>0</v>
      </c>
      <c r="D30" s="511" t="n">
        <f aca="false">IF(INT(D$6/$X29)*$X$7&gt;D28*($X$7+$Z29)*$Y29,D28*($X$7+$Z29)-SUM($B30:C30),INT(D$6/$X29)*$X$7-D28*($X$7+$Z29)*($Y29-1)-SUM($B30:C30))+IF($Y29&gt;1,IF(INT(D$6/$X29)&gt;0,$Z29-$AA29,0),-$AA29)</f>
        <v>0</v>
      </c>
      <c r="E30" s="511" t="n">
        <f aca="false">IF(INT(E$6/$X29)*$X$7&gt;E28*($X$7+$Z29)*$Y29,E28*($X$7+$Z29)-SUM($B30:D30),INT(E$6/$X29)*$X$7-E28*($X$7+$Z29)*($Y29-1)-SUM($B30:D30))+IF($Y29&gt;1,IF(INT(E$6/$X29)&gt;0,$Z29-$AA29,0),-$AA29)</f>
        <v>0</v>
      </c>
      <c r="F30" s="511" t="n">
        <f aca="false">IF(INT(F$6/$X29)*$X$7&gt;F28*($X$7+$Z29)*$Y29,F28*($X$7+$Z29)-SUM($B30:E30),INT(F$6/$X29)*$X$7-F28*($X$7+$Z29)*($Y29-1)-SUM($B30:E30))+IF($Y29&gt;1,IF(INT(F$6/$X29)&gt;0,$Z29-$AA29,0),-$AA29)</f>
        <v>0</v>
      </c>
      <c r="G30" s="511" t="n">
        <f aca="false">IF(INT(G$6/$X29)*$X$7&gt;G28*($X$7+$Z29)*$Y29,G28*($X$7+$Z29)-SUM($B30:F30),INT(G$6/$X29)*$X$7-G28*($X$7+$Z29)*($Y29-1)-SUM($B30:F30))+IF($Y29&gt;1,IF(INT(G$6/$X29)&gt;0,$Z29-$AA29,0),-$AA29)</f>
        <v>0</v>
      </c>
      <c r="H30" s="511" t="n">
        <f aca="false">IF(INT(H$6/$X29)*$X$7&gt;H28*($X$7+$Z29)*$Y29,H28*($X$7+$Z29)-SUM($B30:G30),INT(H$6/$X29)*$X$7-H28*($X$7+$Z29)*($Y29-1)-SUM($B30:G30))+IF($Y29&gt;1,IF(INT(H$6/$X29)&gt;0,$Z29-$AA29,0),-$AA29)</f>
        <v>0</v>
      </c>
      <c r="I30" s="511" t="n">
        <f aca="false">IF(INT(I$6/$X29)*$X$7&gt;I28*($X$7+$Z29)*$Y29,I28*($X$7+$Z29)-SUM($B30:H30),INT(I$6/$X29)*$X$7-I28*($X$7+$Z29)*($Y29-1)-SUM($B30:H30))+IF($Y29&gt;1,IF(INT(I$6/$X29)&gt;0,$Z29-$AA29,0),-$AA29)</f>
        <v>0</v>
      </c>
      <c r="J30" s="511" t="n">
        <f aca="false">IF(INT(J$6/$X29)*$X$7&gt;J28*($X$7+$Z29)*$Y29,J28*($X$7+$Z29)-SUM($B30:I30),INT(J$6/$X29)*$X$7-J28*($X$7+$Z29)*($Y29-1)-SUM($B30:I30))+IF($Y29&gt;1,IF(INT(J$6/$X29)&gt;0,$Z29-$AA29,0),-$AA29)</f>
        <v>0</v>
      </c>
      <c r="K30" s="511" t="n">
        <f aca="false">IF(INT(K$6/$X29)*$X$7&gt;K28*($X$7+$Z29)*$Y29,K28*($X$7+$Z29)-SUM($B30:J30),INT(K$6/$X29)*$X$7-K28*($X$7+$Z29)*($Y29-1)-SUM($B30:J30))+IF($Y29&gt;1,IF(INT(K$6/$X29)&gt;0,$Z29-$AA29,0),-$AA29)</f>
        <v>0</v>
      </c>
      <c r="L30" s="511" t="n">
        <f aca="false">IF(INT(L$6/$X29)*$X$7&gt;L28*($X$7+$Z29)*$Y29,L28*($X$7+$Z29)-SUM($B30:K30),INT(L$6/$X29)*$X$7-L28*($X$7+$Z29)*($Y29-1)-SUM($B30:K30))+IF($Y29&gt;1,IF(INT(L$6/$X29)&gt;0,$Z29-$AA29,0),-$AA29)</f>
        <v>0</v>
      </c>
      <c r="M30" s="511" t="n">
        <f aca="false">IF(INT(M$6/$X29)*$X$7&gt;M28*($X$7+$Z29)*$Y29,M28*($X$7+$Z29)-SUM($B30:L30),INT(M$6/$X29)*$X$7-M28*($X$7+$Z29)*($Y29-1)-SUM($B30:L30))+IF($Y29&gt;1,IF(INT(M$6/$X29)&gt;0,$Z29-$AA29,0),-$AA29)</f>
        <v>0</v>
      </c>
      <c r="N30" s="511" t="n">
        <f aca="false">IF(INT(N$6/$X29)*$X$7&gt;N28*($X$7+$Z29)*$Y29,N28*($X$7+$Z29)-SUM($B30:M30),INT(N$6/$X29)*$X$7-N28*($X$7+$Z29)*($Y29-1)-SUM($B30:M30))+IF($Y29&gt;1,IF(INT(N$6/$X29)&gt;0,$Z29-$AA29,0),-$AA29)</f>
        <v>0</v>
      </c>
      <c r="O30" s="511" t="n">
        <f aca="false">IF(INT(O$6/$X29)*$X$7&gt;O28*($X$7+$Z29)*$Y29,O28*($X$7+$Z29)-SUM($B30:N30),INT(O$6/$X29)*$X$7-O28*($X$7+$Z29)*($Y29-1)-SUM($B30:N30))+IF($Y29&gt;1,IF(INT(O$6/$X29)&gt;0,$Z29-$AA29,0),-$AA29)</f>
        <v>0</v>
      </c>
      <c r="P30" s="511" t="n">
        <f aca="false">IF(INT(P$6/$X29)*$X$7&gt;P28*($X$7+$Z29)*$Y29,P28*($X$7+$Z29)-SUM($B30:O30),INT(P$6/$X29)*$X$7-P28*($X$7+$Z29)*($Y29-1)-SUM($B30:O30))+IF($Y29&gt;1,IF(INT(P$6/$X29)&gt;0,$Z29-$AA29,0),-$AA29)</f>
        <v>0</v>
      </c>
      <c r="Q30" s="511" t="n">
        <f aca="false">IF(INT(Q$6/$X29)*$X$7&gt;Q28*($X$7+$Z29)*$Y29,Q28*($X$7+$Z29)-SUM($B30:P30),INT(Q$6/$X29)*$X$7-Q28*($X$7+$Z29)*($Y29-1)-SUM($B30:P30))+IF($Y29&gt;1,IF(INT(Q$6/$X29)&gt;0,$Z29-$AA29,0),-$AA29)</f>
        <v>0</v>
      </c>
      <c r="R30" s="511" t="n">
        <f aca="false">IF(INT(R$6/$X29)*$X$7&gt;R28*($X$7+$Z29)*$Y29,R28*($X$7+$Z29)-SUM($B30:Q30),INT(R$6/$X29)*$X$7-R28*($X$7+$Z29)*($Y29-1)-SUM($B30:Q30))+IF($Y29&gt;1,IF(INT(R$6/$X29)&gt;0,$Z29-$AA29,0),-$AA29)</f>
        <v>0</v>
      </c>
      <c r="S30" s="511" t="n">
        <f aca="false">IF(INT(S$6/$X29)*$X$7&gt;S28*($X$7+$Z29)*$Y29,S28*($X$7+$Z29)-SUM($B30:R30),INT(S$6/$X29)*$X$7-S28*($X$7+$Z29)*($Y29-1)-SUM($B30:R30))+IF($Y29&gt;1,IF(INT(S$6/$X29)&gt;0,$Z29-$AA29,0),-$AA29)</f>
        <v>0</v>
      </c>
      <c r="T30" s="511" t="n">
        <f aca="false">IF(INT(T$6/$X29)*$X$7&gt;T28*($X$7+$Z29)*$Y29,T28*($X$7+$Z29)-SUM($B30:S30),INT(T$6/$X29)*$X$7-T28*($X$7+$Z29)*($Y29-1)-SUM($B30:S30))+IF($Y29&gt;1,IF(INT(T$6/$X29)&gt;0,$Z29-$AA29,0),-$AA29)</f>
        <v>0</v>
      </c>
      <c r="U30" s="511" t="n">
        <f aca="false">IF(INT(U$6/$X29)*$X$7&gt;U28*($X$7+$Z29)*$Y29,U28*($X$7+$Z29)-SUM($B30:T30),INT(U$6/$X29)*$X$7-U28*($X$7+$Z29)*($Y29-1)-SUM($B30:T30))+IF($Y29&gt;1,IF(INT(U$6/$X29)&gt;0,$Z29-$AA29,0),-$AA29)</f>
        <v>0</v>
      </c>
      <c r="V30" s="511" t="n">
        <f aca="false">IF(INT(V$6/$X29)*$X$7&gt;V28*($X$7+$Z29)*$Y29,V28*($X$7+$Z29)-SUM($B30:U30),INT(V$6/$X29)*$X$7-V28*($X$7+$Z29)*($Y29-1)-SUM($B30:U30))+IF($Y29&gt;1,IF(INT(V$6/$X29)&gt;0,$Z29-$AA29,0),-$AA29)</f>
        <v>0</v>
      </c>
      <c r="W30" s="803"/>
    </row>
    <row r="31" customFormat="false" ht="12.75" hidden="false" customHeight="false" outlineLevel="0" collapsed="false">
      <c r="W31" s="792"/>
    </row>
    <row r="32" customFormat="false" ht="12.75" hidden="true" customHeight="true" outlineLevel="0" collapsed="false">
      <c r="A32" s="153" t="s">
        <v>1395</v>
      </c>
      <c r="B32" s="511"/>
      <c r="C32" s="153" t="n">
        <f aca="false">INT((INT(C$6/$X33)*$X$7+$X$7+$Z33-1)/($X$7+$Z33)/$Y33)</f>
        <v>0</v>
      </c>
      <c r="D32" s="153" t="n">
        <f aca="false">INT((INT(D$6/$X33)*$X$7+$X$7+$Z33-1)/($X$7+$Z33)/$Y33)</f>
        <v>0</v>
      </c>
      <c r="E32" s="153" t="n">
        <f aca="false">INT((INT(E$6/$X33)*$X$7+$X$7+$Z33-1)/($X$7+$Z33)/$Y33)</f>
        <v>0</v>
      </c>
      <c r="F32" s="153" t="n">
        <f aca="false">INT((INT(F$6/$X33)*$X$7+$X$7+$Z33-1)/($X$7+$Z33)/$Y33)</f>
        <v>0</v>
      </c>
      <c r="G32" s="153" t="n">
        <f aca="false">INT((INT(G$6/$X33)*$X$7+$X$7+$Z33-1)/($X$7+$Z33)/$Y33)</f>
        <v>0</v>
      </c>
      <c r="H32" s="153" t="n">
        <f aca="false">INT((INT(H$6/$X33)*$X$7+$X$7+$Z33-1)/($X$7+$Z33)/$Y33)</f>
        <v>0</v>
      </c>
      <c r="I32" s="153" t="n">
        <f aca="false">INT((INT(I$6/$X33)*$X$7+$X$7+$Z33-1)/($X$7+$Z33)/$Y33)</f>
        <v>0</v>
      </c>
      <c r="J32" s="153" t="n">
        <f aca="false">INT((INT(J$6/$X33)*$X$7+$X$7+$Z33-1)/($X$7+$Z33)/$Y33)</f>
        <v>0</v>
      </c>
      <c r="K32" s="153" t="n">
        <f aca="false">INT((INT(K$6/$X33)*$X$7+$X$7+$Z33-1)/($X$7+$Z33)/$Y33)</f>
        <v>0</v>
      </c>
      <c r="L32" s="153" t="n">
        <f aca="false">INT((INT(L$6/$X33)*$X$7+$X$7+$Z33-1)/($X$7+$Z33)/$Y33)</f>
        <v>0</v>
      </c>
      <c r="M32" s="153" t="n">
        <f aca="false">INT((INT(M$6/$X33)*$X$7+$X$7+$Z33-1)/($X$7+$Z33)/$Y33)</f>
        <v>0</v>
      </c>
      <c r="N32" s="153" t="n">
        <f aca="false">INT((INT(N$6/$X33)*$X$7+$X$7+$Z33-1)/($X$7+$Z33)/$Y33)</f>
        <v>0</v>
      </c>
      <c r="O32" s="153" t="n">
        <f aca="false">INT((INT(O$6/$X33)*$X$7+$X$7+$Z33-1)/($X$7+$Z33)/$Y33)</f>
        <v>0</v>
      </c>
      <c r="P32" s="153" t="n">
        <f aca="false">INT((INT(P$6/$X33)*$X$7+$X$7+$Z33-1)/($X$7+$Z33)/$Y33)</f>
        <v>0</v>
      </c>
      <c r="Q32" s="153" t="n">
        <f aca="false">INT((INT(Q$6/$X33)*$X$7+$X$7+$Z33-1)/($X$7+$Z33)/$Y33)</f>
        <v>0</v>
      </c>
      <c r="R32" s="153" t="n">
        <f aca="false">INT((INT(R$6/$X33)*$X$7+$X$7+$Z33-1)/($X$7+$Z33)/$Y33)</f>
        <v>0</v>
      </c>
      <c r="S32" s="153" t="n">
        <f aca="false">INT((INT(S$6/$X33)*$X$7+$X$7+$Z33-1)/($X$7+$Z33)/$Y33)</f>
        <v>0</v>
      </c>
      <c r="T32" s="153" t="n">
        <f aca="false">INT((INT(T$6/$X33)*$X$7+$X$7+$Z33-1)/($X$7+$Z33)/$Y33)</f>
        <v>0</v>
      </c>
      <c r="U32" s="153" t="n">
        <f aca="false">INT((INT(U$6/$X33)*$X$7+$X$7+$Z33-1)/($X$7+$Z33)/$Y33)</f>
        <v>0</v>
      </c>
      <c r="V32" s="153" t="n">
        <f aca="false">INT((INT(V$6/$X33)*$X$7+$X$7+$Z33-1)/($X$7+$Z33)/$Y33)</f>
        <v>0</v>
      </c>
    </row>
    <row r="33" customFormat="false" ht="13.5" hidden="false" customHeight="true" outlineLevel="0" collapsed="false">
      <c r="A33" s="153" t="s">
        <v>1396</v>
      </c>
      <c r="B33" s="511" t="s">
        <v>1007</v>
      </c>
      <c r="C33" s="511" t="n">
        <f aca="false">IF($Y33=1,0,$X$7*(INT(C$6/$X33)-INT(B$6/$X33))-IF(SUM($B33:B33)&gt;0,C34,0))</f>
        <v>0</v>
      </c>
      <c r="D33" s="511" t="n">
        <f aca="false">IF($Y33=1,0,$X$7*(INT(D$6/$X33)-INT(C$6/$X33))-IF(SUM($B33:C33)&gt;0,D34,0))</f>
        <v>0</v>
      </c>
      <c r="E33" s="511" t="n">
        <f aca="false">IF($Y33=1,0,$X$7*(INT(E$6/$X33)-INT(D$6/$X33))-IF(SUM($B33:D33)&gt;0,E34,0))</f>
        <v>0</v>
      </c>
      <c r="F33" s="511" t="n">
        <f aca="false">IF($Y33=1,0,$X$7*(INT(F$6/$X33)-INT(E$6/$X33))-IF(SUM($B33:E33)&gt;0,F34,0))</f>
        <v>0</v>
      </c>
      <c r="G33" s="511" t="n">
        <f aca="false">IF($Y33=1,0,$X$7*(INT(G$6/$X33)-INT(F$6/$X33))-IF(SUM($B33:F33)&gt;0,G34,0))</f>
        <v>0</v>
      </c>
      <c r="H33" s="511" t="n">
        <f aca="false">IF($Y33=1,0,$X$7*(INT(H$6/$X33)-INT(G$6/$X33))-IF(SUM($B33:G33)&gt;0,H34,0))</f>
        <v>0</v>
      </c>
      <c r="I33" s="511" t="n">
        <f aca="false">IF($Y33=1,0,$X$7*(INT(I$6/$X33)-INT(H$6/$X33))-IF(SUM($B33:H33)&gt;0,I34,0))</f>
        <v>0</v>
      </c>
      <c r="J33" s="511" t="n">
        <f aca="false">IF($Y33=1,0,$X$7*(INT(J$6/$X33)-INT(I$6/$X33))-IF(SUM($B33:I33)&gt;0,J34,0))</f>
        <v>0</v>
      </c>
      <c r="K33" s="511" t="n">
        <f aca="false">IF($Y33=1,0,$X$7*(INT(K$6/$X33)-INT(J$6/$X33))-IF(SUM($B33:J33)&gt;0,K34,0))</f>
        <v>0</v>
      </c>
      <c r="L33" s="511" t="n">
        <f aca="false">IF($Y33=1,0,$X$7*(INT(L$6/$X33)-INT(K$6/$X33))-IF(SUM($B33:K33)&gt;0,L34,0))</f>
        <v>0</v>
      </c>
      <c r="M33" s="511" t="n">
        <f aca="false">IF($Y33=1,0,$X$7*(INT(M$6/$X33)-INT(L$6/$X33))-IF(SUM($B33:L33)&gt;0,M34,0))</f>
        <v>0</v>
      </c>
      <c r="N33" s="511" t="n">
        <f aca="false">IF($Y33=1,0,$X$7*(INT(N$6/$X33)-INT(M$6/$X33))-IF(SUM($B33:M33)&gt;0,N34,0))</f>
        <v>0</v>
      </c>
      <c r="O33" s="511" t="n">
        <f aca="false">IF($Y33=1,0,$X$7*(INT(O$6/$X33)-INT(N$6/$X33))-IF(SUM($B33:N33)&gt;0,O34,0))</f>
        <v>0</v>
      </c>
      <c r="P33" s="511" t="n">
        <f aca="false">IF($Y33=1,0,$X$7*(INT(P$6/$X33)-INT(O$6/$X33))-IF(SUM($B33:O33)&gt;0,P34,0))</f>
        <v>0</v>
      </c>
      <c r="Q33" s="511" t="n">
        <f aca="false">IF($Y33=1,0,$X$7*(INT(Q$6/$X33)-INT(P$6/$X33))-IF(SUM($B33:P33)&gt;0,Q34,0))</f>
        <v>0</v>
      </c>
      <c r="R33" s="511" t="n">
        <f aca="false">IF($Y33=1,0,$X$7*(INT(R$6/$X33)-INT(Q$6/$X33))-IF(SUM($B33:Q33)&gt;0,R34,0))</f>
        <v>0</v>
      </c>
      <c r="S33" s="511" t="n">
        <f aca="false">IF($Y33=1,0,$X$7*(INT(S$6/$X33)-INT(R$6/$X33))-IF(SUM($B33:R33)&gt;0,S34,0))</f>
        <v>0</v>
      </c>
      <c r="T33" s="511" t="n">
        <f aca="false">IF($Y33=1,0,$X$7*(INT(T$6/$X33)-INT(S$6/$X33))-IF(SUM($B33:S33)&gt;0,T34,0))</f>
        <v>0</v>
      </c>
      <c r="U33" s="511" t="n">
        <f aca="false">IF($Y33=1,0,$X$7*(INT(U$6/$X33)-INT(T$6/$X33))-IF(SUM($B33:T33)&gt;0,U34,0))</f>
        <v>0</v>
      </c>
      <c r="V33" s="511" t="n">
        <f aca="false">IF($Y33=1,0,$X$7*(INT(V$6/$X33)-INT(U$6/$X33))-IF(SUM($B33:U33)&gt;0,V34,0))</f>
        <v>0</v>
      </c>
      <c r="W33" s="800" t="str">
        <f aca="false">'GT schd cost(7EA)'!A17</f>
        <v>Stage 1 Nozzles</v>
      </c>
      <c r="X33" s="800" t="n">
        <f aca="false">IF($AD$6=1,'GTDB(7EA)'!B20,'GTDB(7EA)'!G20)</f>
        <v>24000</v>
      </c>
      <c r="Y33" s="800" t="n">
        <f aca="false">IF($AD$6=1,'GTDB(7EA)'!C20,'GTDB(7EA)'!H20)</f>
        <v>3</v>
      </c>
      <c r="Z33" s="801" t="n">
        <v>1</v>
      </c>
      <c r="AA33" s="805" t="n">
        <f aca="false">'Initial_Spares(7EA) '!$E$14</f>
        <v>0</v>
      </c>
      <c r="AB33" s="764" t="n">
        <f aca="false">'GT schd cost(7EA)'!X17+'GT schd cost(7EA)'!X40</f>
        <v>0</v>
      </c>
    </row>
    <row r="34" customFormat="false" ht="12.75" hidden="false" customHeight="false" outlineLevel="0" collapsed="false">
      <c r="A34" s="153" t="s">
        <v>1397</v>
      </c>
      <c r="B34" s="511" t="s">
        <v>1007</v>
      </c>
      <c r="C34" s="511" t="n">
        <f aca="false">IF(INT(C$6/$X33)*$X$7&gt;C32*($X$7+$Z33)*$Y33,C32*($X$7+$Z33)-SUM($B34:B34),INT(C$6/$X33)*$X$7-C32*($X$7+$Z33)*($Y33-1)-SUM($B34:B34))+IF($Y33&gt;1,IF(INT(C$6/$X33)&gt;0,$Z33-$AA33,0),-$AA33)</f>
        <v>0</v>
      </c>
      <c r="D34" s="511" t="n">
        <f aca="false">IF(INT(D$6/$X33)*$X$7&gt;D32*($X$7+$Z33)*$Y33,D32*($X$7+$Z33)-SUM($B34:C34),INT(D$6/$X33)*$X$7-D32*($X$7+$Z33)*($Y33-1)-SUM($B34:C34))+IF($Y33&gt;1,IF(INT(D$6/$X33)&gt;0,$Z33-$AA33,0),-$AA33)</f>
        <v>0</v>
      </c>
      <c r="E34" s="511" t="n">
        <f aca="false">IF(INT(E$6/$X33)*$X$7&gt;E32*($X$7+$Z33)*$Y33,E32*($X$7+$Z33)-SUM($B34:D34),INT(E$6/$X33)*$X$7-E32*($X$7+$Z33)*($Y33-1)-SUM($B34:D34))+IF($Y33&gt;1,IF(INT(E$6/$X33)&gt;0,$Z33-$AA33,0),-$AA33)</f>
        <v>0</v>
      </c>
      <c r="F34" s="511" t="n">
        <f aca="false">IF(INT(F$6/$X33)*$X$7&gt;F32*($X$7+$Z33)*$Y33,F32*($X$7+$Z33)-SUM($B34:E34),INT(F$6/$X33)*$X$7-F32*($X$7+$Z33)*($Y33-1)-SUM($B34:E34))+IF($Y33&gt;1,IF(INT(F$6/$X33)&gt;0,$Z33-$AA33,0),-$AA33)</f>
        <v>0</v>
      </c>
      <c r="G34" s="511" t="n">
        <f aca="false">IF(INT(G$6/$X33)*$X$7&gt;G32*($X$7+$Z33)*$Y33,G32*($X$7+$Z33)-SUM($B34:F34),INT(G$6/$X33)*$X$7-G32*($X$7+$Z33)*($Y33-1)-SUM($B34:F34))+IF($Y33&gt;1,IF(INT(G$6/$X33)&gt;0,$Z33-$AA33,0),-$AA33)</f>
        <v>0</v>
      </c>
      <c r="H34" s="511" t="n">
        <f aca="false">IF(INT(H$6/$X33)*$X$7&gt;H32*($X$7+$Z33)*$Y33,H32*($X$7+$Z33)-SUM($B34:G34),INT(H$6/$X33)*$X$7-H32*($X$7+$Z33)*($Y33-1)-SUM($B34:G34))+IF($Y33&gt;1,IF(INT(H$6/$X33)&gt;0,$Z33-$AA33,0),-$AA33)</f>
        <v>0</v>
      </c>
      <c r="I34" s="511" t="n">
        <f aca="false">IF(INT(I$6/$X33)*$X$7&gt;I32*($X$7+$Z33)*$Y33,I32*($X$7+$Z33)-SUM($B34:H34),INT(I$6/$X33)*$X$7-I32*($X$7+$Z33)*($Y33-1)-SUM($B34:H34))+IF($Y33&gt;1,IF(INT(I$6/$X33)&gt;0,$Z33-$AA33,0),-$AA33)</f>
        <v>0</v>
      </c>
      <c r="J34" s="511" t="n">
        <f aca="false">IF(INT(J$6/$X33)*$X$7&gt;J32*($X$7+$Z33)*$Y33,J32*($X$7+$Z33)-SUM($B34:I34),INT(J$6/$X33)*$X$7-J32*($X$7+$Z33)*($Y33-1)-SUM($B34:I34))+IF($Y33&gt;1,IF(INT(J$6/$X33)&gt;0,$Z33-$AA33,0),-$AA33)</f>
        <v>0</v>
      </c>
      <c r="K34" s="511" t="n">
        <f aca="false">IF(INT(K$6/$X33)*$X$7&gt;K32*($X$7+$Z33)*$Y33,K32*($X$7+$Z33)-SUM($B34:J34),INT(K$6/$X33)*$X$7-K32*($X$7+$Z33)*($Y33-1)-SUM($B34:J34))+IF($Y33&gt;1,IF(INT(K$6/$X33)&gt;0,$Z33-$AA33,0),-$AA33)</f>
        <v>0</v>
      </c>
      <c r="L34" s="511" t="n">
        <f aca="false">IF(INT(L$6/$X33)*$X$7&gt;L32*($X$7+$Z33)*$Y33,L32*($X$7+$Z33)-SUM($B34:K34),INT(L$6/$X33)*$X$7-L32*($X$7+$Z33)*($Y33-1)-SUM($B34:K34))+IF($Y33&gt;1,IF(INT(L$6/$X33)&gt;0,$Z33-$AA33,0),-$AA33)</f>
        <v>0</v>
      </c>
      <c r="M34" s="511" t="n">
        <f aca="false">IF(INT(M$6/$X33)*$X$7&gt;M32*($X$7+$Z33)*$Y33,M32*($X$7+$Z33)-SUM($B34:L34),INT(M$6/$X33)*$X$7-M32*($X$7+$Z33)*($Y33-1)-SUM($B34:L34))+IF($Y33&gt;1,IF(INT(M$6/$X33)&gt;0,$Z33-$AA33,0),-$AA33)</f>
        <v>0</v>
      </c>
      <c r="N34" s="511" t="n">
        <f aca="false">IF(INT(N$6/$X33)*$X$7&gt;N32*($X$7+$Z33)*$Y33,N32*($X$7+$Z33)-SUM($B34:M34),INT(N$6/$X33)*$X$7-N32*($X$7+$Z33)*($Y33-1)-SUM($B34:M34))+IF($Y33&gt;1,IF(INT(N$6/$X33)&gt;0,$Z33-$AA33,0),-$AA33)</f>
        <v>0</v>
      </c>
      <c r="O34" s="511" t="n">
        <f aca="false">IF(INT(O$6/$X33)*$X$7&gt;O32*($X$7+$Z33)*$Y33,O32*($X$7+$Z33)-SUM($B34:N34),INT(O$6/$X33)*$X$7-O32*($X$7+$Z33)*($Y33-1)-SUM($B34:N34))+IF($Y33&gt;1,IF(INT(O$6/$X33)&gt;0,$Z33-$AA33,0),-$AA33)</f>
        <v>0</v>
      </c>
      <c r="P34" s="511" t="n">
        <f aca="false">IF(INT(P$6/$X33)*$X$7&gt;P32*($X$7+$Z33)*$Y33,P32*($X$7+$Z33)-SUM($B34:O34),INT(P$6/$X33)*$X$7-P32*($X$7+$Z33)*($Y33-1)-SUM($B34:O34))+IF($Y33&gt;1,IF(INT(P$6/$X33)&gt;0,$Z33-$AA33,0),-$AA33)</f>
        <v>0</v>
      </c>
      <c r="Q34" s="511" t="n">
        <f aca="false">IF(INT(Q$6/$X33)*$X$7&gt;Q32*($X$7+$Z33)*$Y33,Q32*($X$7+$Z33)-SUM($B34:P34),INT(Q$6/$X33)*$X$7-Q32*($X$7+$Z33)*($Y33-1)-SUM($B34:P34))+IF($Y33&gt;1,IF(INT(Q$6/$X33)&gt;0,$Z33-$AA33,0),-$AA33)</f>
        <v>0</v>
      </c>
      <c r="R34" s="511" t="n">
        <f aca="false">IF(INT(R$6/$X33)*$X$7&gt;R32*($X$7+$Z33)*$Y33,R32*($X$7+$Z33)-SUM($B34:Q34),INT(R$6/$X33)*$X$7-R32*($X$7+$Z33)*($Y33-1)-SUM($B34:Q34))+IF($Y33&gt;1,IF(INT(R$6/$X33)&gt;0,$Z33-$AA33,0),-$AA33)</f>
        <v>0</v>
      </c>
      <c r="S34" s="511" t="n">
        <f aca="false">IF(INT(S$6/$X33)*$X$7&gt;S32*($X$7+$Z33)*$Y33,S32*($X$7+$Z33)-SUM($B34:R34),INT(S$6/$X33)*$X$7-S32*($X$7+$Z33)*($Y33-1)-SUM($B34:R34))+IF($Y33&gt;1,IF(INT(S$6/$X33)&gt;0,$Z33-$AA33,0),-$AA33)</f>
        <v>0</v>
      </c>
      <c r="T34" s="511" t="n">
        <f aca="false">IF(INT(T$6/$X33)*$X$7&gt;T32*($X$7+$Z33)*$Y33,T32*($X$7+$Z33)-SUM($B34:S34),INT(T$6/$X33)*$X$7-T32*($X$7+$Z33)*($Y33-1)-SUM($B34:S34))+IF($Y33&gt;1,IF(INT(T$6/$X33)&gt;0,$Z33-$AA33,0),-$AA33)</f>
        <v>0</v>
      </c>
      <c r="U34" s="511" t="n">
        <f aca="false">IF(INT(U$6/$X33)*$X$7&gt;U32*($X$7+$Z33)*$Y33,U32*($X$7+$Z33)-SUM($B34:T34),INT(U$6/$X33)*$X$7-U32*($X$7+$Z33)*($Y33-1)-SUM($B34:T34))+IF($Y33&gt;1,IF(INT(U$6/$X33)&gt;0,$Z33-$AA33,0),-$AA33)</f>
        <v>0</v>
      </c>
      <c r="V34" s="511" t="n">
        <f aca="false">IF(INT(V$6/$X33)*$X$7&gt;V32*($X$7+$Z33)*$Y33,V32*($X$7+$Z33)-SUM($B34:U34),INT(V$6/$X33)*$X$7-V32*($X$7+$Z33)*($Y33-1)-SUM($B34:U34))+IF($Y33&gt;1,IF(INT(V$6/$X33)&gt;0,$Z33-$AA33,0),-$AA33)</f>
        <v>0</v>
      </c>
      <c r="W34" s="803"/>
      <c r="AA34" s="157"/>
      <c r="AB34" s="157"/>
    </row>
    <row r="35" customFormat="false" ht="12.75" hidden="false" customHeight="false" outlineLevel="0" collapsed="false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785"/>
      <c r="X35" s="157"/>
      <c r="Y35" s="157"/>
      <c r="Z35" s="157"/>
      <c r="AA35" s="157"/>
      <c r="AB35" s="157"/>
    </row>
    <row r="36" customFormat="false" ht="12.75" hidden="true" customHeight="false" outlineLevel="0" collapsed="false">
      <c r="A36" s="153" t="s">
        <v>1395</v>
      </c>
      <c r="B36" s="511"/>
      <c r="C36" s="153" t="n">
        <f aca="false">INT((INT(C$6/$X37)*$X$7+$X$7+$Z37-1)/($X$7+$Z37)/$Y37)</f>
        <v>0</v>
      </c>
      <c r="D36" s="153" t="n">
        <f aca="false">INT((INT(D$6/$X37)*$X$7+$X$7+$Z37-1)/($X$7+$Z37)/$Y37)</f>
        <v>0</v>
      </c>
      <c r="E36" s="153" t="n">
        <f aca="false">INT((INT(E$6/$X37)*$X$7+$X$7+$Z37-1)/($X$7+$Z37)/$Y37)</f>
        <v>0</v>
      </c>
      <c r="F36" s="153" t="n">
        <f aca="false">INT((INT(F$6/$X37)*$X$7+$X$7+$Z37-1)/($X$7+$Z37)/$Y37)</f>
        <v>0</v>
      </c>
      <c r="G36" s="153" t="n">
        <f aca="false">INT((INT(G$6/$X37)*$X$7+$X$7+$Z37-1)/($X$7+$Z37)/$Y37)</f>
        <v>0</v>
      </c>
      <c r="H36" s="153" t="n">
        <f aca="false">INT((INT(H$6/$X37)*$X$7+$X$7+$Z37-1)/($X$7+$Z37)/$Y37)</f>
        <v>0</v>
      </c>
      <c r="I36" s="153" t="n">
        <f aca="false">INT((INT(I$6/$X37)*$X$7+$X$7+$Z37-1)/($X$7+$Z37)/$Y37)</f>
        <v>0</v>
      </c>
      <c r="J36" s="153" t="n">
        <f aca="false">INT((INT(J$6/$X37)*$X$7+$X$7+$Z37-1)/($X$7+$Z37)/$Y37)</f>
        <v>0</v>
      </c>
      <c r="K36" s="153" t="n">
        <f aca="false">INT((INT(K$6/$X37)*$X$7+$X$7+$Z37-1)/($X$7+$Z37)/$Y37)</f>
        <v>0</v>
      </c>
      <c r="L36" s="153" t="n">
        <f aca="false">INT((INT(L$6/$X37)*$X$7+$X$7+$Z37-1)/($X$7+$Z37)/$Y37)</f>
        <v>0</v>
      </c>
      <c r="M36" s="153" t="n">
        <f aca="false">INT((INT(M$6/$X37)*$X$7+$X$7+$Z37-1)/($X$7+$Z37)/$Y37)</f>
        <v>0</v>
      </c>
      <c r="N36" s="153" t="n">
        <f aca="false">INT((INT(N$6/$X37)*$X$7+$X$7+$Z37-1)/($X$7+$Z37)/$Y37)</f>
        <v>0</v>
      </c>
      <c r="O36" s="153" t="n">
        <f aca="false">INT((INT(O$6/$X37)*$X$7+$X$7+$Z37-1)/($X$7+$Z37)/$Y37)</f>
        <v>0</v>
      </c>
      <c r="P36" s="153" t="n">
        <f aca="false">INT((INT(P$6/$X37)*$X$7+$X$7+$Z37-1)/($X$7+$Z37)/$Y37)</f>
        <v>0</v>
      </c>
      <c r="Q36" s="153" t="n">
        <f aca="false">INT((INT(Q$6/$X37)*$X$7+$X$7+$Z37-1)/($X$7+$Z37)/$Y37)</f>
        <v>0</v>
      </c>
      <c r="R36" s="153" t="n">
        <f aca="false">INT((INT(R$6/$X37)*$X$7+$X$7+$Z37-1)/($X$7+$Z37)/$Y37)</f>
        <v>0</v>
      </c>
      <c r="S36" s="153" t="n">
        <f aca="false">INT((INT(S$6/$X37)*$X$7+$X$7+$Z37-1)/($X$7+$Z37)/$Y37)</f>
        <v>0</v>
      </c>
      <c r="T36" s="153" t="n">
        <f aca="false">INT((INT(T$6/$X37)*$X$7+$X$7+$Z37-1)/($X$7+$Z37)/$Y37)</f>
        <v>0</v>
      </c>
      <c r="U36" s="153" t="n">
        <f aca="false">INT((INT(U$6/$X37)*$X$7+$X$7+$Z37-1)/($X$7+$Z37)/$Y37)</f>
        <v>0</v>
      </c>
      <c r="V36" s="153" t="n">
        <f aca="false">INT((INT(V$6/$X37)*$X$7+$X$7+$Z37-1)/($X$7+$Z37)/$Y37)</f>
        <v>0</v>
      </c>
      <c r="W36" s="157"/>
      <c r="X36" s="157"/>
      <c r="Y36" s="157"/>
      <c r="Z36" s="157"/>
      <c r="AA36" s="157"/>
      <c r="AB36" s="157"/>
    </row>
    <row r="37" customFormat="false" ht="12.75" hidden="false" customHeight="false" outlineLevel="0" collapsed="false">
      <c r="A37" s="153" t="s">
        <v>1396</v>
      </c>
      <c r="B37" s="511" t="s">
        <v>1007</v>
      </c>
      <c r="C37" s="511" t="n">
        <f aca="false">IF($Y37=1,0,$X$7*(INT(C$6/$X37)-INT(B$6/$X37))-IF(SUM($B37:B37)&gt;0,C38,0))</f>
        <v>0</v>
      </c>
      <c r="D37" s="511" t="n">
        <f aca="false">IF($Y37=1,0,$X$7*(INT(D$6/$X37)-INT(C$6/$X37))-IF(SUM($B37:C37)&gt;0,D38,0))</f>
        <v>0</v>
      </c>
      <c r="E37" s="511" t="n">
        <f aca="false">IF($Y37=1,0,$X$7*(INT(E$6/$X37)-INT(D$6/$X37))-IF(SUM($B37:D37)&gt;0,E38,0))</f>
        <v>0</v>
      </c>
      <c r="F37" s="511" t="n">
        <f aca="false">IF($Y37=1,0,$X$7*(INT(F$6/$X37)-INT(E$6/$X37))-IF(SUM($B37:E37)&gt;0,F38,0))</f>
        <v>0</v>
      </c>
      <c r="G37" s="511" t="n">
        <f aca="false">IF($Y37=1,0,$X$7*(INT(G$6/$X37)-INT(F$6/$X37))-IF(SUM($B37:F37)&gt;0,G38,0))</f>
        <v>0</v>
      </c>
      <c r="H37" s="511" t="n">
        <f aca="false">IF($Y37=1,0,$X$7*(INT(H$6/$X37)-INT(G$6/$X37))-IF(SUM($B37:G37)&gt;0,H38,0))</f>
        <v>0</v>
      </c>
      <c r="I37" s="511" t="n">
        <f aca="false">IF($Y37=1,0,$X$7*(INT(I$6/$X37)-INT(H$6/$X37))-IF(SUM($B37:H37)&gt;0,I38,0))</f>
        <v>0</v>
      </c>
      <c r="J37" s="511" t="n">
        <f aca="false">IF($Y37=1,0,$X$7*(INT(J$6/$X37)-INT(I$6/$X37))-IF(SUM($B37:I37)&gt;0,J38,0))</f>
        <v>0</v>
      </c>
      <c r="K37" s="511" t="n">
        <f aca="false">IF($Y37=1,0,$X$7*(INT(K$6/$X37)-INT(J$6/$X37))-IF(SUM($B37:J37)&gt;0,K38,0))</f>
        <v>0</v>
      </c>
      <c r="L37" s="511" t="n">
        <f aca="false">IF($Y37=1,0,$X$7*(INT(L$6/$X37)-INT(K$6/$X37))-IF(SUM($B37:K37)&gt;0,L38,0))</f>
        <v>0</v>
      </c>
      <c r="M37" s="511" t="n">
        <f aca="false">IF($Y37=1,0,$X$7*(INT(M$6/$X37)-INT(L$6/$X37))-IF(SUM($B37:L37)&gt;0,M38,0))</f>
        <v>0</v>
      </c>
      <c r="N37" s="511" t="n">
        <f aca="false">IF($Y37=1,0,$X$7*(INT(N$6/$X37)-INT(M$6/$X37))-IF(SUM($B37:M37)&gt;0,N38,0))</f>
        <v>0</v>
      </c>
      <c r="O37" s="511" t="n">
        <f aca="false">IF($Y37=1,0,$X$7*(INT(O$6/$X37)-INT(N$6/$X37))-IF(SUM($B37:N37)&gt;0,O38,0))</f>
        <v>0</v>
      </c>
      <c r="P37" s="511" t="n">
        <f aca="false">IF($Y37=1,0,$X$7*(INT(P$6/$X37)-INT(O$6/$X37))-IF(SUM($B37:O37)&gt;0,P38,0))</f>
        <v>0</v>
      </c>
      <c r="Q37" s="511" t="n">
        <f aca="false">IF($Y37=1,0,$X$7*(INT(Q$6/$X37)-INT(P$6/$X37))-IF(SUM($B37:P37)&gt;0,Q38,0))</f>
        <v>0</v>
      </c>
      <c r="R37" s="511" t="n">
        <f aca="false">IF($Y37=1,0,$X$7*(INT(R$6/$X37)-INT(Q$6/$X37))-IF(SUM($B37:Q37)&gt;0,R38,0))</f>
        <v>0</v>
      </c>
      <c r="S37" s="511" t="n">
        <f aca="false">IF($Y37=1,0,$X$7*(INT(S$6/$X37)-INT(R$6/$X37))-IF(SUM($B37:R37)&gt;0,S38,0))</f>
        <v>0</v>
      </c>
      <c r="T37" s="511" t="n">
        <f aca="false">IF($Y37=1,0,$X$7*(INT(T$6/$X37)-INT(S$6/$X37))-IF(SUM($B37:S37)&gt;0,T38,0))</f>
        <v>0</v>
      </c>
      <c r="U37" s="511" t="n">
        <f aca="false">IF($Y37=1,0,$X$7*(INT(U$6/$X37)-INT(T$6/$X37))-IF(SUM($B37:T37)&gt;0,U38,0))</f>
        <v>0</v>
      </c>
      <c r="V37" s="511" t="n">
        <f aca="false">IF($Y37=1,0,$X$7*(INT(V$6/$X37)-INT(U$6/$X37))-IF(SUM($B37:U37)&gt;0,V38,0))</f>
        <v>0</v>
      </c>
      <c r="W37" s="800" t="str">
        <f aca="false">'GT schd cost(7EA)'!A18</f>
        <v>Stage 2 Nozzles</v>
      </c>
      <c r="X37" s="800" t="n">
        <f aca="false">IF($AD$6=1,'GTDB(7EA)'!B21,'GTDB(7EA)'!G21)</f>
        <v>24000</v>
      </c>
      <c r="Y37" s="800" t="n">
        <f aca="false">IF($AD$6=1,'GTDB(7EA)'!C21,'GTDB(7EA)'!H21)</f>
        <v>3</v>
      </c>
      <c r="Z37" s="801" t="n">
        <v>1</v>
      </c>
      <c r="AA37" s="805" t="n">
        <f aca="false">'Initial_Spares(7EA) '!$E$15</f>
        <v>0</v>
      </c>
      <c r="AB37" s="764" t="n">
        <f aca="false">'GT schd cost(7EA)'!X18+'GT schd cost(7EA)'!X41</f>
        <v>0</v>
      </c>
    </row>
    <row r="38" customFormat="false" ht="12.75" hidden="false" customHeight="false" outlineLevel="0" collapsed="false">
      <c r="A38" s="153" t="s">
        <v>1397</v>
      </c>
      <c r="B38" s="511" t="s">
        <v>1007</v>
      </c>
      <c r="C38" s="511" t="n">
        <f aca="false">IF(INT(C$6/$X37)*$X$7&gt;C36*($X$7+$Z37)*$Y37,C36*($X$7+$Z37)-SUM($B38:B38),INT(C$6/$X37)*$X$7-C36*($X$7+$Z37)*($Y37-1)-SUM($B38:B38))+IF($Y37&gt;1,IF(INT(C$6/$X37)&gt;0,$Z37-$AA37,0),-$AA37)</f>
        <v>0</v>
      </c>
      <c r="D38" s="511" t="n">
        <f aca="false">IF(INT(D$6/$X37)*$X$7&gt;D36*($X$7+$Z37)*$Y37,D36*($X$7+$Z37)-SUM($B38:C38),INT(D$6/$X37)*$X$7-D36*($X$7+$Z37)*($Y37-1)-SUM($B38:C38))+IF($Y37&gt;1,IF(INT(D$6/$X37)&gt;0,$Z37-$AA37,0),-$AA37)</f>
        <v>0</v>
      </c>
      <c r="E38" s="511" t="n">
        <f aca="false">IF(INT(E$6/$X37)*$X$7&gt;E36*($X$7+$Z37)*$Y37,E36*($X$7+$Z37)-SUM($B38:D38),INT(E$6/$X37)*$X$7-E36*($X$7+$Z37)*($Y37-1)-SUM($B38:D38))+IF($Y37&gt;1,IF(INT(E$6/$X37)&gt;0,$Z37-$AA37,0),-$AA37)</f>
        <v>0</v>
      </c>
      <c r="F38" s="511" t="n">
        <f aca="false">IF(INT(F$6/$X37)*$X$7&gt;F36*($X$7+$Z37)*$Y37,F36*($X$7+$Z37)-SUM($B38:E38),INT(F$6/$X37)*$X$7-F36*($X$7+$Z37)*($Y37-1)-SUM($B38:E38))+IF($Y37&gt;1,IF(INT(F$6/$X37)&gt;0,$Z37-$AA37,0),-$AA37)</f>
        <v>0</v>
      </c>
      <c r="G38" s="511" t="n">
        <f aca="false">IF(INT(G$6/$X37)*$X$7&gt;G36*($X$7+$Z37)*$Y37,G36*($X$7+$Z37)-SUM($B38:F38),INT(G$6/$X37)*$X$7-G36*($X$7+$Z37)*($Y37-1)-SUM($B38:F38))+IF($Y37&gt;1,IF(INT(G$6/$X37)&gt;0,$Z37-$AA37,0),-$AA37)</f>
        <v>0</v>
      </c>
      <c r="H38" s="511" t="n">
        <f aca="false">IF(INT(H$6/$X37)*$X$7&gt;H36*($X$7+$Z37)*$Y37,H36*($X$7+$Z37)-SUM($B38:G38),INT(H$6/$X37)*$X$7-H36*($X$7+$Z37)*($Y37-1)-SUM($B38:G38))+IF($Y37&gt;1,IF(INT(H$6/$X37)&gt;0,$Z37-$AA37,0),-$AA37)</f>
        <v>0</v>
      </c>
      <c r="I38" s="511" t="n">
        <f aca="false">IF(INT(I$6/$X37)*$X$7&gt;I36*($X$7+$Z37)*$Y37,I36*($X$7+$Z37)-SUM($B38:H38),INT(I$6/$X37)*$X$7-I36*($X$7+$Z37)*($Y37-1)-SUM($B38:H38))+IF($Y37&gt;1,IF(INT(I$6/$X37)&gt;0,$Z37-$AA37,0),-$AA37)</f>
        <v>0</v>
      </c>
      <c r="J38" s="511" t="n">
        <f aca="false">IF(INT(J$6/$X37)*$X$7&gt;J36*($X$7+$Z37)*$Y37,J36*($X$7+$Z37)-SUM($B38:I38),INT(J$6/$X37)*$X$7-J36*($X$7+$Z37)*($Y37-1)-SUM($B38:I38))+IF($Y37&gt;1,IF(INT(J$6/$X37)&gt;0,$Z37-$AA37,0),-$AA37)</f>
        <v>0</v>
      </c>
      <c r="K38" s="511" t="n">
        <f aca="false">IF(INT(K$6/$X37)*$X$7&gt;K36*($X$7+$Z37)*$Y37,K36*($X$7+$Z37)-SUM($B38:J38),INT(K$6/$X37)*$X$7-K36*($X$7+$Z37)*($Y37-1)-SUM($B38:J38))+IF($Y37&gt;1,IF(INT(K$6/$X37)&gt;0,$Z37-$AA37,0),-$AA37)</f>
        <v>0</v>
      </c>
      <c r="L38" s="511" t="n">
        <f aca="false">IF(INT(L$6/$X37)*$X$7&gt;L36*($X$7+$Z37)*$Y37,L36*($X$7+$Z37)-SUM($B38:K38),INT(L$6/$X37)*$X$7-L36*($X$7+$Z37)*($Y37-1)-SUM($B38:K38))+IF($Y37&gt;1,IF(INT(L$6/$X37)&gt;0,$Z37-$AA37,0),-$AA37)</f>
        <v>0</v>
      </c>
      <c r="M38" s="511" t="n">
        <f aca="false">IF(INT(M$6/$X37)*$X$7&gt;M36*($X$7+$Z37)*$Y37,M36*($X$7+$Z37)-SUM($B38:L38),INT(M$6/$X37)*$X$7-M36*($X$7+$Z37)*($Y37-1)-SUM($B38:L38))+IF($Y37&gt;1,IF(INT(M$6/$X37)&gt;0,$Z37-$AA37,0),-$AA37)</f>
        <v>0</v>
      </c>
      <c r="N38" s="511" t="n">
        <f aca="false">IF(INT(N$6/$X37)*$X$7&gt;N36*($X$7+$Z37)*$Y37,N36*($X$7+$Z37)-SUM($B38:M38),INT(N$6/$X37)*$X$7-N36*($X$7+$Z37)*($Y37-1)-SUM($B38:M38))+IF($Y37&gt;1,IF(INT(N$6/$X37)&gt;0,$Z37-$AA37,0),-$AA37)</f>
        <v>0</v>
      </c>
      <c r="O38" s="511" t="n">
        <f aca="false">IF(INT(O$6/$X37)*$X$7&gt;O36*($X$7+$Z37)*$Y37,O36*($X$7+$Z37)-SUM($B38:N38),INT(O$6/$X37)*$X$7-O36*($X$7+$Z37)*($Y37-1)-SUM($B38:N38))+IF($Y37&gt;1,IF(INT(O$6/$X37)&gt;0,$Z37-$AA37,0),-$AA37)</f>
        <v>0</v>
      </c>
      <c r="P38" s="511" t="n">
        <f aca="false">IF(INT(P$6/$X37)*$X$7&gt;P36*($X$7+$Z37)*$Y37,P36*($X$7+$Z37)-SUM($B38:O38),INT(P$6/$X37)*$X$7-P36*($X$7+$Z37)*($Y37-1)-SUM($B38:O38))+IF($Y37&gt;1,IF(INT(P$6/$X37)&gt;0,$Z37-$AA37,0),-$AA37)</f>
        <v>0</v>
      </c>
      <c r="Q38" s="511" t="n">
        <f aca="false">IF(INT(Q$6/$X37)*$X$7&gt;Q36*($X$7+$Z37)*$Y37,Q36*($X$7+$Z37)-SUM($B38:P38),INT(Q$6/$X37)*$X$7-Q36*($X$7+$Z37)*($Y37-1)-SUM($B38:P38))+IF($Y37&gt;1,IF(INT(Q$6/$X37)&gt;0,$Z37-$AA37,0),-$AA37)</f>
        <v>0</v>
      </c>
      <c r="R38" s="511" t="n">
        <f aca="false">IF(INT(R$6/$X37)*$X$7&gt;R36*($X$7+$Z37)*$Y37,R36*($X$7+$Z37)-SUM($B38:Q38),INT(R$6/$X37)*$X$7-R36*($X$7+$Z37)*($Y37-1)-SUM($B38:Q38))+IF($Y37&gt;1,IF(INT(R$6/$X37)&gt;0,$Z37-$AA37,0),-$AA37)</f>
        <v>0</v>
      </c>
      <c r="S38" s="511" t="n">
        <f aca="false">IF(INT(S$6/$X37)*$X$7&gt;S36*($X$7+$Z37)*$Y37,S36*($X$7+$Z37)-SUM($B38:R38),INT(S$6/$X37)*$X$7-S36*($X$7+$Z37)*($Y37-1)-SUM($B38:R38))+IF($Y37&gt;1,IF(INT(S$6/$X37)&gt;0,$Z37-$AA37,0),-$AA37)</f>
        <v>0</v>
      </c>
      <c r="T38" s="511" t="n">
        <f aca="false">IF(INT(T$6/$X37)*$X$7&gt;T36*($X$7+$Z37)*$Y37,T36*($X$7+$Z37)-SUM($B38:S38),INT(T$6/$X37)*$X$7-T36*($X$7+$Z37)*($Y37-1)-SUM($B38:S38))+IF($Y37&gt;1,IF(INT(T$6/$X37)&gt;0,$Z37-$AA37,0),-$AA37)</f>
        <v>0</v>
      </c>
      <c r="U38" s="511" t="n">
        <f aca="false">IF(INT(U$6/$X37)*$X$7&gt;U36*($X$7+$Z37)*$Y37,U36*($X$7+$Z37)-SUM($B38:T38),INT(U$6/$X37)*$X$7-U36*($X$7+$Z37)*($Y37-1)-SUM($B38:T38))+IF($Y37&gt;1,IF(INT(U$6/$X37)&gt;0,$Z37-$AA37,0),-$AA37)</f>
        <v>0</v>
      </c>
      <c r="V38" s="511" t="n">
        <f aca="false">IF(INT(V$6/$X37)*$X$7&gt;V36*($X$7+$Z37)*$Y37,V36*($X$7+$Z37)-SUM($B38:U38),INT(V$6/$X37)*$X$7-V36*($X$7+$Z37)*($Y37-1)-SUM($B38:U38))+IF($Y37&gt;1,IF(INT(V$6/$X37)&gt;0,$Z37-$AA37,0),-$AA37)</f>
        <v>0</v>
      </c>
      <c r="W38" s="803"/>
      <c r="AA38" s="157"/>
      <c r="AB38" s="157"/>
    </row>
    <row r="39" customFormat="false" ht="12.75" hidden="false" customHeight="false" outlineLevel="0" collapsed="false">
      <c r="A39" s="157"/>
      <c r="B39" s="518"/>
      <c r="C39" s="518"/>
      <c r="D39" s="518"/>
      <c r="E39" s="518"/>
      <c r="F39" s="518"/>
      <c r="G39" s="518"/>
      <c r="H39" s="518"/>
      <c r="I39" s="806"/>
      <c r="J39" s="518"/>
      <c r="K39" s="518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785"/>
      <c r="X39" s="157"/>
      <c r="Y39" s="157"/>
      <c r="Z39" s="157"/>
      <c r="AA39" s="157"/>
      <c r="AB39" s="157"/>
    </row>
    <row r="40" customFormat="false" ht="12.75" hidden="true" customHeight="false" outlineLevel="0" collapsed="false">
      <c r="A40" s="153" t="s">
        <v>1395</v>
      </c>
      <c r="B40" s="511"/>
      <c r="C40" s="153" t="n">
        <f aca="false">INT((INT(C$6/$X41)*$X$7+$X$7+$Z41-1)/($X$7+$Z41)/$Y41)</f>
        <v>0</v>
      </c>
      <c r="D40" s="153" t="n">
        <f aca="false">INT((INT(D$6/$X41)*$X$7+$X$7+$Z41-1)/($X$7+$Z41)/$Y41)</f>
        <v>0</v>
      </c>
      <c r="E40" s="153" t="n">
        <f aca="false">INT((INT(E$6/$X41)*$X$7+$X$7+$Z41-1)/($X$7+$Z41)/$Y41)</f>
        <v>0</v>
      </c>
      <c r="F40" s="153" t="n">
        <f aca="false">INT((INT(F$6/$X41)*$X$7+$X$7+$Z41-1)/($X$7+$Z41)/$Y41)</f>
        <v>0</v>
      </c>
      <c r="G40" s="153" t="n">
        <f aca="false">INT((INT(G$6/$X41)*$X$7+$X$7+$Z41-1)/($X$7+$Z41)/$Y41)</f>
        <v>0</v>
      </c>
      <c r="H40" s="153" t="n">
        <f aca="false">INT((INT(H$6/$X41)*$X$7+$X$7+$Z41-1)/($X$7+$Z41)/$Y41)</f>
        <v>0</v>
      </c>
      <c r="I40" s="153" t="n">
        <f aca="false">INT((INT(I$6/$X41)*$X$7+$X$7+$Z41-1)/($X$7+$Z41)/$Y41)</f>
        <v>0</v>
      </c>
      <c r="J40" s="153" t="n">
        <f aca="false">INT((INT(J$6/$X41)*$X$7+$X$7+$Z41-1)/($X$7+$Z41)/$Y41)</f>
        <v>0</v>
      </c>
      <c r="K40" s="153" t="n">
        <f aca="false">INT((INT(K$6/$X41)*$X$7+$X$7+$Z41-1)/($X$7+$Z41)/$Y41)</f>
        <v>0</v>
      </c>
      <c r="L40" s="153" t="n">
        <f aca="false">INT((INT(L$6/$X41)*$X$7+$X$7+$Z41-1)/($X$7+$Z41)/$Y41)</f>
        <v>0</v>
      </c>
      <c r="M40" s="153" t="n">
        <f aca="false">INT((INT(M$6/$X41)*$X$7+$X$7+$Z41-1)/($X$7+$Z41)/$Y41)</f>
        <v>0</v>
      </c>
      <c r="N40" s="153" t="n">
        <f aca="false">INT((INT(N$6/$X41)*$X$7+$X$7+$Z41-1)/($X$7+$Z41)/$Y41)</f>
        <v>0</v>
      </c>
      <c r="O40" s="153" t="n">
        <f aca="false">INT((INT(O$6/$X41)*$X$7+$X$7+$Z41-1)/($X$7+$Z41)/$Y41)</f>
        <v>0</v>
      </c>
      <c r="P40" s="153" t="n">
        <f aca="false">INT((INT(P$6/$X41)*$X$7+$X$7+$Z41-1)/($X$7+$Z41)/$Y41)</f>
        <v>0</v>
      </c>
      <c r="Q40" s="153" t="n">
        <f aca="false">INT((INT(Q$6/$X41)*$X$7+$X$7+$Z41-1)/($X$7+$Z41)/$Y41)</f>
        <v>0</v>
      </c>
      <c r="R40" s="153" t="n">
        <f aca="false">INT((INT(R$6/$X41)*$X$7+$X$7+$Z41-1)/($X$7+$Z41)/$Y41)</f>
        <v>0</v>
      </c>
      <c r="S40" s="153" t="n">
        <f aca="false">INT((INT(S$6/$X41)*$X$7+$X$7+$Z41-1)/($X$7+$Z41)/$Y41)</f>
        <v>0</v>
      </c>
      <c r="T40" s="153" t="n">
        <f aca="false">INT((INT(T$6/$X41)*$X$7+$X$7+$Z41-1)/($X$7+$Z41)/$Y41)</f>
        <v>0</v>
      </c>
      <c r="U40" s="153" t="n">
        <f aca="false">INT((INT(U$6/$X41)*$X$7+$X$7+$Z41-1)/($X$7+$Z41)/$Y41)</f>
        <v>0</v>
      </c>
      <c r="V40" s="153" t="n">
        <f aca="false">INT((INT(V$6/$X41)*$X$7+$X$7+$Z41-1)/($X$7+$Z41)/$Y41)</f>
        <v>0</v>
      </c>
      <c r="W40" s="157"/>
      <c r="X40" s="157"/>
      <c r="Y40" s="157"/>
      <c r="Z40" s="157"/>
      <c r="AA40" s="157"/>
      <c r="AB40" s="157"/>
    </row>
    <row r="41" customFormat="false" ht="12.75" hidden="false" customHeight="false" outlineLevel="0" collapsed="false">
      <c r="A41" s="153" t="s">
        <v>1396</v>
      </c>
      <c r="B41" s="511" t="s">
        <v>1007</v>
      </c>
      <c r="C41" s="511" t="n">
        <f aca="false">IF($Y41=1,0,$X$7*(INT(C$6/$X41)-INT(B$6/$X41))-IF(SUM($B41:B41)&gt;0,C42,0))</f>
        <v>0</v>
      </c>
      <c r="D41" s="511" t="n">
        <f aca="false">IF($Y41=1,0,$X$7*(INT(D$6/$X41)-INT(C$6/$X41))-IF(SUM($B41:C41)&gt;0,D42,0))</f>
        <v>0</v>
      </c>
      <c r="E41" s="511" t="n">
        <f aca="false">IF($Y41=1,0,$X$7*(INT(E$6/$X41)-INT(D$6/$X41))-IF(SUM($B41:D41)&gt;0,E42,0))</f>
        <v>0</v>
      </c>
      <c r="F41" s="511" t="n">
        <f aca="false">IF($Y41=1,0,$X$7*(INT(F$6/$X41)-INT(E$6/$X41))-IF(SUM($B41:E41)&gt;0,F42,0))</f>
        <v>0</v>
      </c>
      <c r="G41" s="511" t="n">
        <f aca="false">IF($Y41=1,0,$X$7*(INT(G$6/$X41)-INT(F$6/$X41))-IF(SUM($B41:F41)&gt;0,G42,0))</f>
        <v>0</v>
      </c>
      <c r="H41" s="511" t="n">
        <f aca="false">IF($Y41=1,0,$X$7*(INT(H$6/$X41)-INT(G$6/$X41))-IF(SUM($B41:G41)&gt;0,H42,0))</f>
        <v>0</v>
      </c>
      <c r="I41" s="511" t="n">
        <f aca="false">IF($Y41=1,0,$X$7*(INT(I$6/$X41)-INT(H$6/$X41))-IF(SUM($B41:H41)&gt;0,I42,0))</f>
        <v>0</v>
      </c>
      <c r="J41" s="511" t="n">
        <f aca="false">IF($Y41=1,0,$X$7*(INT(J$6/$X41)-INT(I$6/$X41))-IF(SUM($B41:I41)&gt;0,J42,0))</f>
        <v>0</v>
      </c>
      <c r="K41" s="511" t="n">
        <f aca="false">IF($Y41=1,0,$X$7*(INT(K$6/$X41)-INT(J$6/$X41))-IF(SUM($B41:J41)&gt;0,K42,0))</f>
        <v>0</v>
      </c>
      <c r="L41" s="511" t="n">
        <f aca="false">IF($Y41=1,0,$X$7*(INT(L$6/$X41)-INT(K$6/$X41))-IF(SUM($B41:K41)&gt;0,L42,0))</f>
        <v>0</v>
      </c>
      <c r="M41" s="511" t="n">
        <f aca="false">IF($Y41=1,0,$X$7*(INT(M$6/$X41)-INT(L$6/$X41))-IF(SUM($B41:L41)&gt;0,M42,0))</f>
        <v>0</v>
      </c>
      <c r="N41" s="511" t="n">
        <f aca="false">IF($Y41=1,0,$X$7*(INT(N$6/$X41)-INT(M$6/$X41))-IF(SUM($B41:M41)&gt;0,N42,0))</f>
        <v>0</v>
      </c>
      <c r="O41" s="511" t="n">
        <f aca="false">IF($Y41=1,0,$X$7*(INT(O$6/$X41)-INT(N$6/$X41))-IF(SUM($B41:N41)&gt;0,O42,0))</f>
        <v>0</v>
      </c>
      <c r="P41" s="511" t="n">
        <f aca="false">IF($Y41=1,0,$X$7*(INT(P$6/$X41)-INT(O$6/$X41))-IF(SUM($B41:O41)&gt;0,P42,0))</f>
        <v>0</v>
      </c>
      <c r="Q41" s="511" t="n">
        <f aca="false">IF($Y41=1,0,$X$7*(INT(Q$6/$X41)-INT(P$6/$X41))-IF(SUM($B41:P41)&gt;0,Q42,0))</f>
        <v>0</v>
      </c>
      <c r="R41" s="511" t="n">
        <f aca="false">IF($Y41=1,0,$X$7*(INT(R$6/$X41)-INT(Q$6/$X41))-IF(SUM($B41:Q41)&gt;0,R42,0))</f>
        <v>0</v>
      </c>
      <c r="S41" s="511" t="n">
        <f aca="false">IF($Y41=1,0,$X$7*(INT(S$6/$X41)-INT(R$6/$X41))-IF(SUM($B41:R41)&gt;0,S42,0))</f>
        <v>0</v>
      </c>
      <c r="T41" s="511" t="n">
        <f aca="false">IF($Y41=1,0,$X$7*(INT(T$6/$X41)-INT(S$6/$X41))-IF(SUM($B41:S41)&gt;0,T42,0))</f>
        <v>0</v>
      </c>
      <c r="U41" s="511" t="n">
        <f aca="false">IF($Y41=1,0,$X$7*(INT(U$6/$X41)-INT(T$6/$X41))-IF(SUM($B41:T41)&gt;0,U42,0))</f>
        <v>0</v>
      </c>
      <c r="V41" s="511" t="n">
        <f aca="false">IF($Y41=1,0,$X$7*(INT(V$6/$X41)-INT(U$6/$X41))-IF(SUM($B41:U41)&gt;0,V42,0))</f>
        <v>0</v>
      </c>
      <c r="W41" s="800" t="str">
        <f aca="false">'GT schd cost(7EA)'!A19</f>
        <v>Stage 3 Nozzles</v>
      </c>
      <c r="X41" s="800" t="n">
        <f aca="false">IF($AD$6=1,'GTDB(7EA)'!B22,'GTDB(7EA)'!G22)</f>
        <v>24000</v>
      </c>
      <c r="Y41" s="800" t="n">
        <f aca="false">IF($AD$6=1,'GTDB(7EA)'!C22,'GTDB(7EA)'!H22)</f>
        <v>3</v>
      </c>
      <c r="Z41" s="801" t="n">
        <v>1</v>
      </c>
      <c r="AA41" s="805" t="n">
        <f aca="false">'Initial_Spares(7EA) '!$E$16</f>
        <v>0</v>
      </c>
      <c r="AB41" s="764" t="n">
        <f aca="false">'GT schd cost(7EA)'!X19+'GT schd cost(7EA)'!X42</f>
        <v>0</v>
      </c>
    </row>
    <row r="42" customFormat="false" ht="12.75" hidden="false" customHeight="false" outlineLevel="0" collapsed="false">
      <c r="A42" s="153" t="s">
        <v>1397</v>
      </c>
      <c r="B42" s="511" t="s">
        <v>1007</v>
      </c>
      <c r="C42" s="511" t="n">
        <f aca="false">IF(INT(C$6/$X41)*$X$7&gt;C40*($X$7+$Z41)*$Y41,C40*($X$7+$Z41)-SUM($B42:B42),INT(C$6/$X41)*$X$7-C40*($X$7+$Z41)*($Y41-1)-SUM($B42:B42))+IF($Y41&gt;1,IF(INT(C$6/$X41)&gt;0,$Z41-$AA41,0),-$AA41)</f>
        <v>0</v>
      </c>
      <c r="D42" s="511" t="n">
        <f aca="false">IF(INT(D$6/$X41)*$X$7&gt;D40*($X$7+$Z41)*$Y41,D40*($X$7+$Z41)-SUM($B42:C42),INT(D$6/$X41)*$X$7-D40*($X$7+$Z41)*($Y41-1)-SUM($B42:C42))+IF($Y41&gt;1,IF(INT(D$6/$X41)&gt;0,$Z41-$AA41,0),-$AA41)</f>
        <v>0</v>
      </c>
      <c r="E42" s="511" t="n">
        <f aca="false">IF(INT(E$6/$X41)*$X$7&gt;E40*($X$7+$Z41)*$Y41,E40*($X$7+$Z41)-SUM($B42:D42),INT(E$6/$X41)*$X$7-E40*($X$7+$Z41)*($Y41-1)-SUM($B42:D42))+IF($Y41&gt;1,IF(INT(E$6/$X41)&gt;0,$Z41-$AA41,0),-$AA41)</f>
        <v>0</v>
      </c>
      <c r="F42" s="511" t="n">
        <f aca="false">IF(INT(F$6/$X41)*$X$7&gt;F40*($X$7+$Z41)*$Y41,F40*($X$7+$Z41)-SUM($B42:E42),INT(F$6/$X41)*$X$7-F40*($X$7+$Z41)*($Y41-1)-SUM($B42:E42))+IF($Y41&gt;1,IF(INT(F$6/$X41)&gt;0,$Z41-$AA41,0),-$AA41)</f>
        <v>0</v>
      </c>
      <c r="G42" s="511" t="n">
        <f aca="false">IF(INT(G$6/$X41)*$X$7&gt;G40*($X$7+$Z41)*$Y41,G40*($X$7+$Z41)-SUM($B42:F42),INT(G$6/$X41)*$X$7-G40*($X$7+$Z41)*($Y41-1)-SUM($B42:F42))+IF($Y41&gt;1,IF(INT(G$6/$X41)&gt;0,$Z41-$AA41,0),-$AA41)</f>
        <v>0</v>
      </c>
      <c r="H42" s="511" t="n">
        <f aca="false">IF(INT(H$6/$X41)*$X$7&gt;H40*($X$7+$Z41)*$Y41,H40*($X$7+$Z41)-SUM($B42:G42),INT(H$6/$X41)*$X$7-H40*($X$7+$Z41)*($Y41-1)-SUM($B42:G42))+IF($Y41&gt;1,IF(INT(H$6/$X41)&gt;0,$Z41-$AA41,0),-$AA41)</f>
        <v>0</v>
      </c>
      <c r="I42" s="511" t="n">
        <f aca="false">IF(INT(I$6/$X41)*$X$7&gt;I40*($X$7+$Z41)*$Y41,I40*($X$7+$Z41)-SUM($B42:H42),INT(I$6/$X41)*$X$7-I40*($X$7+$Z41)*($Y41-1)-SUM($B42:H42))+IF($Y41&gt;1,IF(INT(I$6/$X41)&gt;0,$Z41-$AA41,0),-$AA41)</f>
        <v>0</v>
      </c>
      <c r="J42" s="511" t="n">
        <f aca="false">IF(INT(J$6/$X41)*$X$7&gt;J40*($X$7+$Z41)*$Y41,J40*($X$7+$Z41)-SUM($B42:I42),INT(J$6/$X41)*$X$7-J40*($X$7+$Z41)*($Y41-1)-SUM($B42:I42))+IF($Y41&gt;1,IF(INT(J$6/$X41)&gt;0,$Z41-$AA41,0),-$AA41)</f>
        <v>0</v>
      </c>
      <c r="K42" s="511" t="n">
        <f aca="false">IF(INT(K$6/$X41)*$X$7&gt;K40*($X$7+$Z41)*$Y41,K40*($X$7+$Z41)-SUM($B42:J42),INT(K$6/$X41)*$X$7-K40*($X$7+$Z41)*($Y41-1)-SUM($B42:J42))+IF($Y41&gt;1,IF(INT(K$6/$X41)&gt;0,$Z41-$AA41,0),-$AA41)</f>
        <v>0</v>
      </c>
      <c r="L42" s="511" t="n">
        <f aca="false">IF(INT(L$6/$X41)*$X$7&gt;L40*($X$7+$Z41)*$Y41,L40*($X$7+$Z41)-SUM($B42:K42),INT(L$6/$X41)*$X$7-L40*($X$7+$Z41)*($Y41-1)-SUM($B42:K42))+IF($Y41&gt;1,IF(INT(L$6/$X41)&gt;0,$Z41-$AA41,0),-$AA41)</f>
        <v>0</v>
      </c>
      <c r="M42" s="511" t="n">
        <f aca="false">IF(INT(M$6/$X41)*$X$7&gt;M40*($X$7+$Z41)*$Y41,M40*($X$7+$Z41)-SUM($B42:L42),INT(M$6/$X41)*$X$7-M40*($X$7+$Z41)*($Y41-1)-SUM($B42:L42))+IF($Y41&gt;1,IF(INT(M$6/$X41)&gt;0,$Z41-$AA41,0),-$AA41)</f>
        <v>0</v>
      </c>
      <c r="N42" s="511" t="n">
        <f aca="false">IF(INT(N$6/$X41)*$X$7&gt;N40*($X$7+$Z41)*$Y41,N40*($X$7+$Z41)-SUM($B42:M42),INT(N$6/$X41)*$X$7-N40*($X$7+$Z41)*($Y41-1)-SUM($B42:M42))+IF($Y41&gt;1,IF(INT(N$6/$X41)&gt;0,$Z41-$AA41,0),-$AA41)</f>
        <v>0</v>
      </c>
      <c r="O42" s="511" t="n">
        <f aca="false">IF(INT(O$6/$X41)*$X$7&gt;O40*($X$7+$Z41)*$Y41,O40*($X$7+$Z41)-SUM($B42:N42),INT(O$6/$X41)*$X$7-O40*($X$7+$Z41)*($Y41-1)-SUM($B42:N42))+IF($Y41&gt;1,IF(INT(O$6/$X41)&gt;0,$Z41-$AA41,0),-$AA41)</f>
        <v>0</v>
      </c>
      <c r="P42" s="511" t="n">
        <f aca="false">IF(INT(P$6/$X41)*$X$7&gt;P40*($X$7+$Z41)*$Y41,P40*($X$7+$Z41)-SUM($B42:O42),INT(P$6/$X41)*$X$7-P40*($X$7+$Z41)*($Y41-1)-SUM($B42:O42))+IF($Y41&gt;1,IF(INT(P$6/$X41)&gt;0,$Z41-$AA41,0),-$AA41)</f>
        <v>0</v>
      </c>
      <c r="Q42" s="511" t="n">
        <f aca="false">IF(INT(Q$6/$X41)*$X$7&gt;Q40*($X$7+$Z41)*$Y41,Q40*($X$7+$Z41)-SUM($B42:P42),INT(Q$6/$X41)*$X$7-Q40*($X$7+$Z41)*($Y41-1)-SUM($B42:P42))+IF($Y41&gt;1,IF(INT(Q$6/$X41)&gt;0,$Z41-$AA41,0),-$AA41)</f>
        <v>0</v>
      </c>
      <c r="R42" s="511" t="n">
        <f aca="false">IF(INT(R$6/$X41)*$X$7&gt;R40*($X$7+$Z41)*$Y41,R40*($X$7+$Z41)-SUM($B42:Q42),INT(R$6/$X41)*$X$7-R40*($X$7+$Z41)*($Y41-1)-SUM($B42:Q42))+IF($Y41&gt;1,IF(INT(R$6/$X41)&gt;0,$Z41-$AA41,0),-$AA41)</f>
        <v>0</v>
      </c>
      <c r="S42" s="511" t="n">
        <f aca="false">IF(INT(S$6/$X41)*$X$7&gt;S40*($X$7+$Z41)*$Y41,S40*($X$7+$Z41)-SUM($B42:R42),INT(S$6/$X41)*$X$7-S40*($X$7+$Z41)*($Y41-1)-SUM($B42:R42))+IF($Y41&gt;1,IF(INT(S$6/$X41)&gt;0,$Z41-$AA41,0),-$AA41)</f>
        <v>0</v>
      </c>
      <c r="T42" s="511" t="n">
        <f aca="false">IF(INT(T$6/$X41)*$X$7&gt;T40*($X$7+$Z41)*$Y41,T40*($X$7+$Z41)-SUM($B42:S42),INT(T$6/$X41)*$X$7-T40*($X$7+$Z41)*($Y41-1)-SUM($B42:S42))+IF($Y41&gt;1,IF(INT(T$6/$X41)&gt;0,$Z41-$AA41,0),-$AA41)</f>
        <v>0</v>
      </c>
      <c r="U42" s="511" t="n">
        <f aca="false">IF(INT(U$6/$X41)*$X$7&gt;U40*($X$7+$Z41)*$Y41,U40*($X$7+$Z41)-SUM($B42:T42),INT(U$6/$X41)*$X$7-U40*($X$7+$Z41)*($Y41-1)-SUM($B42:T42))+IF($Y41&gt;1,IF(INT(U$6/$X41)&gt;0,$Z41-$AA41,0),-$AA41)</f>
        <v>0</v>
      </c>
      <c r="V42" s="511" t="n">
        <f aca="false">IF(INT(V$6/$X41)*$X$7&gt;V40*($X$7+$Z41)*$Y41,V40*($X$7+$Z41)-SUM($B42:U42),INT(V$6/$X41)*$X$7-V40*($X$7+$Z41)*($Y41-1)-SUM($B42:U42))+IF($Y41&gt;1,IF(INT(V$6/$X41)&gt;0,$Z41-$AA41,0),-$AA41)</f>
        <v>0</v>
      </c>
      <c r="W42" s="803"/>
      <c r="AA42" s="157"/>
      <c r="AB42" s="157"/>
    </row>
    <row r="43" customFormat="false" ht="12.75" hidden="false" customHeight="false" outlineLevel="0" collapsed="false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785"/>
      <c r="X43" s="157"/>
      <c r="Y43" s="157"/>
      <c r="Z43" s="157"/>
      <c r="AA43" s="157"/>
      <c r="AB43" s="157"/>
    </row>
    <row r="44" customFormat="false" ht="12.75" hidden="true" customHeight="false" outlineLevel="0" collapsed="false">
      <c r="A44" s="153" t="s">
        <v>1395</v>
      </c>
      <c r="B44" s="511"/>
      <c r="C44" s="153" t="n">
        <f aca="false">INT((INT(C$6/$X45)*$X$7+$X$7+$Z45-1)/($X$7+$Z45)/$Y45)</f>
        <v>0</v>
      </c>
      <c r="D44" s="153" t="n">
        <f aca="false">INT((INT(D$6/$X45)*$X$7+$X$7+$Z45-1)/($X$7+$Z45)/$Y45)</f>
        <v>0</v>
      </c>
      <c r="E44" s="153" t="n">
        <f aca="false">INT((INT(E$6/$X45)*$X$7+$X$7+$Z45-1)/($X$7+$Z45)/$Y45)</f>
        <v>0</v>
      </c>
      <c r="F44" s="153" t="n">
        <f aca="false">INT((INT(F$6/$X45)*$X$7+$X$7+$Z45-1)/($X$7+$Z45)/$Y45)</f>
        <v>0</v>
      </c>
      <c r="G44" s="153" t="n">
        <f aca="false">INT((INT(G$6/$X45)*$X$7+$X$7+$Z45-1)/($X$7+$Z45)/$Y45)</f>
        <v>0</v>
      </c>
      <c r="H44" s="153" t="n">
        <f aca="false">INT((INT(H$6/$X45)*$X$7+$X$7+$Z45-1)/($X$7+$Z45)/$Y45)</f>
        <v>0</v>
      </c>
      <c r="I44" s="153" t="n">
        <f aca="false">INT((INT(I$6/$X45)*$X$7+$X$7+$Z45-1)/($X$7+$Z45)/$Y45)</f>
        <v>0</v>
      </c>
      <c r="J44" s="153" t="n">
        <f aca="false">INT((INT(J$6/$X45)*$X$7+$X$7+$Z45-1)/($X$7+$Z45)/$Y45)</f>
        <v>0</v>
      </c>
      <c r="K44" s="153" t="n">
        <f aca="false">INT((INT(K$6/$X45)*$X$7+$X$7+$Z45-1)/($X$7+$Z45)/$Y45)</f>
        <v>0</v>
      </c>
      <c r="L44" s="153" t="n">
        <f aca="false">INT((INT(L$6/$X45)*$X$7+$X$7+$Z45-1)/($X$7+$Z45)/$Y45)</f>
        <v>0</v>
      </c>
      <c r="M44" s="153" t="n">
        <f aca="false">INT((INT(M$6/$X45)*$X$7+$X$7+$Z45-1)/($X$7+$Z45)/$Y45)</f>
        <v>0</v>
      </c>
      <c r="N44" s="153" t="n">
        <f aca="false">INT((INT(N$6/$X45)*$X$7+$X$7+$Z45-1)/($X$7+$Z45)/$Y45)</f>
        <v>0</v>
      </c>
      <c r="O44" s="153" t="n">
        <f aca="false">INT((INT(O$6/$X45)*$X$7+$X$7+$Z45-1)/($X$7+$Z45)/$Y45)</f>
        <v>0</v>
      </c>
      <c r="P44" s="153" t="n">
        <f aca="false">INT((INT(P$6/$X45)*$X$7+$X$7+$Z45-1)/($X$7+$Z45)/$Y45)</f>
        <v>0</v>
      </c>
      <c r="Q44" s="153" t="n">
        <f aca="false">INT((INT(Q$6/$X45)*$X$7+$X$7+$Z45-1)/($X$7+$Z45)/$Y45)</f>
        <v>0</v>
      </c>
      <c r="R44" s="153" t="n">
        <f aca="false">INT((INT(R$6/$X45)*$X$7+$X$7+$Z45-1)/($X$7+$Z45)/$Y45)</f>
        <v>0</v>
      </c>
      <c r="S44" s="153" t="n">
        <f aca="false">INT((INT(S$6/$X45)*$X$7+$X$7+$Z45-1)/($X$7+$Z45)/$Y45)</f>
        <v>0</v>
      </c>
      <c r="T44" s="153" t="n">
        <f aca="false">INT((INT(T$6/$X45)*$X$7+$X$7+$Z45-1)/($X$7+$Z45)/$Y45)</f>
        <v>0</v>
      </c>
      <c r="U44" s="153" t="n">
        <f aca="false">INT((INT(U$6/$X45)*$X$7+$X$7+$Z45-1)/($X$7+$Z45)/$Y45)</f>
        <v>0</v>
      </c>
      <c r="V44" s="153" t="n">
        <f aca="false">INT((INT(V$6/$X45)*$X$7+$X$7+$Z45-1)/($X$7+$Z45)/$Y45)</f>
        <v>0</v>
      </c>
      <c r="W44" s="157"/>
      <c r="X44" s="157"/>
      <c r="Y44" s="157"/>
      <c r="Z44" s="157"/>
      <c r="AA44" s="157"/>
      <c r="AB44" s="157"/>
    </row>
    <row r="45" customFormat="false" ht="12.75" hidden="false" customHeight="false" outlineLevel="0" collapsed="false">
      <c r="A45" s="153" t="s">
        <v>1396</v>
      </c>
      <c r="B45" s="511" t="s">
        <v>1007</v>
      </c>
      <c r="C45" s="511" t="n">
        <f aca="false">IF($Y45=1,0,$X$7*(INT(C$6/$X45)-INT(B$6/$X45))-IF(SUM($B45:B45)&gt;0,C46,0))</f>
        <v>0</v>
      </c>
      <c r="D45" s="511" t="n">
        <f aca="false">IF($Y45=1,0,$X$7*(INT(D$6/$X45)-INT(C$6/$X45))-IF(SUM($B45:C45)&gt;0,D46,0))</f>
        <v>0</v>
      </c>
      <c r="E45" s="511" t="n">
        <f aca="false">IF($Y45=1,0,$X$7*(INT(E$6/$X45)-INT(D$6/$X45))-IF(SUM($B45:D45)&gt;0,E46,0))</f>
        <v>0</v>
      </c>
      <c r="F45" s="511" t="n">
        <f aca="false">IF($Y45=1,0,$X$7*(INT(F$6/$X45)-INT(E$6/$X45))-IF(SUM($B45:E45)&gt;0,F46,0))</f>
        <v>0</v>
      </c>
      <c r="G45" s="511" t="n">
        <f aca="false">IF($Y45=1,0,$X$7*(INT(G$6/$X45)-INT(F$6/$X45))-IF(SUM($B45:F45)&gt;0,G46,0))</f>
        <v>0</v>
      </c>
      <c r="H45" s="511" t="n">
        <f aca="false">IF($Y45=1,0,$X$7*(INT(H$6/$X45)-INT(G$6/$X45))-IF(SUM($B45:G45)&gt;0,H46,0))</f>
        <v>0</v>
      </c>
      <c r="I45" s="511" t="n">
        <f aca="false">IF($Y45=1,0,$X$7*(INT(I$6/$X45)-INT(H$6/$X45))-IF(SUM($B45:H45)&gt;0,I46,0))</f>
        <v>0</v>
      </c>
      <c r="J45" s="511" t="n">
        <f aca="false">IF($Y45=1,0,$X$7*(INT(J$6/$X45)-INT(I$6/$X45))-IF(SUM($B45:I45)&gt;0,J46,0))</f>
        <v>0</v>
      </c>
      <c r="K45" s="511" t="n">
        <f aca="false">IF($Y45=1,0,$X$7*(INT(K$6/$X45)-INT(J$6/$X45))-IF(SUM($B45:J45)&gt;0,K46,0))</f>
        <v>0</v>
      </c>
      <c r="L45" s="511" t="n">
        <f aca="false">IF($Y45=1,0,$X$7*(INT(L$6/$X45)-INT(K$6/$X45))-IF(SUM($B45:K45)&gt;0,L46,0))</f>
        <v>0</v>
      </c>
      <c r="M45" s="511" t="n">
        <f aca="false">IF($Y45=1,0,$X$7*(INT(M$6/$X45)-INT(L$6/$X45))-IF(SUM($B45:L45)&gt;0,M46,0))</f>
        <v>0</v>
      </c>
      <c r="N45" s="511" t="n">
        <f aca="false">IF($Y45=1,0,$X$7*(INT(N$6/$X45)-INT(M$6/$X45))-IF(SUM($B45:M45)&gt;0,N46,0))</f>
        <v>0</v>
      </c>
      <c r="O45" s="511" t="n">
        <f aca="false">IF($Y45=1,0,$X$7*(INT(O$6/$X45)-INT(N$6/$X45))-IF(SUM($B45:N45)&gt;0,O46,0))</f>
        <v>0</v>
      </c>
      <c r="P45" s="511" t="n">
        <f aca="false">IF($Y45=1,0,$X$7*(INT(P$6/$X45)-INT(O$6/$X45))-IF(SUM($B45:O45)&gt;0,P46,0))</f>
        <v>0</v>
      </c>
      <c r="Q45" s="511" t="n">
        <f aca="false">IF($Y45=1,0,$X$7*(INT(Q$6/$X45)-INT(P$6/$X45))-IF(SUM($B45:P45)&gt;0,Q46,0))</f>
        <v>0</v>
      </c>
      <c r="R45" s="511" t="n">
        <f aca="false">IF($Y45=1,0,$X$7*(INT(R$6/$X45)-INT(Q$6/$X45))-IF(SUM($B45:Q45)&gt;0,R46,0))</f>
        <v>0</v>
      </c>
      <c r="S45" s="511" t="n">
        <f aca="false">IF($Y45=1,0,$X$7*(INT(S$6/$X45)-INT(R$6/$X45))-IF(SUM($B45:R45)&gt;0,S46,0))</f>
        <v>0</v>
      </c>
      <c r="T45" s="511" t="n">
        <f aca="false">IF($Y45=1,0,$X$7*(INT(T$6/$X45)-INT(S$6/$X45))-IF(SUM($B45:S45)&gt;0,T46,0))</f>
        <v>0</v>
      </c>
      <c r="U45" s="511" t="n">
        <f aca="false">IF($Y45=1,0,$X$7*(INT(U$6/$X45)-INT(T$6/$X45))-IF(SUM($B45:T45)&gt;0,U46,0))</f>
        <v>0</v>
      </c>
      <c r="V45" s="511" t="n">
        <f aca="false">IF($Y45=1,0,$X$7*(INT(V$6/$X45)-INT(U$6/$X45))-IF(SUM($B45:U45)&gt;0,V46,0))</f>
        <v>0</v>
      </c>
      <c r="W45" s="800" t="str">
        <f aca="false">'GT schd cost(7EA)'!A20</f>
        <v>Stage 1 Buckets</v>
      </c>
      <c r="X45" s="800" t="n">
        <f aca="false">IF($AD$6=1,'GTDB(7EA)'!B23,'GTDB(7EA)'!G23)</f>
        <v>24000</v>
      </c>
      <c r="Y45" s="800" t="n">
        <f aca="false">IF($AD$6=1,'GTDB(7EA)'!C23,'GTDB(7EA)'!H23)</f>
        <v>3</v>
      </c>
      <c r="Z45" s="801" t="n">
        <v>1</v>
      </c>
      <c r="AA45" s="805" t="n">
        <f aca="false">'Initial_Spares(7EA) '!$E$17</f>
        <v>0</v>
      </c>
      <c r="AB45" s="764" t="n">
        <f aca="false">'GT schd cost(7EA)'!X20+'GT schd cost(7EA)'!X43</f>
        <v>0</v>
      </c>
    </row>
    <row r="46" customFormat="false" ht="12.75" hidden="false" customHeight="false" outlineLevel="0" collapsed="false">
      <c r="A46" s="153" t="s">
        <v>1397</v>
      </c>
      <c r="B46" s="511" t="s">
        <v>1007</v>
      </c>
      <c r="C46" s="511" t="n">
        <f aca="false">IF(INT(C$6/$X45)*$X$7&gt;C44*($X$7+$Z45)*$Y45,C44*($X$7+$Z45)-SUM($B46:B46),INT(C$6/$X45)*$X$7-C44*($X$7+$Z45)*($Y45-1)-SUM($B46:B46))+IF($Y45&gt;1,IF(INT(C$6/$X45)&gt;0,$Z45-$AA45,0),-$AA45)</f>
        <v>0</v>
      </c>
      <c r="D46" s="511" t="n">
        <f aca="false">IF(INT(D$6/$X45)*$X$7&gt;D44*($X$7+$Z45)*$Y45,D44*($X$7+$Z45)-SUM($B46:C46),INT(D$6/$X45)*$X$7-D44*($X$7+$Z45)*($Y45-1)-SUM($B46:C46))+IF($Y45&gt;1,IF(INT(D$6/$X45)&gt;0,$Z45-$AA45,0),-$AA45)</f>
        <v>0</v>
      </c>
      <c r="E46" s="511" t="n">
        <f aca="false">IF(INT(E$6/$X45)*$X$7&gt;E44*($X$7+$Z45)*$Y45,E44*($X$7+$Z45)-SUM($B46:D46),INT(E$6/$X45)*$X$7-E44*($X$7+$Z45)*($Y45-1)-SUM($B46:D46))+IF($Y45&gt;1,IF(INT(E$6/$X45)&gt;0,$Z45-$AA45,0),-$AA45)</f>
        <v>0</v>
      </c>
      <c r="F46" s="511" t="n">
        <f aca="false">IF(INT(F$6/$X45)*$X$7&gt;F44*($X$7+$Z45)*$Y45,F44*($X$7+$Z45)-SUM($B46:E46),INT(F$6/$X45)*$X$7-F44*($X$7+$Z45)*($Y45-1)-SUM($B46:E46))+IF($Y45&gt;1,IF(INT(F$6/$X45)&gt;0,$Z45-$AA45,0),-$AA45)</f>
        <v>0</v>
      </c>
      <c r="G46" s="511" t="n">
        <f aca="false">IF(INT(G$6/$X45)*$X$7&gt;G44*($X$7+$Z45)*$Y45,G44*($X$7+$Z45)-SUM($B46:F46),INT(G$6/$X45)*$X$7-G44*($X$7+$Z45)*($Y45-1)-SUM($B46:F46))+IF($Y45&gt;1,IF(INT(G$6/$X45)&gt;0,$Z45-$AA45,0),-$AA45)</f>
        <v>0</v>
      </c>
      <c r="H46" s="511" t="n">
        <f aca="false">IF(INT(H$6/$X45)*$X$7&gt;H44*($X$7+$Z45)*$Y45,H44*($X$7+$Z45)-SUM($B46:G46),INT(H$6/$X45)*$X$7-H44*($X$7+$Z45)*($Y45-1)-SUM($B46:G46))+IF($Y45&gt;1,IF(INT(H$6/$X45)&gt;0,$Z45-$AA45,0),-$AA45)</f>
        <v>0</v>
      </c>
      <c r="I46" s="511" t="n">
        <f aca="false">IF(INT(I$6/$X45)*$X$7&gt;I44*($X$7+$Z45)*$Y45,I44*($X$7+$Z45)-SUM($B46:H46),INT(I$6/$X45)*$X$7-I44*($X$7+$Z45)*($Y45-1)-SUM($B46:H46))+IF($Y45&gt;1,IF(INT(I$6/$X45)&gt;0,$Z45-$AA45,0),-$AA45)</f>
        <v>0</v>
      </c>
      <c r="J46" s="511" t="n">
        <f aca="false">IF(INT(J$6/$X45)*$X$7&gt;J44*($X$7+$Z45)*$Y45,J44*($X$7+$Z45)-SUM($B46:I46),INT(J$6/$X45)*$X$7-J44*($X$7+$Z45)*($Y45-1)-SUM($B46:I46))+IF($Y45&gt;1,IF(INT(J$6/$X45)&gt;0,$Z45-$AA45,0),-$AA45)</f>
        <v>0</v>
      </c>
      <c r="K46" s="511" t="n">
        <f aca="false">IF(INT(K$6/$X45)*$X$7&gt;K44*($X$7+$Z45)*$Y45,K44*($X$7+$Z45)-SUM($B46:J46),INT(K$6/$X45)*$X$7-K44*($X$7+$Z45)*($Y45-1)-SUM($B46:J46))+IF($Y45&gt;1,IF(INT(K$6/$X45)&gt;0,$Z45-$AA45,0),-$AA45)</f>
        <v>0</v>
      </c>
      <c r="L46" s="511" t="n">
        <f aca="false">IF(INT(L$6/$X45)*$X$7&gt;L44*($X$7+$Z45)*$Y45,L44*($X$7+$Z45)-SUM($B46:K46),INT(L$6/$X45)*$X$7-L44*($X$7+$Z45)*($Y45-1)-SUM($B46:K46))+IF($Y45&gt;1,IF(INT(L$6/$X45)&gt;0,$Z45-$AA45,0),-$AA45)</f>
        <v>0</v>
      </c>
      <c r="M46" s="511" t="n">
        <f aca="false">IF(INT(M$6/$X45)*$X$7&gt;M44*($X$7+$Z45)*$Y45,M44*($X$7+$Z45)-SUM($B46:L46),INT(M$6/$X45)*$X$7-M44*($X$7+$Z45)*($Y45-1)-SUM($B46:L46))+IF($Y45&gt;1,IF(INT(M$6/$X45)&gt;0,$Z45-$AA45,0),-$AA45)</f>
        <v>0</v>
      </c>
      <c r="N46" s="511" t="n">
        <f aca="false">IF(INT(N$6/$X45)*$X$7&gt;N44*($X$7+$Z45)*$Y45,N44*($X$7+$Z45)-SUM($B46:M46),INT(N$6/$X45)*$X$7-N44*($X$7+$Z45)*($Y45-1)-SUM($B46:M46))+IF($Y45&gt;1,IF(INT(N$6/$X45)&gt;0,$Z45-$AA45,0),-$AA45)</f>
        <v>0</v>
      </c>
      <c r="O46" s="511" t="n">
        <f aca="false">IF(INT(O$6/$X45)*$X$7&gt;O44*($X$7+$Z45)*$Y45,O44*($X$7+$Z45)-SUM($B46:N46),INT(O$6/$X45)*$X$7-O44*($X$7+$Z45)*($Y45-1)-SUM($B46:N46))+IF($Y45&gt;1,IF(INT(O$6/$X45)&gt;0,$Z45-$AA45,0),-$AA45)</f>
        <v>0</v>
      </c>
      <c r="P46" s="511" t="n">
        <f aca="false">IF(INT(P$6/$X45)*$X$7&gt;P44*($X$7+$Z45)*$Y45,P44*($X$7+$Z45)-SUM($B46:O46),INT(P$6/$X45)*$X$7-P44*($X$7+$Z45)*($Y45-1)-SUM($B46:O46))+IF($Y45&gt;1,IF(INT(P$6/$X45)&gt;0,$Z45-$AA45,0),-$AA45)</f>
        <v>0</v>
      </c>
      <c r="Q46" s="511" t="n">
        <f aca="false">IF(INT(Q$6/$X45)*$X$7&gt;Q44*($X$7+$Z45)*$Y45,Q44*($X$7+$Z45)-SUM($B46:P46),INT(Q$6/$X45)*$X$7-Q44*($X$7+$Z45)*($Y45-1)-SUM($B46:P46))+IF($Y45&gt;1,IF(INT(Q$6/$X45)&gt;0,$Z45-$AA45,0),-$AA45)</f>
        <v>0</v>
      </c>
      <c r="R46" s="511" t="n">
        <f aca="false">IF(INT(R$6/$X45)*$X$7&gt;R44*($X$7+$Z45)*$Y45,R44*($X$7+$Z45)-SUM($B46:Q46),INT(R$6/$X45)*$X$7-R44*($X$7+$Z45)*($Y45-1)-SUM($B46:Q46))+IF($Y45&gt;1,IF(INT(R$6/$X45)&gt;0,$Z45-$AA45,0),-$AA45)</f>
        <v>0</v>
      </c>
      <c r="S46" s="511" t="n">
        <f aca="false">IF(INT(S$6/$X45)*$X$7&gt;S44*($X$7+$Z45)*$Y45,S44*($X$7+$Z45)-SUM($B46:R46),INT(S$6/$X45)*$X$7-S44*($X$7+$Z45)*($Y45-1)-SUM($B46:R46))+IF($Y45&gt;1,IF(INT(S$6/$X45)&gt;0,$Z45-$AA45,0),-$AA45)</f>
        <v>0</v>
      </c>
      <c r="T46" s="511" t="n">
        <f aca="false">IF(INT(T$6/$X45)*$X$7&gt;T44*($X$7+$Z45)*$Y45,T44*($X$7+$Z45)-SUM($B46:S46),INT(T$6/$X45)*$X$7-T44*($X$7+$Z45)*($Y45-1)-SUM($B46:S46))+IF($Y45&gt;1,IF(INT(T$6/$X45)&gt;0,$Z45-$AA45,0),-$AA45)</f>
        <v>0</v>
      </c>
      <c r="U46" s="511" t="n">
        <f aca="false">IF(INT(U$6/$X45)*$X$7&gt;U44*($X$7+$Z45)*$Y45,U44*($X$7+$Z45)-SUM($B46:T46),INT(U$6/$X45)*$X$7-U44*($X$7+$Z45)*($Y45-1)-SUM($B46:T46))+IF($Y45&gt;1,IF(INT(U$6/$X45)&gt;0,$Z45-$AA45,0),-$AA45)</f>
        <v>0</v>
      </c>
      <c r="V46" s="511" t="n">
        <f aca="false">IF(INT(V$6/$X45)*$X$7&gt;V44*($X$7+$Z45)*$Y45,V44*($X$7+$Z45)-SUM($B46:U46),INT(V$6/$X45)*$X$7-V44*($X$7+$Z45)*($Y45-1)-SUM($B46:U46))+IF($Y45&gt;1,IF(INT(V$6/$X45)&gt;0,$Z45-$AA45,0),-$AA45)</f>
        <v>0</v>
      </c>
      <c r="W46" s="803"/>
      <c r="AA46" s="157"/>
      <c r="AB46" s="157"/>
    </row>
    <row r="47" customFormat="false" ht="12.75" hidden="false" customHeight="false" outlineLevel="0" collapsed="false">
      <c r="A47" s="157"/>
      <c r="B47" s="518"/>
      <c r="C47" s="518"/>
      <c r="D47" s="518"/>
      <c r="E47" s="518"/>
      <c r="F47" s="518"/>
      <c r="G47" s="518"/>
      <c r="H47" s="518"/>
      <c r="I47" s="518"/>
      <c r="J47" s="518"/>
      <c r="K47" s="518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785"/>
      <c r="X47" s="157"/>
      <c r="Y47" s="157"/>
      <c r="Z47" s="157"/>
      <c r="AA47" s="157"/>
      <c r="AB47" s="157"/>
    </row>
    <row r="48" customFormat="false" ht="12.75" hidden="true" customHeight="false" outlineLevel="0" collapsed="false">
      <c r="A48" s="153" t="s">
        <v>1395</v>
      </c>
      <c r="B48" s="511"/>
      <c r="C48" s="153" t="n">
        <f aca="false">INT((INT(C$6/$X49)*$X$7+$X$7+$Z49-1)/($X$7+$Z49)/$Y49)</f>
        <v>0</v>
      </c>
      <c r="D48" s="153" t="n">
        <f aca="false">INT((INT(D$6/$X49)*$X$7+$X$7+$Z49-1)/($X$7+$Z49)/$Y49)</f>
        <v>0</v>
      </c>
      <c r="E48" s="153" t="n">
        <f aca="false">INT((INT(E$6/$X49)*$X$7+$X$7+$Z49-1)/($X$7+$Z49)/$Y49)</f>
        <v>0</v>
      </c>
      <c r="F48" s="153" t="n">
        <f aca="false">INT((INT(F$6/$X49)*$X$7+$X$7+$Z49-1)/($X$7+$Z49)/$Y49)</f>
        <v>0</v>
      </c>
      <c r="G48" s="153" t="n">
        <f aca="false">INT((INT(G$6/$X49)*$X$7+$X$7+$Z49-1)/($X$7+$Z49)/$Y49)</f>
        <v>0</v>
      </c>
      <c r="H48" s="153" t="n">
        <f aca="false">INT((INT(H$6/$X49)*$X$7+$X$7+$Z49-1)/($X$7+$Z49)/$Y49)</f>
        <v>0</v>
      </c>
      <c r="I48" s="153" t="n">
        <f aca="false">INT((INT(I$6/$X49)*$X$7+$X$7+$Z49-1)/($X$7+$Z49)/$Y49)</f>
        <v>0</v>
      </c>
      <c r="J48" s="153" t="n">
        <f aca="false">INT((INT(J$6/$X49)*$X$7+$X$7+$Z49-1)/($X$7+$Z49)/$Y49)</f>
        <v>0</v>
      </c>
      <c r="K48" s="153" t="n">
        <f aca="false">INT((INT(K$6/$X49)*$X$7+$X$7+$Z49-1)/($X$7+$Z49)/$Y49)</f>
        <v>0</v>
      </c>
      <c r="L48" s="153" t="n">
        <f aca="false">INT((INT(L$6/$X49)*$X$7+$X$7+$Z49-1)/($X$7+$Z49)/$Y49)</f>
        <v>0</v>
      </c>
      <c r="M48" s="153" t="n">
        <f aca="false">INT((INT(M$6/$X49)*$X$7+$X$7+$Z49-1)/($X$7+$Z49)/$Y49)</f>
        <v>0</v>
      </c>
      <c r="N48" s="153" t="n">
        <f aca="false">INT((INT(N$6/$X49)*$X$7+$X$7+$Z49-1)/($X$7+$Z49)/$Y49)</f>
        <v>0</v>
      </c>
      <c r="O48" s="153" t="n">
        <f aca="false">INT((INT(O$6/$X49)*$X$7+$X$7+$Z49-1)/($X$7+$Z49)/$Y49)</f>
        <v>0</v>
      </c>
      <c r="P48" s="153" t="n">
        <f aca="false">INT((INT(P$6/$X49)*$X$7+$X$7+$Z49-1)/($X$7+$Z49)/$Y49)</f>
        <v>0</v>
      </c>
      <c r="Q48" s="153" t="n">
        <f aca="false">INT((INT(Q$6/$X49)*$X$7+$X$7+$Z49-1)/($X$7+$Z49)/$Y49)</f>
        <v>0</v>
      </c>
      <c r="R48" s="153" t="n">
        <f aca="false">INT((INT(R$6/$X49)*$X$7+$X$7+$Z49-1)/($X$7+$Z49)/$Y49)</f>
        <v>0</v>
      </c>
      <c r="S48" s="153" t="n">
        <f aca="false">INT((INT(S$6/$X49)*$X$7+$X$7+$Z49-1)/($X$7+$Z49)/$Y49)</f>
        <v>0</v>
      </c>
      <c r="T48" s="153" t="n">
        <f aca="false">INT((INT(T$6/$X49)*$X$7+$X$7+$Z49-1)/($X$7+$Z49)/$Y49)</f>
        <v>0</v>
      </c>
      <c r="U48" s="153" t="n">
        <f aca="false">INT((INT(U$6/$X49)*$X$7+$X$7+$Z49-1)/($X$7+$Z49)/$Y49)</f>
        <v>0</v>
      </c>
      <c r="V48" s="153" t="n">
        <f aca="false">INT((INT(V$6/$X49)*$X$7+$X$7+$Z49-1)/($X$7+$Z49)/$Y49)</f>
        <v>0</v>
      </c>
      <c r="W48" s="157"/>
      <c r="X48" s="157"/>
      <c r="Y48" s="157"/>
      <c r="Z48" s="157"/>
      <c r="AA48" s="157"/>
      <c r="AB48" s="157"/>
    </row>
    <row r="49" customFormat="false" ht="12.75" hidden="false" customHeight="false" outlineLevel="0" collapsed="false">
      <c r="A49" s="153" t="s">
        <v>1396</v>
      </c>
      <c r="B49" s="511" t="s">
        <v>1007</v>
      </c>
      <c r="C49" s="511" t="n">
        <f aca="false">IF($Y49=1,0,$X$7*(INT(C$6/$X49)-INT(B$6/$X49))-IF(SUM($B49:B49)&gt;0,C50,0))</f>
        <v>0</v>
      </c>
      <c r="D49" s="511" t="n">
        <f aca="false">IF($Y49=1,0,$X$7*(INT(D$6/$X49)-INT(C$6/$X49))-IF(SUM($B49:C49)&gt;0,D50,0))</f>
        <v>0</v>
      </c>
      <c r="E49" s="511" t="n">
        <f aca="false">IF($Y49=1,0,$X$7*(INT(E$6/$X49)-INT(D$6/$X49))-IF(SUM($B49:D49)&gt;0,E50,0))</f>
        <v>0</v>
      </c>
      <c r="F49" s="511" t="n">
        <f aca="false">IF($Y49=1,0,$X$7*(INT(F$6/$X49)-INT(E$6/$X49))-IF(SUM($B49:E49)&gt;0,F50,0))</f>
        <v>0</v>
      </c>
      <c r="G49" s="511" t="n">
        <f aca="false">IF($Y49=1,0,$X$7*(INT(G$6/$X49)-INT(F$6/$X49))-IF(SUM($B49:F49)&gt;0,G50,0))</f>
        <v>0</v>
      </c>
      <c r="H49" s="511" t="n">
        <f aca="false">IF($Y49=1,0,$X$7*(INT(H$6/$X49)-INT(G$6/$X49))-IF(SUM($B49:G49)&gt;0,H50,0))</f>
        <v>0</v>
      </c>
      <c r="I49" s="511" t="n">
        <f aca="false">IF($Y49=1,0,$X$7*(INT(I$6/$X49)-INT(H$6/$X49))-IF(SUM($B49:H49)&gt;0,I50,0))</f>
        <v>0</v>
      </c>
      <c r="J49" s="511" t="n">
        <f aca="false">IF($Y49=1,0,$X$7*(INT(J$6/$X49)-INT(I$6/$X49))-IF(SUM($B49:I49)&gt;0,J50,0))</f>
        <v>0</v>
      </c>
      <c r="K49" s="511" t="n">
        <f aca="false">IF($Y49=1,0,$X$7*(INT(K$6/$X49)-INT(J$6/$X49))-IF(SUM($B49:J49)&gt;0,K50,0))</f>
        <v>0</v>
      </c>
      <c r="L49" s="511" t="n">
        <f aca="false">IF($Y49=1,0,$X$7*(INT(L$6/$X49)-INT(K$6/$X49))-IF(SUM($B49:K49)&gt;0,L50,0))</f>
        <v>0</v>
      </c>
      <c r="M49" s="511" t="n">
        <f aca="false">IF($Y49=1,0,$X$7*(INT(M$6/$X49)-INT(L$6/$X49))-IF(SUM($B49:L49)&gt;0,M50,0))</f>
        <v>0</v>
      </c>
      <c r="N49" s="511" t="n">
        <f aca="false">IF($Y49=1,0,$X$7*(INT(N$6/$X49)-INT(M$6/$X49))-IF(SUM($B49:M49)&gt;0,N50,0))</f>
        <v>0</v>
      </c>
      <c r="O49" s="511" t="n">
        <f aca="false">IF($Y49=1,0,$X$7*(INT(O$6/$X49)-INT(N$6/$X49))-IF(SUM($B49:N49)&gt;0,O50,0))</f>
        <v>0</v>
      </c>
      <c r="P49" s="511" t="n">
        <f aca="false">IF($Y49=1,0,$X$7*(INT(P$6/$X49)-INT(O$6/$X49))-IF(SUM($B49:O49)&gt;0,P50,0))</f>
        <v>0</v>
      </c>
      <c r="Q49" s="511" t="n">
        <f aca="false">IF($Y49=1,0,$X$7*(INT(Q$6/$X49)-INT(P$6/$X49))-IF(SUM($B49:P49)&gt;0,Q50,0))</f>
        <v>0</v>
      </c>
      <c r="R49" s="511" t="n">
        <f aca="false">IF($Y49=1,0,$X$7*(INT(R$6/$X49)-INT(Q$6/$X49))-IF(SUM($B49:Q49)&gt;0,R50,0))</f>
        <v>0</v>
      </c>
      <c r="S49" s="511" t="n">
        <f aca="false">IF($Y49=1,0,$X$7*(INT(S$6/$X49)-INT(R$6/$X49))-IF(SUM($B49:R49)&gt;0,S50,0))</f>
        <v>0</v>
      </c>
      <c r="T49" s="511" t="n">
        <f aca="false">IF($Y49=1,0,$X$7*(INT(T$6/$X49)-INT(S$6/$X49))-IF(SUM($B49:S49)&gt;0,T50,0))</f>
        <v>0</v>
      </c>
      <c r="U49" s="511" t="n">
        <f aca="false">IF($Y49=1,0,$X$7*(INT(U$6/$X49)-INT(T$6/$X49))-IF(SUM($B49:T49)&gt;0,U50,0))</f>
        <v>0</v>
      </c>
      <c r="V49" s="511" t="n">
        <f aca="false">IF($Y49=1,0,$X$7*(INT(V$6/$X49)-INT(U$6/$X49))-IF(SUM($B49:U49)&gt;0,V50,0))</f>
        <v>0</v>
      </c>
      <c r="W49" s="800" t="str">
        <f aca="false">'GT schd cost(7EA)'!A21</f>
        <v>Stage 2 Buckets</v>
      </c>
      <c r="X49" s="800" t="n">
        <f aca="false">IF($AD$6=1,'GTDB(7EA)'!B24,'GTDB(7EA)'!G24)</f>
        <v>24000</v>
      </c>
      <c r="Y49" s="800" t="n">
        <f aca="false">IF($AD$6=1,'GTDB(7EA)'!C24,'GTDB(7EA)'!H24)</f>
        <v>3</v>
      </c>
      <c r="Z49" s="801" t="n">
        <v>1</v>
      </c>
      <c r="AA49" s="805" t="n">
        <f aca="false">'Initial_Spares(7EA) '!$E$18</f>
        <v>0</v>
      </c>
      <c r="AB49" s="764" t="n">
        <f aca="false">'GT schd cost(7EA)'!X21+'GT schd cost(7EA)'!X44</f>
        <v>0</v>
      </c>
    </row>
    <row r="50" customFormat="false" ht="12.75" hidden="false" customHeight="false" outlineLevel="0" collapsed="false">
      <c r="A50" s="153" t="s">
        <v>1397</v>
      </c>
      <c r="B50" s="511" t="s">
        <v>1007</v>
      </c>
      <c r="C50" s="511" t="n">
        <f aca="false">IF(INT(C$6/$X49)*$X$7&gt;C48*($X$7+$Z49)*$Y49,C48*($X$7+$Z49)-SUM($B50:B50),INT(C$6/$X49)*$X$7-C48*($X$7+$Z49)*($Y49-1)-SUM($B50:B50))+IF($Y49&gt;1,IF(INT(C$6/$X49)&gt;0,$Z49-$AA49,0),-$AA49)</f>
        <v>0</v>
      </c>
      <c r="D50" s="511" t="n">
        <f aca="false">IF(INT(D$6/$X49)*$X$7&gt;D48*($X$7+$Z49)*$Y49,D48*($X$7+$Z49)-SUM($B50:C50),INT(D$6/$X49)*$X$7-D48*($X$7+$Z49)*($Y49-1)-SUM($B50:C50))+IF($Y49&gt;1,IF(INT(D$6/$X49)&gt;0,$Z49-$AA49,0),-$AA49)</f>
        <v>0</v>
      </c>
      <c r="E50" s="511" t="n">
        <f aca="false">IF(INT(E$6/$X49)*$X$7&gt;E48*($X$7+$Z49)*$Y49,E48*($X$7+$Z49)-SUM($B50:D50),INT(E$6/$X49)*$X$7-E48*($X$7+$Z49)*($Y49-1)-SUM($B50:D50))+IF($Y49&gt;1,IF(INT(E$6/$X49)&gt;0,$Z49-$AA49,0),-$AA49)</f>
        <v>0</v>
      </c>
      <c r="F50" s="511" t="n">
        <f aca="false">IF(INT(F$6/$X49)*$X$7&gt;F48*($X$7+$Z49)*$Y49,F48*($X$7+$Z49)-SUM($B50:E50),INT(F$6/$X49)*$X$7-F48*($X$7+$Z49)*($Y49-1)-SUM($B50:E50))+IF($Y49&gt;1,IF(INT(F$6/$X49)&gt;0,$Z49-$AA49,0),-$AA49)</f>
        <v>0</v>
      </c>
      <c r="G50" s="511" t="n">
        <f aca="false">IF(INT(G$6/$X49)*$X$7&gt;G48*($X$7+$Z49)*$Y49,G48*($X$7+$Z49)-SUM($B50:F50),INT(G$6/$X49)*$X$7-G48*($X$7+$Z49)*($Y49-1)-SUM($B50:F50))+IF($Y49&gt;1,IF(INT(G$6/$X49)&gt;0,$Z49-$AA49,0),-$AA49)</f>
        <v>0</v>
      </c>
      <c r="H50" s="511" t="n">
        <f aca="false">IF(INT(H$6/$X49)*$X$7&gt;H48*($X$7+$Z49)*$Y49,H48*($X$7+$Z49)-SUM($B50:G50),INT(H$6/$X49)*$X$7-H48*($X$7+$Z49)*($Y49-1)-SUM($B50:G50))+IF($Y49&gt;1,IF(INT(H$6/$X49)&gt;0,$Z49-$AA49,0),-$AA49)</f>
        <v>0</v>
      </c>
      <c r="I50" s="511" t="n">
        <f aca="false">IF(INT(I$6/$X49)*$X$7&gt;I48*($X$7+$Z49)*$Y49,I48*($X$7+$Z49)-SUM($B50:H50),INT(I$6/$X49)*$X$7-I48*($X$7+$Z49)*($Y49-1)-SUM($B50:H50))+IF($Y49&gt;1,IF(INT(I$6/$X49)&gt;0,$Z49-$AA49,0),-$AA49)</f>
        <v>0</v>
      </c>
      <c r="J50" s="511" t="n">
        <f aca="false">IF(INT(J$6/$X49)*$X$7&gt;J48*($X$7+$Z49)*$Y49,J48*($X$7+$Z49)-SUM($B50:I50),INT(J$6/$X49)*$X$7-J48*($X$7+$Z49)*($Y49-1)-SUM($B50:I50))+IF($Y49&gt;1,IF(INT(J$6/$X49)&gt;0,$Z49-$AA49,0),-$AA49)</f>
        <v>0</v>
      </c>
      <c r="K50" s="511" t="n">
        <f aca="false">IF(INT(K$6/$X49)*$X$7&gt;K48*($X$7+$Z49)*$Y49,K48*($X$7+$Z49)-SUM($B50:J50),INT(K$6/$X49)*$X$7-K48*($X$7+$Z49)*($Y49-1)-SUM($B50:J50))+IF($Y49&gt;1,IF(INT(K$6/$X49)&gt;0,$Z49-$AA49,0),-$AA49)</f>
        <v>0</v>
      </c>
      <c r="L50" s="511" t="n">
        <f aca="false">IF(INT(L$6/$X49)*$X$7&gt;L48*($X$7+$Z49)*$Y49,L48*($X$7+$Z49)-SUM($B50:K50),INT(L$6/$X49)*$X$7-L48*($X$7+$Z49)*($Y49-1)-SUM($B50:K50))+IF($Y49&gt;1,IF(INT(L$6/$X49)&gt;0,$Z49-$AA49,0),-$AA49)</f>
        <v>0</v>
      </c>
      <c r="M50" s="511" t="n">
        <f aca="false">IF(INT(M$6/$X49)*$X$7&gt;M48*($X$7+$Z49)*$Y49,M48*($X$7+$Z49)-SUM($B50:L50),INT(M$6/$X49)*$X$7-M48*($X$7+$Z49)*($Y49-1)-SUM($B50:L50))+IF($Y49&gt;1,IF(INT(M$6/$X49)&gt;0,$Z49-$AA49,0),-$AA49)</f>
        <v>0</v>
      </c>
      <c r="N50" s="511" t="n">
        <f aca="false">IF(INT(N$6/$X49)*$X$7&gt;N48*($X$7+$Z49)*$Y49,N48*($X$7+$Z49)-SUM($B50:M50),INT(N$6/$X49)*$X$7-N48*($X$7+$Z49)*($Y49-1)-SUM($B50:M50))+IF($Y49&gt;1,IF(INT(N$6/$X49)&gt;0,$Z49-$AA49,0),-$AA49)</f>
        <v>0</v>
      </c>
      <c r="O50" s="511" t="n">
        <f aca="false">IF(INT(O$6/$X49)*$X$7&gt;O48*($X$7+$Z49)*$Y49,O48*($X$7+$Z49)-SUM($B50:N50),INT(O$6/$X49)*$X$7-O48*($X$7+$Z49)*($Y49-1)-SUM($B50:N50))+IF($Y49&gt;1,IF(INT(O$6/$X49)&gt;0,$Z49-$AA49,0),-$AA49)</f>
        <v>0</v>
      </c>
      <c r="P50" s="511" t="n">
        <f aca="false">IF(INT(P$6/$X49)*$X$7&gt;P48*($X$7+$Z49)*$Y49,P48*($X$7+$Z49)-SUM($B50:O50),INT(P$6/$X49)*$X$7-P48*($X$7+$Z49)*($Y49-1)-SUM($B50:O50))+IF($Y49&gt;1,IF(INT(P$6/$X49)&gt;0,$Z49-$AA49,0),-$AA49)</f>
        <v>0</v>
      </c>
      <c r="Q50" s="511" t="n">
        <f aca="false">IF(INT(Q$6/$X49)*$X$7&gt;Q48*($X$7+$Z49)*$Y49,Q48*($X$7+$Z49)-SUM($B50:P50),INT(Q$6/$X49)*$X$7-Q48*($X$7+$Z49)*($Y49-1)-SUM($B50:P50))+IF($Y49&gt;1,IF(INT(Q$6/$X49)&gt;0,$Z49-$AA49,0),-$AA49)</f>
        <v>0</v>
      </c>
      <c r="R50" s="511" t="n">
        <f aca="false">IF(INT(R$6/$X49)*$X$7&gt;R48*($X$7+$Z49)*$Y49,R48*($X$7+$Z49)-SUM($B50:Q50),INT(R$6/$X49)*$X$7-R48*($X$7+$Z49)*($Y49-1)-SUM($B50:Q50))+IF($Y49&gt;1,IF(INT(R$6/$X49)&gt;0,$Z49-$AA49,0),-$AA49)</f>
        <v>0</v>
      </c>
      <c r="S50" s="511" t="n">
        <f aca="false">IF(INT(S$6/$X49)*$X$7&gt;S48*($X$7+$Z49)*$Y49,S48*($X$7+$Z49)-SUM($B50:R50),INT(S$6/$X49)*$X$7-S48*($X$7+$Z49)*($Y49-1)-SUM($B50:R50))+IF($Y49&gt;1,IF(INT(S$6/$X49)&gt;0,$Z49-$AA49,0),-$AA49)</f>
        <v>0</v>
      </c>
      <c r="T50" s="511" t="n">
        <f aca="false">IF(INT(T$6/$X49)*$X$7&gt;T48*($X$7+$Z49)*$Y49,T48*($X$7+$Z49)-SUM($B50:S50),INT(T$6/$X49)*$X$7-T48*($X$7+$Z49)*($Y49-1)-SUM($B50:S50))+IF($Y49&gt;1,IF(INT(T$6/$X49)&gt;0,$Z49-$AA49,0),-$AA49)</f>
        <v>0</v>
      </c>
      <c r="U50" s="511" t="n">
        <f aca="false">IF(INT(U$6/$X49)*$X$7&gt;U48*($X$7+$Z49)*$Y49,U48*($X$7+$Z49)-SUM($B50:T50),INT(U$6/$X49)*$X$7-U48*($X$7+$Z49)*($Y49-1)-SUM($B50:T50))+IF($Y49&gt;1,IF(INT(U$6/$X49)&gt;0,$Z49-$AA49,0),-$AA49)</f>
        <v>0</v>
      </c>
      <c r="V50" s="511" t="n">
        <f aca="false">IF(INT(V$6/$X49)*$X$7&gt;V48*($X$7+$Z49)*$Y49,V48*($X$7+$Z49)-SUM($B50:U50),INT(V$6/$X49)*$X$7-V48*($X$7+$Z49)*($Y49-1)-SUM($B50:U50))+IF($Y49&gt;1,IF(INT(V$6/$X49)&gt;0,$Z49-$AA49,0),-$AA49)</f>
        <v>0</v>
      </c>
      <c r="W50" s="803"/>
      <c r="AA50" s="157"/>
      <c r="AB50" s="157"/>
    </row>
    <row r="51" customFormat="false" ht="12.75" hidden="false" customHeight="false" outlineLevel="0" collapsed="false">
      <c r="A51" s="157"/>
      <c r="B51" s="157"/>
      <c r="C51" s="518"/>
      <c r="D51" s="518"/>
      <c r="E51" s="518"/>
      <c r="F51" s="518"/>
      <c r="G51" s="518"/>
      <c r="H51" s="518"/>
      <c r="I51" s="518"/>
      <c r="J51" s="518"/>
      <c r="K51" s="518"/>
      <c r="L51" s="518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785"/>
      <c r="X51" s="157"/>
      <c r="Y51" s="157"/>
      <c r="Z51" s="157"/>
      <c r="AA51" s="157"/>
      <c r="AB51" s="157"/>
    </row>
    <row r="52" customFormat="false" ht="12.75" hidden="true" customHeight="false" outlineLevel="0" collapsed="false">
      <c r="A52" s="153" t="s">
        <v>1395</v>
      </c>
      <c r="B52" s="511"/>
      <c r="C52" s="153" t="n">
        <f aca="false">INT((INT(C$6/$X53)*$X$7+$X$7+$Z53-1)/($X$7+$Z53)/$Y53)</f>
        <v>0</v>
      </c>
      <c r="D52" s="153" t="n">
        <f aca="false">INT((INT(D$6/$X53)*$X$7+$X$7+$Z53-1)/($X$7+$Z53)/$Y53)</f>
        <v>0</v>
      </c>
      <c r="E52" s="153" t="n">
        <f aca="false">INT((INT(E$6/$X53)*$X$7+$X$7+$Z53-1)/($X$7+$Z53)/$Y53)</f>
        <v>0</v>
      </c>
      <c r="F52" s="153" t="n">
        <f aca="false">INT((INT(F$6/$X53)*$X$7+$X$7+$Z53-1)/($X$7+$Z53)/$Y53)</f>
        <v>0</v>
      </c>
      <c r="G52" s="153" t="n">
        <f aca="false">INT((INT(G$6/$X53)*$X$7+$X$7+$Z53-1)/($X$7+$Z53)/$Y53)</f>
        <v>0</v>
      </c>
      <c r="H52" s="153" t="n">
        <f aca="false">INT((INT(H$6/$X53)*$X$7+$X$7+$Z53-1)/($X$7+$Z53)/$Y53)</f>
        <v>0</v>
      </c>
      <c r="I52" s="153" t="n">
        <f aca="false">INT((INT(I$6/$X53)*$X$7+$X$7+$Z53-1)/($X$7+$Z53)/$Y53)</f>
        <v>0</v>
      </c>
      <c r="J52" s="153" t="n">
        <f aca="false">INT((INT(J$6/$X53)*$X$7+$X$7+$Z53-1)/($X$7+$Z53)/$Y53)</f>
        <v>0</v>
      </c>
      <c r="K52" s="153" t="n">
        <f aca="false">INT((INT(K$6/$X53)*$X$7+$X$7+$Z53-1)/($X$7+$Z53)/$Y53)</f>
        <v>0</v>
      </c>
      <c r="L52" s="153" t="n">
        <f aca="false">INT((INT(L$6/$X53)*$X$7+$X$7+$Z53-1)/($X$7+$Z53)/$Y53)</f>
        <v>0</v>
      </c>
      <c r="M52" s="153" t="n">
        <f aca="false">INT((INT(M$6/$X53)*$X$7+$X$7+$Z53-1)/($X$7+$Z53)/$Y53)</f>
        <v>0</v>
      </c>
      <c r="N52" s="153" t="n">
        <f aca="false">INT((INT(N$6/$X53)*$X$7+$X$7+$Z53-1)/($X$7+$Z53)/$Y53)</f>
        <v>0</v>
      </c>
      <c r="O52" s="153" t="n">
        <f aca="false">INT((INT(O$6/$X53)*$X$7+$X$7+$Z53-1)/($X$7+$Z53)/$Y53)</f>
        <v>0</v>
      </c>
      <c r="P52" s="153" t="n">
        <f aca="false">INT((INT(P$6/$X53)*$X$7+$X$7+$Z53-1)/($X$7+$Z53)/$Y53)</f>
        <v>0</v>
      </c>
      <c r="Q52" s="153" t="n">
        <f aca="false">INT((INT(Q$6/$X53)*$X$7+$X$7+$Z53-1)/($X$7+$Z53)/$Y53)</f>
        <v>0</v>
      </c>
      <c r="R52" s="153" t="n">
        <f aca="false">INT((INT(R$6/$X53)*$X$7+$X$7+$Z53-1)/($X$7+$Z53)/$Y53)</f>
        <v>0</v>
      </c>
      <c r="S52" s="153" t="n">
        <f aca="false">INT((INT(S$6/$X53)*$X$7+$X$7+$Z53-1)/($X$7+$Z53)/$Y53)</f>
        <v>0</v>
      </c>
      <c r="T52" s="153" t="n">
        <f aca="false">INT((INT(T$6/$X53)*$X$7+$X$7+$Z53-1)/($X$7+$Z53)/$Y53)</f>
        <v>0</v>
      </c>
      <c r="U52" s="153" t="n">
        <f aca="false">INT((INT(U$6/$X53)*$X$7+$X$7+$Z53-1)/($X$7+$Z53)/$Y53)</f>
        <v>0</v>
      </c>
      <c r="V52" s="153" t="n">
        <f aca="false">INT((INT(V$6/$X53)*$X$7+$X$7+$Z53-1)/($X$7+$Z53)/$Y53)</f>
        <v>0</v>
      </c>
      <c r="W52" s="157"/>
      <c r="X52" s="157"/>
      <c r="Y52" s="157"/>
      <c r="Z52" s="157"/>
      <c r="AA52" s="157"/>
      <c r="AB52" s="157"/>
    </row>
    <row r="53" customFormat="false" ht="12.75" hidden="false" customHeight="false" outlineLevel="0" collapsed="false">
      <c r="A53" s="153" t="s">
        <v>1396</v>
      </c>
      <c r="B53" s="511" t="s">
        <v>1007</v>
      </c>
      <c r="C53" s="511" t="n">
        <f aca="false">IF($Y53=1,0,$X$7*(INT(C$6/$X53)-INT(B$6/$X53))-IF(SUM($B53:B53)&gt;0,C54,0))</f>
        <v>0</v>
      </c>
      <c r="D53" s="511" t="n">
        <f aca="false">IF($Y53=1,0,$X$7*(INT(D$6/$X53)-INT(C$6/$X53))-IF(SUM($B53:C53)&gt;0,D54,0))</f>
        <v>0</v>
      </c>
      <c r="E53" s="511" t="n">
        <f aca="false">IF($Y53=1,0,$X$7*(INT(E$6/$X53)-INT(D$6/$X53))-IF(SUM($B53:D53)&gt;0,E54,0))</f>
        <v>0</v>
      </c>
      <c r="F53" s="511" t="n">
        <f aca="false">IF($Y53=1,0,$X$7*(INT(F$6/$X53)-INT(E$6/$X53))-IF(SUM($B53:E53)&gt;0,F54,0))</f>
        <v>0</v>
      </c>
      <c r="G53" s="511" t="n">
        <f aca="false">IF($Y53=1,0,$X$7*(INT(G$6/$X53)-INT(F$6/$X53))-IF(SUM($B53:F53)&gt;0,G54,0))</f>
        <v>0</v>
      </c>
      <c r="H53" s="511" t="n">
        <f aca="false">IF($Y53=1,0,$X$7*(INT(H$6/$X53)-INT(G$6/$X53))-IF(SUM($B53:G53)&gt;0,H54,0))</f>
        <v>0</v>
      </c>
      <c r="I53" s="511" t="n">
        <f aca="false">IF($Y53=1,0,$X$7*(INT(I$6/$X53)-INT(H$6/$X53))-IF(SUM($B53:H53)&gt;0,I54,0))</f>
        <v>0</v>
      </c>
      <c r="J53" s="511" t="n">
        <f aca="false">IF($Y53=1,0,$X$7*(INT(J$6/$X53)-INT(I$6/$X53))-IF(SUM($B53:I53)&gt;0,J54,0))</f>
        <v>0</v>
      </c>
      <c r="K53" s="511" t="n">
        <f aca="false">IF($Y53=1,0,$X$7*(INT(K$6/$X53)-INT(J$6/$X53))-IF(SUM($B53:J53)&gt;0,K54,0))</f>
        <v>0</v>
      </c>
      <c r="L53" s="511" t="n">
        <f aca="false">IF($Y53=1,0,$X$7*(INT(L$6/$X53)-INT(K$6/$X53))-IF(SUM($B53:K53)&gt;0,L54,0))</f>
        <v>0</v>
      </c>
      <c r="M53" s="511" t="n">
        <f aca="false">IF($Y53=1,0,$X$7*(INT(M$6/$X53)-INT(L$6/$X53))-IF(SUM($B53:L53)&gt;0,M54,0))</f>
        <v>0</v>
      </c>
      <c r="N53" s="511" t="n">
        <f aca="false">IF($Y53=1,0,$X$7*(INT(N$6/$X53)-INT(M$6/$X53))-IF(SUM($B53:M53)&gt;0,N54,0))</f>
        <v>0</v>
      </c>
      <c r="O53" s="511" t="n">
        <f aca="false">IF($Y53=1,0,$X$7*(INT(O$6/$X53)-INT(N$6/$X53))-IF(SUM($B53:N53)&gt;0,O54,0))</f>
        <v>0</v>
      </c>
      <c r="P53" s="511" t="n">
        <f aca="false">IF($Y53=1,0,$X$7*(INT(P$6/$X53)-INT(O$6/$X53))-IF(SUM($B53:O53)&gt;0,P54,0))</f>
        <v>0</v>
      </c>
      <c r="Q53" s="511" t="n">
        <f aca="false">IF($Y53=1,0,$X$7*(INT(Q$6/$X53)-INT(P$6/$X53))-IF(SUM($B53:P53)&gt;0,Q54,0))</f>
        <v>0</v>
      </c>
      <c r="R53" s="511" t="n">
        <f aca="false">IF($Y53=1,0,$X$7*(INT(R$6/$X53)-INT(Q$6/$X53))-IF(SUM($B53:Q53)&gt;0,R54,0))</f>
        <v>0</v>
      </c>
      <c r="S53" s="511" t="n">
        <f aca="false">IF($Y53=1,0,$X$7*(INT(S$6/$X53)-INT(R$6/$X53))-IF(SUM($B53:R53)&gt;0,S54,0))</f>
        <v>0</v>
      </c>
      <c r="T53" s="511" t="n">
        <f aca="false">IF($Y53=1,0,$X$7*(INT(T$6/$X53)-INT(S$6/$X53))-IF(SUM($B53:S53)&gt;0,T54,0))</f>
        <v>0</v>
      </c>
      <c r="U53" s="511" t="n">
        <f aca="false">IF($Y53=1,0,$X$7*(INT(U$6/$X53)-INT(T$6/$X53))-IF(SUM($B53:T53)&gt;0,U54,0))</f>
        <v>0</v>
      </c>
      <c r="V53" s="511" t="n">
        <f aca="false">IF($Y53=1,0,$X$7*(INT(V$6/$X53)-INT(U$6/$X53))-IF(SUM($B53:U53)&gt;0,V54,0))</f>
        <v>0</v>
      </c>
      <c r="W53" s="800" t="str">
        <f aca="false">'GT schd cost(7EA)'!A22</f>
        <v>Stage 3 Buckets</v>
      </c>
      <c r="X53" s="800" t="n">
        <f aca="false">IF($AD$6=1,'GTDB(7EA)'!B25,'GTDB(7EA)'!G25)</f>
        <v>24000</v>
      </c>
      <c r="Y53" s="800" t="n">
        <f aca="false">IF($AD$6=1,'GTDB(7EA)'!C25,'GTDB(7EA)'!H25)</f>
        <v>3</v>
      </c>
      <c r="Z53" s="801" t="n">
        <v>1</v>
      </c>
      <c r="AA53" s="805" t="n">
        <f aca="false">'Initial_Spares(7EA) '!$E$19</f>
        <v>0</v>
      </c>
      <c r="AB53" s="764" t="n">
        <f aca="false">'GT schd cost(7EA)'!X22+'GT schd cost(7EA)'!X45</f>
        <v>0</v>
      </c>
    </row>
    <row r="54" customFormat="false" ht="12.75" hidden="false" customHeight="false" outlineLevel="0" collapsed="false">
      <c r="A54" s="153" t="s">
        <v>1397</v>
      </c>
      <c r="B54" s="511" t="s">
        <v>1007</v>
      </c>
      <c r="C54" s="511" t="n">
        <f aca="false">IF(INT(C$6/$X53)*$X$7&gt;C52*($X$7+$Z53)*$Y53,C52*($X$7+$Z53)-SUM($B54:B54),INT(C$6/$X53)*$X$7-C52*($X$7+$Z53)*($Y53-1)-SUM($B54:B54))+IF($Y53&gt;1,IF(INT(C$6/$X53)&gt;0,$Z53-$AA53,0),-$AA53)</f>
        <v>0</v>
      </c>
      <c r="D54" s="511" t="n">
        <f aca="false">IF(INT(D$6/$X53)*$X$7&gt;D52*($X$7+$Z53)*$Y53,D52*($X$7+$Z53)-SUM($B54:C54),INT(D$6/$X53)*$X$7-D52*($X$7+$Z53)*($Y53-1)-SUM($B54:C54))+IF($Y53&gt;1,IF(INT(D$6/$X53)&gt;0,$Z53-$AA53,0),-$AA53)</f>
        <v>0</v>
      </c>
      <c r="E54" s="511" t="n">
        <f aca="false">IF(INT(E$6/$X53)*$X$7&gt;E52*($X$7+$Z53)*$Y53,E52*($X$7+$Z53)-SUM($B54:D54),INT(E$6/$X53)*$X$7-E52*($X$7+$Z53)*($Y53-1)-SUM($B54:D54))+IF($Y53&gt;1,IF(INT(E$6/$X53)&gt;0,$Z53-$AA53,0),-$AA53)</f>
        <v>0</v>
      </c>
      <c r="F54" s="511" t="n">
        <f aca="false">IF(INT(F$6/$X53)*$X$7&gt;F52*($X$7+$Z53)*$Y53,F52*($X$7+$Z53)-SUM($B54:E54),INT(F$6/$X53)*$X$7-F52*($X$7+$Z53)*($Y53-1)-SUM($B54:E54))+IF($Y53&gt;1,IF(INT(F$6/$X53)&gt;0,$Z53-$AA53,0),-$AA53)</f>
        <v>0</v>
      </c>
      <c r="G54" s="511" t="n">
        <f aca="false">IF(INT(G$6/$X53)*$X$7&gt;G52*($X$7+$Z53)*$Y53,G52*($X$7+$Z53)-SUM($B54:F54),INT(G$6/$X53)*$X$7-G52*($X$7+$Z53)*($Y53-1)-SUM($B54:F54))+IF($Y53&gt;1,IF(INT(G$6/$X53)&gt;0,$Z53-$AA53,0),-$AA53)</f>
        <v>0</v>
      </c>
      <c r="H54" s="511" t="n">
        <f aca="false">IF(INT(H$6/$X53)*$X$7&gt;H52*($X$7+$Z53)*$Y53,H52*($X$7+$Z53)-SUM($B54:G54),INT(H$6/$X53)*$X$7-H52*($X$7+$Z53)*($Y53-1)-SUM($B54:G54))+IF($Y53&gt;1,IF(INT(H$6/$X53)&gt;0,$Z53-$AA53,0),-$AA53)</f>
        <v>0</v>
      </c>
      <c r="I54" s="511" t="n">
        <f aca="false">IF(INT(I$6/$X53)*$X$7&gt;I52*($X$7+$Z53)*$Y53,I52*($X$7+$Z53)-SUM($B54:H54),INT(I$6/$X53)*$X$7-I52*($X$7+$Z53)*($Y53-1)-SUM($B54:H54))+IF($Y53&gt;1,IF(INT(I$6/$X53)&gt;0,$Z53-$AA53,0),-$AA53)</f>
        <v>0</v>
      </c>
      <c r="J54" s="511" t="n">
        <f aca="false">IF(INT(J$6/$X53)*$X$7&gt;J52*($X$7+$Z53)*$Y53,J52*($X$7+$Z53)-SUM($B54:I54),INT(J$6/$X53)*$X$7-J52*($X$7+$Z53)*($Y53-1)-SUM($B54:I54))+IF($Y53&gt;1,IF(INT(J$6/$X53)&gt;0,$Z53-$AA53,0),-$AA53)</f>
        <v>0</v>
      </c>
      <c r="K54" s="511" t="n">
        <f aca="false">IF(INT(K$6/$X53)*$X$7&gt;K52*($X$7+$Z53)*$Y53,K52*($X$7+$Z53)-SUM($B54:J54),INT(K$6/$X53)*$X$7-K52*($X$7+$Z53)*($Y53-1)-SUM($B54:J54))+IF($Y53&gt;1,IF(INT(K$6/$X53)&gt;0,$Z53-$AA53,0),-$AA53)</f>
        <v>0</v>
      </c>
      <c r="L54" s="511" t="n">
        <f aca="false">IF(INT(L$6/$X53)*$X$7&gt;L52*($X$7+$Z53)*$Y53,L52*($X$7+$Z53)-SUM($B54:K54),INT(L$6/$X53)*$X$7-L52*($X$7+$Z53)*($Y53-1)-SUM($B54:K54))+IF($Y53&gt;1,IF(INT(L$6/$X53)&gt;0,$Z53-$AA53,0),-$AA53)</f>
        <v>0</v>
      </c>
      <c r="M54" s="511" t="n">
        <f aca="false">IF(INT(M$6/$X53)*$X$7&gt;M52*($X$7+$Z53)*$Y53,M52*($X$7+$Z53)-SUM($B54:L54),INT(M$6/$X53)*$X$7-M52*($X$7+$Z53)*($Y53-1)-SUM($B54:L54))+IF($Y53&gt;1,IF(INT(M$6/$X53)&gt;0,$Z53-$AA53,0),-$AA53)</f>
        <v>0</v>
      </c>
      <c r="N54" s="511" t="n">
        <f aca="false">IF(INT(N$6/$X53)*$X$7&gt;N52*($X$7+$Z53)*$Y53,N52*($X$7+$Z53)-SUM($B54:M54),INT(N$6/$X53)*$X$7-N52*($X$7+$Z53)*($Y53-1)-SUM($B54:M54))+IF($Y53&gt;1,IF(INT(N$6/$X53)&gt;0,$Z53-$AA53,0),-$AA53)</f>
        <v>0</v>
      </c>
      <c r="O54" s="511" t="n">
        <f aca="false">IF(INT(O$6/$X53)*$X$7&gt;O52*($X$7+$Z53)*$Y53,O52*($X$7+$Z53)-SUM($B54:N54),INT(O$6/$X53)*$X$7-O52*($X$7+$Z53)*($Y53-1)-SUM($B54:N54))+IF($Y53&gt;1,IF(INT(O$6/$X53)&gt;0,$Z53-$AA53,0),-$AA53)</f>
        <v>0</v>
      </c>
      <c r="P54" s="511" t="n">
        <f aca="false">IF(INT(P$6/$X53)*$X$7&gt;P52*($X$7+$Z53)*$Y53,P52*($X$7+$Z53)-SUM($B54:O54),INT(P$6/$X53)*$X$7-P52*($X$7+$Z53)*($Y53-1)-SUM($B54:O54))+IF($Y53&gt;1,IF(INT(P$6/$X53)&gt;0,$Z53-$AA53,0),-$AA53)</f>
        <v>0</v>
      </c>
      <c r="Q54" s="511" t="n">
        <f aca="false">IF(INT(Q$6/$X53)*$X$7&gt;Q52*($X$7+$Z53)*$Y53,Q52*($X$7+$Z53)-SUM($B54:P54),INT(Q$6/$X53)*$X$7-Q52*($X$7+$Z53)*($Y53-1)-SUM($B54:P54))+IF($Y53&gt;1,IF(INT(Q$6/$X53)&gt;0,$Z53-$AA53,0),-$AA53)</f>
        <v>0</v>
      </c>
      <c r="R54" s="511" t="n">
        <f aca="false">IF(INT(R$6/$X53)*$X$7&gt;R52*($X$7+$Z53)*$Y53,R52*($X$7+$Z53)-SUM($B54:Q54),INT(R$6/$X53)*$X$7-R52*($X$7+$Z53)*($Y53-1)-SUM($B54:Q54))+IF($Y53&gt;1,IF(INT(R$6/$X53)&gt;0,$Z53-$AA53,0),-$AA53)</f>
        <v>0</v>
      </c>
      <c r="S54" s="511" t="n">
        <f aca="false">IF(INT(S$6/$X53)*$X$7&gt;S52*($X$7+$Z53)*$Y53,S52*($X$7+$Z53)-SUM($B54:R54),INT(S$6/$X53)*$X$7-S52*($X$7+$Z53)*($Y53-1)-SUM($B54:R54))+IF($Y53&gt;1,IF(INT(S$6/$X53)&gt;0,$Z53-$AA53,0),-$AA53)</f>
        <v>0</v>
      </c>
      <c r="T54" s="511" t="n">
        <f aca="false">IF(INT(T$6/$X53)*$X$7&gt;T52*($X$7+$Z53)*$Y53,T52*($X$7+$Z53)-SUM($B54:S54),INT(T$6/$X53)*$X$7-T52*($X$7+$Z53)*($Y53-1)-SUM($B54:S54))+IF($Y53&gt;1,IF(INT(T$6/$X53)&gt;0,$Z53-$AA53,0),-$AA53)</f>
        <v>0</v>
      </c>
      <c r="U54" s="511" t="n">
        <f aca="false">IF(INT(U$6/$X53)*$X$7&gt;U52*($X$7+$Z53)*$Y53,U52*($X$7+$Z53)-SUM($B54:T54),INT(U$6/$X53)*$X$7-U52*($X$7+$Z53)*($Y53-1)-SUM($B54:T54))+IF($Y53&gt;1,IF(INT(U$6/$X53)&gt;0,$Z53-$AA53,0),-$AA53)</f>
        <v>0</v>
      </c>
      <c r="V54" s="511" t="n">
        <f aca="false">IF(INT(V$6/$X53)*$X$7&gt;V52*($X$7+$Z53)*$Y53,V52*($X$7+$Z53)-SUM($B54:U54),INT(V$6/$X53)*$X$7-V52*($X$7+$Z53)*($Y53-1)-SUM($B54:U54))+IF($Y53&gt;1,IF(INT(V$6/$X53)&gt;0,$Z53-$AA53,0),-$AA53)</f>
        <v>0</v>
      </c>
      <c r="W54" s="803"/>
      <c r="AA54" s="157"/>
      <c r="AB54" s="157"/>
    </row>
    <row r="55" customFormat="false" ht="12.75" hidden="false" customHeight="false" outlineLevel="0" collapsed="false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790"/>
      <c r="X55" s="157"/>
      <c r="Y55" s="157"/>
      <c r="Z55" s="157"/>
      <c r="AA55" s="157"/>
      <c r="AB55" s="157"/>
    </row>
    <row r="56" customFormat="false" ht="12.75" hidden="true" customHeight="false" outlineLevel="0" collapsed="false">
      <c r="A56" s="153" t="s">
        <v>1395</v>
      </c>
      <c r="B56" s="511"/>
      <c r="C56" s="153" t="n">
        <f aca="false">INT((INT(C$6/$X57)*$X$7+$X$7+$Z57-1)/($X$7+$Z57)/$Y57)</f>
        <v>0</v>
      </c>
      <c r="D56" s="153" t="n">
        <f aca="false">INT((INT(D$6/$X57)*$X$7+$X$7+$Z57-1)/($X$7+$Z57)/$Y57)</f>
        <v>0</v>
      </c>
      <c r="E56" s="153" t="n">
        <f aca="false">INT((INT(E$6/$X57)*$X$7+$X$7+$Z57-1)/($X$7+$Z57)/$Y57)</f>
        <v>0</v>
      </c>
      <c r="F56" s="153" t="n">
        <f aca="false">INT((INT(F$6/$X57)*$X$7+$X$7+$Z57-1)/($X$7+$Z57)/$Y57)</f>
        <v>0</v>
      </c>
      <c r="G56" s="153" t="n">
        <f aca="false">INT((INT(G$6/$X57)*$X$7+$X$7+$Z57-1)/($X$7+$Z57)/$Y57)</f>
        <v>0</v>
      </c>
      <c r="H56" s="153" t="n">
        <f aca="false">INT((INT(H$6/$X57)*$X$7+$X$7+$Z57-1)/($X$7+$Z57)/$Y57)</f>
        <v>0</v>
      </c>
      <c r="I56" s="153" t="n">
        <f aca="false">INT((INT(I$6/$X57)*$X$7+$X$7+$Z57-1)/($X$7+$Z57)/$Y57)</f>
        <v>0</v>
      </c>
      <c r="J56" s="153" t="n">
        <f aca="false">INT((INT(J$6/$X57)*$X$7+$X$7+$Z57-1)/($X$7+$Z57)/$Y57)</f>
        <v>0</v>
      </c>
      <c r="K56" s="153" t="n">
        <f aca="false">INT((INT(K$6/$X57)*$X$7+$X$7+$Z57-1)/($X$7+$Z57)/$Y57)</f>
        <v>0</v>
      </c>
      <c r="L56" s="153" t="n">
        <f aca="false">INT((INT(L$6/$X57)*$X$7+$X$7+$Z57-1)/($X$7+$Z57)/$Y57)</f>
        <v>0</v>
      </c>
      <c r="M56" s="153" t="n">
        <f aca="false">INT((INT(M$6/$X57)*$X$7+$X$7+$Z57-1)/($X$7+$Z57)/$Y57)</f>
        <v>0</v>
      </c>
      <c r="N56" s="153" t="n">
        <f aca="false">INT((INT(N$6/$X57)*$X$7+$X$7+$Z57-1)/($X$7+$Z57)/$Y57)</f>
        <v>0</v>
      </c>
      <c r="O56" s="153" t="n">
        <f aca="false">INT((INT(O$6/$X57)*$X$7+$X$7+$Z57-1)/($X$7+$Z57)/$Y57)</f>
        <v>0</v>
      </c>
      <c r="P56" s="153" t="n">
        <f aca="false">INT((INT(P$6/$X57)*$X$7+$X$7+$Z57-1)/($X$7+$Z57)/$Y57)</f>
        <v>0</v>
      </c>
      <c r="Q56" s="153" t="n">
        <f aca="false">INT((INT(Q$6/$X57)*$X$7+$X$7+$Z57-1)/($X$7+$Z57)/$Y57)</f>
        <v>0</v>
      </c>
      <c r="R56" s="153" t="n">
        <f aca="false">INT((INT(R$6/$X57)*$X$7+$X$7+$Z57-1)/($X$7+$Z57)/$Y57)</f>
        <v>0</v>
      </c>
      <c r="S56" s="153" t="n">
        <f aca="false">INT((INT(S$6/$X57)*$X$7+$X$7+$Z57-1)/($X$7+$Z57)/$Y57)</f>
        <v>0</v>
      </c>
      <c r="T56" s="153" t="n">
        <f aca="false">INT((INT(T$6/$X57)*$X$7+$X$7+$Z57-1)/($X$7+$Z57)/$Y57)</f>
        <v>0</v>
      </c>
      <c r="U56" s="153" t="n">
        <f aca="false">INT((INT(U$6/$X57)*$X$7+$X$7+$Z57-1)/($X$7+$Z57)/$Y57)</f>
        <v>0</v>
      </c>
      <c r="V56" s="153" t="n">
        <f aca="false">INT((INT(V$6/$X57)*$X$7+$X$7+$Z57-1)/($X$7+$Z57)/$Y57)</f>
        <v>0</v>
      </c>
      <c r="W56" s="157"/>
      <c r="X56" s="157"/>
      <c r="Y56" s="157"/>
      <c r="Z56" s="157"/>
      <c r="AA56" s="157"/>
      <c r="AB56" s="157"/>
    </row>
    <row r="57" customFormat="false" ht="12.75" hidden="false" customHeight="false" outlineLevel="0" collapsed="false">
      <c r="A57" s="153" t="s">
        <v>1396</v>
      </c>
      <c r="B57" s="511" t="s">
        <v>1007</v>
      </c>
      <c r="C57" s="511" t="n">
        <f aca="false">IF($Y57=1,0,$X$7*(INT(C$6/$X57)-INT(B$6/$X57))-IF(SUM($B57:B57)&gt;0,C58,0))</f>
        <v>0</v>
      </c>
      <c r="D57" s="511" t="n">
        <f aca="false">IF($Y57=1,0,$X$7*(INT(D$6/$X57)-INT(C$6/$X57))-IF(SUM($B57:C57)&gt;0,D58,0))</f>
        <v>0</v>
      </c>
      <c r="E57" s="511" t="n">
        <f aca="false">IF($Y57=1,0,$X$7*(INT(E$6/$X57)-INT(D$6/$X57))-IF(SUM($B57:D57)&gt;0,E58,0))</f>
        <v>0</v>
      </c>
      <c r="F57" s="511" t="n">
        <f aca="false">IF($Y57=1,0,$X$7*(INT(F$6/$X57)-INT(E$6/$X57))-IF(SUM($B57:E57)&gt;0,F58,0))</f>
        <v>0</v>
      </c>
      <c r="G57" s="511" t="n">
        <f aca="false">IF($Y57=1,0,$X$7*(INT(G$6/$X57)-INT(F$6/$X57))-IF(SUM($B57:F57)&gt;0,G58,0))</f>
        <v>0</v>
      </c>
      <c r="H57" s="511" t="n">
        <f aca="false">IF($Y57=1,0,$X$7*(INT(H$6/$X57)-INT(G$6/$X57))-IF(SUM($B57:G57)&gt;0,H58,0))</f>
        <v>0</v>
      </c>
      <c r="I57" s="511" t="n">
        <f aca="false">IF($Y57=1,0,$X$7*(INT(I$6/$X57)-INT(H$6/$X57))-IF(SUM($B57:H57)&gt;0,I58,0))</f>
        <v>0</v>
      </c>
      <c r="J57" s="511" t="n">
        <f aca="false">IF($Y57=1,0,$X$7*(INT(J$6/$X57)-INT(I$6/$X57))-IF(SUM($B57:I57)&gt;0,J58,0))</f>
        <v>0</v>
      </c>
      <c r="K57" s="511" t="n">
        <f aca="false">IF($Y57=1,0,$X$7*(INT(K$6/$X57)-INT(J$6/$X57))-IF(SUM($B57:J57)&gt;0,K58,0))</f>
        <v>0</v>
      </c>
      <c r="L57" s="511" t="n">
        <f aca="false">IF($Y57=1,0,$X$7*(INT(L$6/$X57)-INT(K$6/$X57))-IF(SUM($B57:K57)&gt;0,L58,0))</f>
        <v>0</v>
      </c>
      <c r="M57" s="511" t="n">
        <f aca="false">IF($Y57=1,0,$X$7*(INT(M$6/$X57)-INT(L$6/$X57))-IF(SUM($B57:L57)&gt;0,M58,0))</f>
        <v>0</v>
      </c>
      <c r="N57" s="511" t="n">
        <f aca="false">IF($Y57=1,0,$X$7*(INT(N$6/$X57)-INT(M$6/$X57))-IF(SUM($B57:M57)&gt;0,N58,0))</f>
        <v>0</v>
      </c>
      <c r="O57" s="511" t="n">
        <f aca="false">IF($Y57=1,0,$X$7*(INT(O$6/$X57)-INT(N$6/$X57))-IF(SUM($B57:N57)&gt;0,O58,0))</f>
        <v>0</v>
      </c>
      <c r="P57" s="511" t="n">
        <f aca="false">IF($Y57=1,0,$X$7*(INT(P$6/$X57)-INT(O$6/$X57))-IF(SUM($B57:O57)&gt;0,P58,0))</f>
        <v>0</v>
      </c>
      <c r="Q57" s="511" t="n">
        <f aca="false">IF($Y57=1,0,$X$7*(INT(Q$6/$X57)-INT(P$6/$X57))-IF(SUM($B57:P57)&gt;0,Q58,0))</f>
        <v>0</v>
      </c>
      <c r="R57" s="511" t="n">
        <f aca="false">IF($Y57=1,0,$X$7*(INT(R$6/$X57)-INT(Q$6/$X57))-IF(SUM($B57:Q57)&gt;0,R58,0))</f>
        <v>0</v>
      </c>
      <c r="S57" s="511" t="n">
        <f aca="false">IF($Y57=1,0,$X$7*(INT(S$6/$X57)-INT(R$6/$X57))-IF(SUM($B57:R57)&gt;0,S58,0))</f>
        <v>0</v>
      </c>
      <c r="T57" s="511" t="n">
        <f aca="false">IF($Y57=1,0,$X$7*(INT(T$6/$X57)-INT(S$6/$X57))-IF(SUM($B57:S57)&gt;0,T58,0))</f>
        <v>0</v>
      </c>
      <c r="U57" s="511" t="n">
        <f aca="false">IF($Y57=1,0,$X$7*(INT(U$6/$X57)-INT(T$6/$X57))-IF(SUM($B57:T57)&gt;0,U58,0))</f>
        <v>0</v>
      </c>
      <c r="V57" s="511" t="n">
        <f aca="false">IF($Y57=1,0,$X$7*(INT(V$6/$X57)-INT(U$6/$X57))-IF(SUM($B57:U57)&gt;0,V58,0))</f>
        <v>0</v>
      </c>
      <c r="W57" s="800" t="str">
        <f aca="false">'GT schd cost(7EA)'!A23</f>
        <v>Row 1 Support Ring</v>
      </c>
      <c r="X57" s="800" t="n">
        <f aca="false">IF($AD$6=1,'GTDB(7EA)'!B26,'GTDB(7EA)'!G26)</f>
        <v>24000</v>
      </c>
      <c r="Y57" s="800" t="n">
        <f aca="false">IF($AD$6=1,'GTDB(7EA)'!C26,'GTDB(7EA)'!H26)</f>
        <v>3</v>
      </c>
      <c r="Z57" s="801" t="n">
        <v>1</v>
      </c>
      <c r="AA57" s="805" t="n">
        <f aca="false">'Initial_Spares(7EA) '!$E$20</f>
        <v>0</v>
      </c>
      <c r="AB57" s="764" t="n">
        <f aca="false">'GT schd cost(7EA)'!X23+'GT schd cost(7EA)'!X46</f>
        <v>0</v>
      </c>
    </row>
    <row r="58" customFormat="false" ht="12.75" hidden="false" customHeight="false" outlineLevel="0" collapsed="false">
      <c r="A58" s="153" t="s">
        <v>1397</v>
      </c>
      <c r="B58" s="511" t="s">
        <v>1007</v>
      </c>
      <c r="C58" s="511" t="n">
        <f aca="false">IF(INT(C$6/$X57)*$X$7&gt;C56*($X$7+$Z57)*$Y57,C56*($X$7+$Z57)-SUM($B58:B58),INT(C$6/$X57)*$X$7-C56*($X$7+$Z57)*($Y57-1)-SUM($B58:B58))+IF($Y57&gt;1,IF(INT(C$6/$X57)&gt;0,$Z57-$AA57,0),-$AA57)</f>
        <v>0</v>
      </c>
      <c r="D58" s="511" t="n">
        <f aca="false">IF(INT(D$6/$X57)*$X$7&gt;D56*($X$7+$Z57)*$Y57,D56*($X$7+$Z57)-SUM($B58:C58),INT(D$6/$X57)*$X$7-D56*($X$7+$Z57)*($Y57-1)-SUM($B58:C58))+IF($Y57&gt;1,IF(INT(D$6/$X57)&gt;0,$Z57-$AA57,0),-$AA57)</f>
        <v>0</v>
      </c>
      <c r="E58" s="511" t="n">
        <f aca="false">IF(INT(E$6/$X57)*$X$7&gt;E56*($X$7+$Z57)*$Y57,E56*($X$7+$Z57)-SUM($B58:D58),INT(E$6/$X57)*$X$7-E56*($X$7+$Z57)*($Y57-1)-SUM($B58:D58))+IF($Y57&gt;1,IF(INT(E$6/$X57)&gt;0,$Z57-$AA57,0),-$AA57)</f>
        <v>0</v>
      </c>
      <c r="F58" s="511" t="n">
        <f aca="false">IF(INT(F$6/$X57)*$X$7&gt;F56*($X$7+$Z57)*$Y57,F56*($X$7+$Z57)-SUM($B58:E58),INT(F$6/$X57)*$X$7-F56*($X$7+$Z57)*($Y57-1)-SUM($B58:E58))+IF($Y57&gt;1,IF(INT(F$6/$X57)&gt;0,$Z57-$AA57,0),-$AA57)</f>
        <v>0</v>
      </c>
      <c r="G58" s="511" t="n">
        <f aca="false">IF(INT(G$6/$X57)*$X$7&gt;G56*($X$7+$Z57)*$Y57,G56*($X$7+$Z57)-SUM($B58:F58),INT(G$6/$X57)*$X$7-G56*($X$7+$Z57)*($Y57-1)-SUM($B58:F58))+IF($Y57&gt;1,IF(INT(G$6/$X57)&gt;0,$Z57-$AA57,0),-$AA57)</f>
        <v>0</v>
      </c>
      <c r="H58" s="511" t="n">
        <f aca="false">IF(INT(H$6/$X57)*$X$7&gt;H56*($X$7+$Z57)*$Y57,H56*($X$7+$Z57)-SUM($B58:G58),INT(H$6/$X57)*$X$7-H56*($X$7+$Z57)*($Y57-1)-SUM($B58:G58))+IF($Y57&gt;1,IF(INT(H$6/$X57)&gt;0,$Z57-$AA57,0),-$AA57)</f>
        <v>0</v>
      </c>
      <c r="I58" s="511" t="n">
        <f aca="false">IF(INT(I$6/$X57)*$X$7&gt;I56*($X$7+$Z57)*$Y57,I56*($X$7+$Z57)-SUM($B58:H58),INT(I$6/$X57)*$X$7-I56*($X$7+$Z57)*($Y57-1)-SUM($B58:H58))+IF($Y57&gt;1,IF(INT(I$6/$X57)&gt;0,$Z57-$AA57,0),-$AA57)</f>
        <v>0</v>
      </c>
      <c r="J58" s="511" t="n">
        <f aca="false">IF(INT(J$6/$X57)*$X$7&gt;J56*($X$7+$Z57)*$Y57,J56*($X$7+$Z57)-SUM($B58:I58),INT(J$6/$X57)*$X$7-J56*($X$7+$Z57)*($Y57-1)-SUM($B58:I58))+IF($Y57&gt;1,IF(INT(J$6/$X57)&gt;0,$Z57-$AA57,0),-$AA57)</f>
        <v>0</v>
      </c>
      <c r="K58" s="511" t="n">
        <f aca="false">IF(INT(K$6/$X57)*$X$7&gt;K56*($X$7+$Z57)*$Y57,K56*($X$7+$Z57)-SUM($B58:J58),INT(K$6/$X57)*$X$7-K56*($X$7+$Z57)*($Y57-1)-SUM($B58:J58))+IF($Y57&gt;1,IF(INT(K$6/$X57)&gt;0,$Z57-$AA57,0),-$AA57)</f>
        <v>0</v>
      </c>
      <c r="L58" s="511" t="n">
        <f aca="false">IF(INT(L$6/$X57)*$X$7&gt;L56*($X$7+$Z57)*$Y57,L56*($X$7+$Z57)-SUM($B58:K58),INT(L$6/$X57)*$X$7-L56*($X$7+$Z57)*($Y57-1)-SUM($B58:K58))+IF($Y57&gt;1,IF(INT(L$6/$X57)&gt;0,$Z57-$AA57,0),-$AA57)</f>
        <v>0</v>
      </c>
      <c r="M58" s="511" t="n">
        <f aca="false">IF(INT(M$6/$X57)*$X$7&gt;M56*($X$7+$Z57)*$Y57,M56*($X$7+$Z57)-SUM($B58:L58),INT(M$6/$X57)*$X$7-M56*($X$7+$Z57)*($Y57-1)-SUM($B58:L58))+IF($Y57&gt;1,IF(INT(M$6/$X57)&gt;0,$Z57-$AA57,0),-$AA57)</f>
        <v>0</v>
      </c>
      <c r="N58" s="511" t="n">
        <f aca="false">IF(INT(N$6/$X57)*$X$7&gt;N56*($X$7+$Z57)*$Y57,N56*($X$7+$Z57)-SUM($B58:M58),INT(N$6/$X57)*$X$7-N56*($X$7+$Z57)*($Y57-1)-SUM($B58:M58))+IF($Y57&gt;1,IF(INT(N$6/$X57)&gt;0,$Z57-$AA57,0),-$AA57)</f>
        <v>0</v>
      </c>
      <c r="O58" s="511" t="n">
        <f aca="false">IF(INT(O$6/$X57)*$X$7&gt;O56*($X$7+$Z57)*$Y57,O56*($X$7+$Z57)-SUM($B58:N58),INT(O$6/$X57)*$X$7-O56*($X$7+$Z57)*($Y57-1)-SUM($B58:N58))+IF($Y57&gt;1,IF(INT(O$6/$X57)&gt;0,$Z57-$AA57,0),-$AA57)</f>
        <v>0</v>
      </c>
      <c r="P58" s="511" t="n">
        <f aca="false">IF(INT(P$6/$X57)*$X$7&gt;P56*($X$7+$Z57)*$Y57,P56*($X$7+$Z57)-SUM($B58:O58),INT(P$6/$X57)*$X$7-P56*($X$7+$Z57)*($Y57-1)-SUM($B58:O58))+IF($Y57&gt;1,IF(INT(P$6/$X57)&gt;0,$Z57-$AA57,0),-$AA57)</f>
        <v>0</v>
      </c>
      <c r="Q58" s="511" t="n">
        <f aca="false">IF(INT(Q$6/$X57)*$X$7&gt;Q56*($X$7+$Z57)*$Y57,Q56*($X$7+$Z57)-SUM($B58:P58),INT(Q$6/$X57)*$X$7-Q56*($X$7+$Z57)*($Y57-1)-SUM($B58:P58))+IF($Y57&gt;1,IF(INT(Q$6/$X57)&gt;0,$Z57-$AA57,0),-$AA57)</f>
        <v>0</v>
      </c>
      <c r="R58" s="511" t="n">
        <f aca="false">IF(INT(R$6/$X57)*$X$7&gt;R56*($X$7+$Z57)*$Y57,R56*($X$7+$Z57)-SUM($B58:Q58),INT(R$6/$X57)*$X$7-R56*($X$7+$Z57)*($Y57-1)-SUM($B58:Q58))+IF($Y57&gt;1,IF(INT(R$6/$X57)&gt;0,$Z57-$AA57,0),-$AA57)</f>
        <v>0</v>
      </c>
      <c r="S58" s="511" t="n">
        <f aca="false">IF(INT(S$6/$X57)*$X$7&gt;S56*($X$7+$Z57)*$Y57,S56*($X$7+$Z57)-SUM($B58:R58),INT(S$6/$X57)*$X$7-S56*($X$7+$Z57)*($Y57-1)-SUM($B58:R58))+IF($Y57&gt;1,IF(INT(S$6/$X57)&gt;0,$Z57-$AA57,0),-$AA57)</f>
        <v>0</v>
      </c>
      <c r="T58" s="511" t="n">
        <f aca="false">IF(INT(T$6/$X57)*$X$7&gt;T56*($X$7+$Z57)*$Y57,T56*($X$7+$Z57)-SUM($B58:S58),INT(T$6/$X57)*$X$7-T56*($X$7+$Z57)*($Y57-1)-SUM($B58:S58))+IF($Y57&gt;1,IF(INT(T$6/$X57)&gt;0,$Z57-$AA57,0),-$AA57)</f>
        <v>0</v>
      </c>
      <c r="U58" s="511" t="n">
        <f aca="false">IF(INT(U$6/$X57)*$X$7&gt;U56*($X$7+$Z57)*$Y57,U56*($X$7+$Z57)-SUM($B58:T58),INT(U$6/$X57)*$X$7-U56*($X$7+$Z57)*($Y57-1)-SUM($B58:T58))+IF($Y57&gt;1,IF(INT(U$6/$X57)&gt;0,$Z57-$AA57,0),-$AA57)</f>
        <v>0</v>
      </c>
      <c r="V58" s="511" t="n">
        <f aca="false">IF(INT(V$6/$X57)*$X$7&gt;V56*($X$7+$Z57)*$Y57,V56*($X$7+$Z57)-SUM($B58:U58),INT(V$6/$X57)*$X$7-V56*($X$7+$Z57)*($Y57-1)-SUM($B58:U58))+IF($Y57&gt;1,IF(INT(V$6/$X57)&gt;0,$Z57-$AA57,0),-$AA57)</f>
        <v>0</v>
      </c>
      <c r="W58" s="803"/>
      <c r="AA58" s="157"/>
      <c r="AB58" s="157"/>
    </row>
    <row r="59" customFormat="false" ht="12.75" hidden="false" customHeight="false" outlineLevel="0" collapsed="false">
      <c r="A59" s="157"/>
      <c r="B59" s="518"/>
      <c r="C59" s="518"/>
      <c r="D59" s="518"/>
      <c r="E59" s="518"/>
      <c r="F59" s="518"/>
      <c r="G59" s="518"/>
      <c r="H59" s="518"/>
      <c r="I59" s="518"/>
      <c r="J59" s="518"/>
      <c r="K59" s="518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785"/>
      <c r="X59" s="157"/>
      <c r="Y59" s="157"/>
      <c r="Z59" s="157"/>
      <c r="AA59" s="157"/>
      <c r="AB59" s="157"/>
    </row>
    <row r="60" customFormat="false" ht="12.75" hidden="true" customHeight="false" outlineLevel="0" collapsed="false">
      <c r="A60" s="153" t="s">
        <v>1395</v>
      </c>
      <c r="B60" s="511"/>
      <c r="C60" s="153" t="n">
        <f aca="false">INT((INT(C$6/$X61)*$X$7+$X$7+$Z61-1)/($X$7+$Z61)/$Y61)</f>
        <v>0</v>
      </c>
      <c r="D60" s="153" t="n">
        <f aca="false">INT((INT(D$6/$X61)*$X$7+$X$7+$Z61-1)/($X$7+$Z61)/$Y61)</f>
        <v>0</v>
      </c>
      <c r="E60" s="153" t="n">
        <f aca="false">INT((INT(E$6/$X61)*$X$7+$X$7+$Z61-1)/($X$7+$Z61)/$Y61)</f>
        <v>0</v>
      </c>
      <c r="F60" s="153" t="n">
        <f aca="false">INT((INT(F$6/$X61)*$X$7+$X$7+$Z61-1)/($X$7+$Z61)/$Y61)</f>
        <v>0</v>
      </c>
      <c r="G60" s="153" t="n">
        <f aca="false">INT((INT(G$6/$X61)*$X$7+$X$7+$Z61-1)/($X$7+$Z61)/$Y61)</f>
        <v>0</v>
      </c>
      <c r="H60" s="153" t="n">
        <f aca="false">INT((INT(H$6/$X61)*$X$7+$X$7+$Z61-1)/($X$7+$Z61)/$Y61)</f>
        <v>0</v>
      </c>
      <c r="I60" s="153" t="n">
        <f aca="false">INT((INT(I$6/$X61)*$X$7+$X$7+$Z61-1)/($X$7+$Z61)/$Y61)</f>
        <v>0</v>
      </c>
      <c r="J60" s="153" t="n">
        <f aca="false">INT((INT(J$6/$X61)*$X$7+$X$7+$Z61-1)/($X$7+$Z61)/$Y61)</f>
        <v>0</v>
      </c>
      <c r="K60" s="153" t="n">
        <f aca="false">INT((INT(K$6/$X61)*$X$7+$X$7+$Z61-1)/($X$7+$Z61)/$Y61)</f>
        <v>0</v>
      </c>
      <c r="L60" s="153" t="n">
        <f aca="false">INT((INT(L$6/$X61)*$X$7+$X$7+$Z61-1)/($X$7+$Z61)/$Y61)</f>
        <v>0</v>
      </c>
      <c r="M60" s="153" t="n">
        <f aca="false">INT((INT(M$6/$X61)*$X$7+$X$7+$Z61-1)/($X$7+$Z61)/$Y61)</f>
        <v>0</v>
      </c>
      <c r="N60" s="153" t="n">
        <f aca="false">INT((INT(N$6/$X61)*$X$7+$X$7+$Z61-1)/($X$7+$Z61)/$Y61)</f>
        <v>0</v>
      </c>
      <c r="O60" s="153" t="n">
        <f aca="false">INT((INT(O$6/$X61)*$X$7+$X$7+$Z61-1)/($X$7+$Z61)/$Y61)</f>
        <v>0</v>
      </c>
      <c r="P60" s="153" t="n">
        <f aca="false">INT((INT(P$6/$X61)*$X$7+$X$7+$Z61-1)/($X$7+$Z61)/$Y61)</f>
        <v>0</v>
      </c>
      <c r="Q60" s="153" t="n">
        <f aca="false">INT((INT(Q$6/$X61)*$X$7+$X$7+$Z61-1)/($X$7+$Z61)/$Y61)</f>
        <v>0</v>
      </c>
      <c r="R60" s="153" t="n">
        <f aca="false">INT((INT(R$6/$X61)*$X$7+$X$7+$Z61-1)/($X$7+$Z61)/$Y61)</f>
        <v>0</v>
      </c>
      <c r="S60" s="153" t="n">
        <f aca="false">INT((INT(S$6/$X61)*$X$7+$X$7+$Z61-1)/($X$7+$Z61)/$Y61)</f>
        <v>0</v>
      </c>
      <c r="T60" s="153" t="n">
        <f aca="false">INT((INT(T$6/$X61)*$X$7+$X$7+$Z61-1)/($X$7+$Z61)/$Y61)</f>
        <v>0</v>
      </c>
      <c r="U60" s="153" t="n">
        <f aca="false">INT((INT(U$6/$X61)*$X$7+$X$7+$Z61-1)/($X$7+$Z61)/$Y61)</f>
        <v>0</v>
      </c>
      <c r="V60" s="153" t="n">
        <f aca="false">INT((INT(V$6/$X61)*$X$7+$X$7+$Z61-1)/($X$7+$Z61)/$Y61)</f>
        <v>0</v>
      </c>
      <c r="W60" s="157"/>
      <c r="X60" s="157"/>
      <c r="Y60" s="157"/>
      <c r="Z60" s="157"/>
      <c r="AA60" s="157"/>
      <c r="AB60" s="157"/>
    </row>
    <row r="61" customFormat="false" ht="12.75" hidden="false" customHeight="false" outlineLevel="0" collapsed="false">
      <c r="A61" s="153" t="s">
        <v>1396</v>
      </c>
      <c r="B61" s="511" t="s">
        <v>1007</v>
      </c>
      <c r="C61" s="511" t="n">
        <f aca="false">IF($Y61=1,0,$X$7*(INT(C$6/$X61)-INT(B$6/$X61))-IF(SUM($B61:B61)&gt;0,C62,0))</f>
        <v>0</v>
      </c>
      <c r="D61" s="511" t="n">
        <f aca="false">IF($Y61=1,0,$X$7*(INT(D$6/$X61)-INT(C$6/$X61))-IF(SUM($B61:C61)&gt;0,D62,0))</f>
        <v>0</v>
      </c>
      <c r="E61" s="511" t="n">
        <f aca="false">IF($Y61=1,0,$X$7*(INT(E$6/$X61)-INT(D$6/$X61))-IF(SUM($B61:D61)&gt;0,E62,0))</f>
        <v>0</v>
      </c>
      <c r="F61" s="511" t="n">
        <f aca="false">IF($Y61=1,0,$X$7*(INT(F$6/$X61)-INT(E$6/$X61))-IF(SUM($B61:E61)&gt;0,F62,0))</f>
        <v>0</v>
      </c>
      <c r="G61" s="511" t="n">
        <f aca="false">IF($Y61=1,0,$X$7*(INT(G$6/$X61)-INT(F$6/$X61))-IF(SUM($B61:F61)&gt;0,G62,0))</f>
        <v>0</v>
      </c>
      <c r="H61" s="511" t="n">
        <f aca="false">IF($Y61=1,0,$X$7*(INT(H$6/$X61)-INT(G$6/$X61))-IF(SUM($B61:G61)&gt;0,H62,0))</f>
        <v>0</v>
      </c>
      <c r="I61" s="511" t="n">
        <f aca="false">IF($Y61=1,0,$X$7*(INT(I$6/$X61)-INT(H$6/$X61))-IF(SUM($B61:H61)&gt;0,I62,0))</f>
        <v>0</v>
      </c>
      <c r="J61" s="511" t="n">
        <f aca="false">IF($Y61=1,0,$X$7*(INT(J$6/$X61)-INT(I$6/$X61))-IF(SUM($B61:I61)&gt;0,J62,0))</f>
        <v>0</v>
      </c>
      <c r="K61" s="511" t="n">
        <f aca="false">IF($Y61=1,0,$X$7*(INT(K$6/$X61)-INT(J$6/$X61))-IF(SUM($B61:J61)&gt;0,K62,0))</f>
        <v>0</v>
      </c>
      <c r="L61" s="511" t="n">
        <f aca="false">IF($Y61=1,0,$X$7*(INT(L$6/$X61)-INT(K$6/$X61))-IF(SUM($B61:K61)&gt;0,L62,0))</f>
        <v>0</v>
      </c>
      <c r="M61" s="511" t="n">
        <f aca="false">IF($Y61=1,0,$X$7*(INT(M$6/$X61)-INT(L$6/$X61))-IF(SUM($B61:L61)&gt;0,M62,0))</f>
        <v>0</v>
      </c>
      <c r="N61" s="511" t="n">
        <f aca="false">IF($Y61=1,0,$X$7*(INT(N$6/$X61)-INT(M$6/$X61))-IF(SUM($B61:M61)&gt;0,N62,0))</f>
        <v>0</v>
      </c>
      <c r="O61" s="511" t="n">
        <f aca="false">IF($Y61=1,0,$X$7*(INT(O$6/$X61)-INT(N$6/$X61))-IF(SUM($B61:N61)&gt;0,O62,0))</f>
        <v>0</v>
      </c>
      <c r="P61" s="511" t="n">
        <f aca="false">IF($Y61=1,0,$X$7*(INT(P$6/$X61)-INT(O$6/$X61))-IF(SUM($B61:O61)&gt;0,P62,0))</f>
        <v>0</v>
      </c>
      <c r="Q61" s="511" t="n">
        <f aca="false">IF($Y61=1,0,$X$7*(INT(Q$6/$X61)-INT(P$6/$X61))-IF(SUM($B61:P61)&gt;0,Q62,0))</f>
        <v>0</v>
      </c>
      <c r="R61" s="511" t="n">
        <f aca="false">IF($Y61=1,0,$X$7*(INT(R$6/$X61)-INT(Q$6/$X61))-IF(SUM($B61:Q61)&gt;0,R62,0))</f>
        <v>0</v>
      </c>
      <c r="S61" s="511" t="n">
        <f aca="false">IF($Y61=1,0,$X$7*(INT(S$6/$X61)-INT(R$6/$X61))-IF(SUM($B61:R61)&gt;0,S62,0))</f>
        <v>0</v>
      </c>
      <c r="T61" s="511" t="n">
        <f aca="false">IF($Y61=1,0,$X$7*(INT(T$6/$X61)-INT(S$6/$X61))-IF(SUM($B61:S61)&gt;0,T62,0))</f>
        <v>0</v>
      </c>
      <c r="U61" s="511" t="n">
        <f aca="false">IF($Y61=1,0,$X$7*(INT(U$6/$X61)-INT(T$6/$X61))-IF(SUM($B61:T61)&gt;0,U62,0))</f>
        <v>0</v>
      </c>
      <c r="V61" s="511" t="n">
        <f aca="false">IF($Y61=1,0,$X$7*(INT(V$6/$X61)-INT(U$6/$X61))-IF(SUM($B61:U61)&gt;0,V62,0))</f>
        <v>0</v>
      </c>
      <c r="W61" s="800" t="str">
        <f aca="false">'GT schd cost(7EA)'!A24</f>
        <v>1st Stage Shroud Blocks </v>
      </c>
      <c r="X61" s="800" t="n">
        <f aca="false">IF($AD$6=1,'GTDB(7EA)'!B27,'GTDB(7EA)'!G27)</f>
        <v>24000</v>
      </c>
      <c r="Y61" s="800" t="n">
        <f aca="false">IF($AD$6=1,'GTDB(7EA)'!C27,'GTDB(7EA)'!H27)</f>
        <v>2</v>
      </c>
      <c r="Z61" s="801" t="n">
        <v>1</v>
      </c>
      <c r="AA61" s="805" t="n">
        <f aca="false">'Initial_Spares(7EA) '!$E$21</f>
        <v>0</v>
      </c>
      <c r="AB61" s="764" t="n">
        <f aca="false">'GT schd cost(7EA)'!X24+'GT schd cost(7EA)'!X47</f>
        <v>0</v>
      </c>
    </row>
    <row r="62" customFormat="false" ht="12.75" hidden="false" customHeight="false" outlineLevel="0" collapsed="false">
      <c r="A62" s="153" t="s">
        <v>1397</v>
      </c>
      <c r="B62" s="511" t="s">
        <v>1007</v>
      </c>
      <c r="C62" s="511" t="n">
        <f aca="false">IF(INT(C$6/$X61)*$X$7&gt;C60*($X$7+$Z61)*$Y61,C60*($X$7+$Z61)-SUM($B62:B62),INT(C$6/$X61)*$X$7-C60*($X$7+$Z61)*($Y61-1)-SUM($B62:B62))+IF($Y61&gt;1,IF(INT(C$6/$X61)&gt;0,$Z61-$AA61,0),-$AA61)</f>
        <v>0</v>
      </c>
      <c r="D62" s="511" t="n">
        <f aca="false">IF(INT(D$6/$X61)*$X$7&gt;D60*($X$7+$Z61)*$Y61,D60*($X$7+$Z61)-SUM($B62:C62),INT(D$6/$X61)*$X$7-D60*($X$7+$Z61)*($Y61-1)-SUM($B62:C62))+IF($Y61&gt;1,IF(INT(D$6/$X61)&gt;0,$Z61-$AA61,0),-$AA61)</f>
        <v>0</v>
      </c>
      <c r="E62" s="511" t="n">
        <f aca="false">IF(INT(E$6/$X61)*$X$7&gt;E60*($X$7+$Z61)*$Y61,E60*($X$7+$Z61)-SUM($B62:D62),INT(E$6/$X61)*$X$7-E60*($X$7+$Z61)*($Y61-1)-SUM($B62:D62))+IF($Y61&gt;1,IF(INT(E$6/$X61)&gt;0,$Z61-$AA61,0),-$AA61)</f>
        <v>0</v>
      </c>
      <c r="F62" s="511" t="n">
        <f aca="false">IF(INT(F$6/$X61)*$X$7&gt;F60*($X$7+$Z61)*$Y61,F60*($X$7+$Z61)-SUM($B62:E62),INT(F$6/$X61)*$X$7-F60*($X$7+$Z61)*($Y61-1)-SUM($B62:E62))+IF($Y61&gt;1,IF(INT(F$6/$X61)&gt;0,$Z61-$AA61,0),-$AA61)</f>
        <v>0</v>
      </c>
      <c r="G62" s="511" t="n">
        <f aca="false">IF(INT(G$6/$X61)*$X$7&gt;G60*($X$7+$Z61)*$Y61,G60*($X$7+$Z61)-SUM($B62:F62),INT(G$6/$X61)*$X$7-G60*($X$7+$Z61)*($Y61-1)-SUM($B62:F62))+IF($Y61&gt;1,IF(INT(G$6/$X61)&gt;0,$Z61-$AA61,0),-$AA61)</f>
        <v>0</v>
      </c>
      <c r="H62" s="511" t="n">
        <f aca="false">IF(INT(H$6/$X61)*$X$7&gt;H60*($X$7+$Z61)*$Y61,H60*($X$7+$Z61)-SUM($B62:G62),INT(H$6/$X61)*$X$7-H60*($X$7+$Z61)*($Y61-1)-SUM($B62:G62))+IF($Y61&gt;1,IF(INT(H$6/$X61)&gt;0,$Z61-$AA61,0),-$AA61)</f>
        <v>0</v>
      </c>
      <c r="I62" s="511" t="n">
        <f aca="false">IF(INT(I$6/$X61)*$X$7&gt;I60*($X$7+$Z61)*$Y61,I60*($X$7+$Z61)-SUM($B62:H62),INT(I$6/$X61)*$X$7-I60*($X$7+$Z61)*($Y61-1)-SUM($B62:H62))+IF($Y61&gt;1,IF(INT(I$6/$X61)&gt;0,$Z61-$AA61,0),-$AA61)</f>
        <v>0</v>
      </c>
      <c r="J62" s="511" t="n">
        <f aca="false">IF(INT(J$6/$X61)*$X$7&gt;J60*($X$7+$Z61)*$Y61,J60*($X$7+$Z61)-SUM($B62:I62),INT(J$6/$X61)*$X$7-J60*($X$7+$Z61)*($Y61-1)-SUM($B62:I62))+IF($Y61&gt;1,IF(INT(J$6/$X61)&gt;0,$Z61-$AA61,0),-$AA61)</f>
        <v>0</v>
      </c>
      <c r="K62" s="511" t="n">
        <f aca="false">IF(INT(K$6/$X61)*$X$7&gt;K60*($X$7+$Z61)*$Y61,K60*($X$7+$Z61)-SUM($B62:J62),INT(K$6/$X61)*$X$7-K60*($X$7+$Z61)*($Y61-1)-SUM($B62:J62))+IF($Y61&gt;1,IF(INT(K$6/$X61)&gt;0,$Z61-$AA61,0),-$AA61)</f>
        <v>0</v>
      </c>
      <c r="L62" s="511" t="n">
        <f aca="false">IF(INT(L$6/$X61)*$X$7&gt;L60*($X$7+$Z61)*$Y61,L60*($X$7+$Z61)-SUM($B62:K62),INT(L$6/$X61)*$X$7-L60*($X$7+$Z61)*($Y61-1)-SUM($B62:K62))+IF($Y61&gt;1,IF(INT(L$6/$X61)&gt;0,$Z61-$AA61,0),-$AA61)</f>
        <v>0</v>
      </c>
      <c r="M62" s="511" t="n">
        <f aca="false">IF(INT(M$6/$X61)*$X$7&gt;M60*($X$7+$Z61)*$Y61,M60*($X$7+$Z61)-SUM($B62:L62),INT(M$6/$X61)*$X$7-M60*($X$7+$Z61)*($Y61-1)-SUM($B62:L62))+IF($Y61&gt;1,IF(INT(M$6/$X61)&gt;0,$Z61-$AA61,0),-$AA61)</f>
        <v>0</v>
      </c>
      <c r="N62" s="511" t="n">
        <f aca="false">IF(INT(N$6/$X61)*$X$7&gt;N60*($X$7+$Z61)*$Y61,N60*($X$7+$Z61)-SUM($B62:M62),INT(N$6/$X61)*$X$7-N60*($X$7+$Z61)*($Y61-1)-SUM($B62:M62))+IF($Y61&gt;1,IF(INT(N$6/$X61)&gt;0,$Z61-$AA61,0),-$AA61)</f>
        <v>0</v>
      </c>
      <c r="O62" s="511" t="n">
        <f aca="false">IF(INT(O$6/$X61)*$X$7&gt;O60*($X$7+$Z61)*$Y61,O60*($X$7+$Z61)-SUM($B62:N62),INT(O$6/$X61)*$X$7-O60*($X$7+$Z61)*($Y61-1)-SUM($B62:N62))+IF($Y61&gt;1,IF(INT(O$6/$X61)&gt;0,$Z61-$AA61,0),-$AA61)</f>
        <v>0</v>
      </c>
      <c r="P62" s="511" t="n">
        <f aca="false">IF(INT(P$6/$X61)*$X$7&gt;P60*($X$7+$Z61)*$Y61,P60*($X$7+$Z61)-SUM($B62:O62),INT(P$6/$X61)*$X$7-P60*($X$7+$Z61)*($Y61-1)-SUM($B62:O62))+IF($Y61&gt;1,IF(INT(P$6/$X61)&gt;0,$Z61-$AA61,0),-$AA61)</f>
        <v>0</v>
      </c>
      <c r="Q62" s="511" t="n">
        <f aca="false">IF(INT(Q$6/$X61)*$X$7&gt;Q60*($X$7+$Z61)*$Y61,Q60*($X$7+$Z61)-SUM($B62:P62),INT(Q$6/$X61)*$X$7-Q60*($X$7+$Z61)*($Y61-1)-SUM($B62:P62))+IF($Y61&gt;1,IF(INT(Q$6/$X61)&gt;0,$Z61-$AA61,0),-$AA61)</f>
        <v>0</v>
      </c>
      <c r="R62" s="511" t="n">
        <f aca="false">IF(INT(R$6/$X61)*$X$7&gt;R60*($X$7+$Z61)*$Y61,R60*($X$7+$Z61)-SUM($B62:Q62),INT(R$6/$X61)*$X$7-R60*($X$7+$Z61)*($Y61-1)-SUM($B62:Q62))+IF($Y61&gt;1,IF(INT(R$6/$X61)&gt;0,$Z61-$AA61,0),-$AA61)</f>
        <v>0</v>
      </c>
      <c r="S62" s="511" t="n">
        <f aca="false">IF(INT(S$6/$X61)*$X$7&gt;S60*($X$7+$Z61)*$Y61,S60*($X$7+$Z61)-SUM($B62:R62),INT(S$6/$X61)*$X$7-S60*($X$7+$Z61)*($Y61-1)-SUM($B62:R62))+IF($Y61&gt;1,IF(INT(S$6/$X61)&gt;0,$Z61-$AA61,0),-$AA61)</f>
        <v>0</v>
      </c>
      <c r="T62" s="511" t="n">
        <f aca="false">IF(INT(T$6/$X61)*$X$7&gt;T60*($X$7+$Z61)*$Y61,T60*($X$7+$Z61)-SUM($B62:S62),INT(T$6/$X61)*$X$7-T60*($X$7+$Z61)*($Y61-1)-SUM($B62:S62))+IF($Y61&gt;1,IF(INT(T$6/$X61)&gt;0,$Z61-$AA61,0),-$AA61)</f>
        <v>0</v>
      </c>
      <c r="U62" s="511" t="n">
        <f aca="false">IF(INT(U$6/$X61)*$X$7&gt;U60*($X$7+$Z61)*$Y61,U60*($X$7+$Z61)-SUM($B62:T62),INT(U$6/$X61)*$X$7-U60*($X$7+$Z61)*($Y61-1)-SUM($B62:T62))+IF($Y61&gt;1,IF(INT(U$6/$X61)&gt;0,$Z61-$AA61,0),-$AA61)</f>
        <v>0</v>
      </c>
      <c r="V62" s="511" t="n">
        <f aca="false">IF(INT(V$6/$X61)*$X$7&gt;V60*($X$7+$Z61)*$Y61,V60*($X$7+$Z61)-SUM($B62:U62),INT(V$6/$X61)*$X$7-V60*($X$7+$Z61)*($Y61-1)-SUM($B62:U62))+IF($Y61&gt;1,IF(INT(V$6/$X61)&gt;0,$Z61-$AA61,0),-$AA61)</f>
        <v>0</v>
      </c>
      <c r="W62" s="803"/>
      <c r="AA62" s="157"/>
      <c r="AB62" s="157"/>
    </row>
    <row r="63" customFormat="false" ht="12.75" hidden="false" customHeight="false" outlineLevel="0" collapsed="false">
      <c r="A63" s="157"/>
      <c r="B63" s="518"/>
      <c r="C63" s="518"/>
      <c r="D63" s="518"/>
      <c r="E63" s="518"/>
      <c r="F63" s="518"/>
      <c r="G63" s="518"/>
      <c r="H63" s="518"/>
      <c r="I63" s="518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785"/>
      <c r="X63" s="157"/>
      <c r="Y63" s="157"/>
      <c r="Z63" s="157"/>
      <c r="AA63" s="157"/>
      <c r="AB63" s="157"/>
    </row>
    <row r="64" customFormat="false" ht="12.75" hidden="true" customHeight="false" outlineLevel="0" collapsed="false">
      <c r="A64" s="153" t="s">
        <v>1395</v>
      </c>
      <c r="B64" s="511"/>
      <c r="C64" s="153" t="n">
        <f aca="false">INT((INT(C$6/$X65)*$X$7+$X$7+$Z65-1)/($X$7+$Z65)/$Y65)</f>
        <v>0</v>
      </c>
      <c r="D64" s="153" t="n">
        <f aca="false">INT((INT(D$6/$X65)*$X$7+$X$7+$Z65-1)/($X$7+$Z65)/$Y65)</f>
        <v>0</v>
      </c>
      <c r="E64" s="153" t="n">
        <f aca="false">INT((INT(E$6/$X65)*$X$7+$X$7+$Z65-1)/($X$7+$Z65)/$Y65)</f>
        <v>0</v>
      </c>
      <c r="F64" s="153" t="n">
        <f aca="false">INT((INT(F$6/$X65)*$X$7+$X$7+$Z65-1)/($X$7+$Z65)/$Y65)</f>
        <v>0</v>
      </c>
      <c r="G64" s="153" t="n">
        <f aca="false">INT((INT(G$6/$X65)*$X$7+$X$7+$Z65-1)/($X$7+$Z65)/$Y65)</f>
        <v>0</v>
      </c>
      <c r="H64" s="153" t="n">
        <f aca="false">INT((INT(H$6/$X65)*$X$7+$X$7+$Z65-1)/($X$7+$Z65)/$Y65)</f>
        <v>0</v>
      </c>
      <c r="I64" s="153" t="n">
        <f aca="false">INT((INT(I$6/$X65)*$X$7+$X$7+$Z65-1)/($X$7+$Z65)/$Y65)</f>
        <v>0</v>
      </c>
      <c r="J64" s="153" t="n">
        <f aca="false">INT((INT(J$6/$X65)*$X$7+$X$7+$Z65-1)/($X$7+$Z65)/$Y65)</f>
        <v>0</v>
      </c>
      <c r="K64" s="153" t="n">
        <f aca="false">INT((INT(K$6/$X65)*$X$7+$X$7+$Z65-1)/($X$7+$Z65)/$Y65)</f>
        <v>0</v>
      </c>
      <c r="L64" s="153" t="n">
        <f aca="false">INT((INT(L$6/$X65)*$X$7+$X$7+$Z65-1)/($X$7+$Z65)/$Y65)</f>
        <v>0</v>
      </c>
      <c r="M64" s="153" t="n">
        <f aca="false">INT((INT(M$6/$X65)*$X$7+$X$7+$Z65-1)/($X$7+$Z65)/$Y65)</f>
        <v>0</v>
      </c>
      <c r="N64" s="153" t="n">
        <f aca="false">INT((INT(N$6/$X65)*$X$7+$X$7+$Z65-1)/($X$7+$Z65)/$Y65)</f>
        <v>0</v>
      </c>
      <c r="O64" s="153" t="n">
        <f aca="false">INT((INT(O$6/$X65)*$X$7+$X$7+$Z65-1)/($X$7+$Z65)/$Y65)</f>
        <v>0</v>
      </c>
      <c r="P64" s="153" t="n">
        <f aca="false">INT((INT(P$6/$X65)*$X$7+$X$7+$Z65-1)/($X$7+$Z65)/$Y65)</f>
        <v>0</v>
      </c>
      <c r="Q64" s="153" t="n">
        <f aca="false">INT((INT(Q$6/$X65)*$X$7+$X$7+$Z65-1)/($X$7+$Z65)/$Y65)</f>
        <v>0</v>
      </c>
      <c r="R64" s="153" t="n">
        <f aca="false">INT((INT(R$6/$X65)*$X$7+$X$7+$Z65-1)/($X$7+$Z65)/$Y65)</f>
        <v>0</v>
      </c>
      <c r="S64" s="153" t="n">
        <f aca="false">INT((INT(S$6/$X65)*$X$7+$X$7+$Z65-1)/($X$7+$Z65)/$Y65)</f>
        <v>0</v>
      </c>
      <c r="T64" s="153" t="n">
        <f aca="false">INT((INT(T$6/$X65)*$X$7+$X$7+$Z65-1)/($X$7+$Z65)/$Y65)</f>
        <v>0</v>
      </c>
      <c r="U64" s="153" t="n">
        <f aca="false">INT((INT(U$6/$X65)*$X$7+$X$7+$Z65-1)/($X$7+$Z65)/$Y65)</f>
        <v>0</v>
      </c>
      <c r="V64" s="153" t="n">
        <f aca="false">INT((INT(V$6/$X65)*$X$7+$X$7+$Z65-1)/($X$7+$Z65)/$Y65)</f>
        <v>0</v>
      </c>
      <c r="W64" s="157"/>
      <c r="X64" s="157"/>
      <c r="Y64" s="157"/>
      <c r="Z64" s="157"/>
      <c r="AA64" s="157"/>
      <c r="AB64" s="157"/>
    </row>
    <row r="65" customFormat="false" ht="12.75" hidden="false" customHeight="false" outlineLevel="0" collapsed="false">
      <c r="A65" s="153" t="s">
        <v>1396</v>
      </c>
      <c r="B65" s="511" t="s">
        <v>1007</v>
      </c>
      <c r="C65" s="511" t="n">
        <f aca="false">IF($Y65=1,0,$X$7*(INT(C$6/$X65)-INT(B$6/$X65))-IF(SUM($B65:B65)&gt;0,C66,0))</f>
        <v>0</v>
      </c>
      <c r="D65" s="511" t="n">
        <f aca="false">IF($Y65=1,0,$X$7*(INT(D$6/$X65)-INT(C$6/$X65))-IF(SUM($B65:C65)&gt;0,D66,0))</f>
        <v>0</v>
      </c>
      <c r="E65" s="511" t="n">
        <f aca="false">IF($Y65=1,0,$X$7*(INT(E$6/$X65)-INT(D$6/$X65))-IF(SUM($B65:D65)&gt;0,E66,0))</f>
        <v>0</v>
      </c>
      <c r="F65" s="511" t="n">
        <f aca="false">IF($Y65=1,0,$X$7*(INT(F$6/$X65)-INT(E$6/$X65))-IF(SUM($B65:E65)&gt;0,F66,0))</f>
        <v>0</v>
      </c>
      <c r="G65" s="511" t="n">
        <f aca="false">IF($Y65=1,0,$X$7*(INT(G$6/$X65)-INT(F$6/$X65))-IF(SUM($B65:F65)&gt;0,G66,0))</f>
        <v>0</v>
      </c>
      <c r="H65" s="511" t="n">
        <f aca="false">IF($Y65=1,0,$X$7*(INT(H$6/$X65)-INT(G$6/$X65))-IF(SUM($B65:G65)&gt;0,H66,0))</f>
        <v>0</v>
      </c>
      <c r="I65" s="511" t="n">
        <f aca="false">IF($Y65=1,0,$X$7*(INT(I$6/$X65)-INT(H$6/$X65))-IF(SUM($B65:H65)&gt;0,I66,0))</f>
        <v>0</v>
      </c>
      <c r="J65" s="511" t="n">
        <f aca="false">IF($Y65=1,0,$X$7*(INT(J$6/$X65)-INT(I$6/$X65))-IF(SUM($B65:I65)&gt;0,J66,0))</f>
        <v>0</v>
      </c>
      <c r="K65" s="511" t="n">
        <f aca="false">IF($Y65=1,0,$X$7*(INT(K$6/$X65)-INT(J$6/$X65))-IF(SUM($B65:J65)&gt;0,K66,0))</f>
        <v>0</v>
      </c>
      <c r="L65" s="511" t="n">
        <f aca="false">IF($Y65=1,0,$X$7*(INT(L$6/$X65)-INT(K$6/$X65))-IF(SUM($B65:K65)&gt;0,L66,0))</f>
        <v>0</v>
      </c>
      <c r="M65" s="511" t="n">
        <f aca="false">IF($Y65=1,0,$X$7*(INT(M$6/$X65)-INT(L$6/$X65))-IF(SUM($B65:L65)&gt;0,M66,0))</f>
        <v>0</v>
      </c>
      <c r="N65" s="511" t="n">
        <f aca="false">IF($Y65=1,0,$X$7*(INT(N$6/$X65)-INT(M$6/$X65))-IF(SUM($B65:M65)&gt;0,N66,0))</f>
        <v>0</v>
      </c>
      <c r="O65" s="511" t="n">
        <f aca="false">IF($Y65=1,0,$X$7*(INT(O$6/$X65)-INT(N$6/$X65))-IF(SUM($B65:N65)&gt;0,O66,0))</f>
        <v>0</v>
      </c>
      <c r="P65" s="511" t="n">
        <f aca="false">IF($Y65=1,0,$X$7*(INT(P$6/$X65)-INT(O$6/$X65))-IF(SUM($B65:O65)&gt;0,P66,0))</f>
        <v>0</v>
      </c>
      <c r="Q65" s="511" t="n">
        <f aca="false">IF($Y65=1,0,$X$7*(INT(Q$6/$X65)-INT(P$6/$X65))-IF(SUM($B65:P65)&gt;0,Q66,0))</f>
        <v>0</v>
      </c>
      <c r="R65" s="511" t="n">
        <f aca="false">IF($Y65=1,0,$X$7*(INT(R$6/$X65)-INT(Q$6/$X65))-IF(SUM($B65:Q65)&gt;0,R66,0))</f>
        <v>0</v>
      </c>
      <c r="S65" s="511" t="n">
        <f aca="false">IF($Y65=1,0,$X$7*(INT(S$6/$X65)-INT(R$6/$X65))-IF(SUM($B65:R65)&gt;0,S66,0))</f>
        <v>0</v>
      </c>
      <c r="T65" s="511" t="n">
        <f aca="false">IF($Y65=1,0,$X$7*(INT(T$6/$X65)-INT(S$6/$X65))-IF(SUM($B65:S65)&gt;0,T66,0))</f>
        <v>0</v>
      </c>
      <c r="U65" s="511" t="n">
        <f aca="false">IF($Y65=1,0,$X$7*(INT(U$6/$X65)-INT(T$6/$X65))-IF(SUM($B65:T65)&gt;0,U66,0))</f>
        <v>0</v>
      </c>
      <c r="V65" s="511" t="n">
        <f aca="false">IF($Y65=1,0,$X$7*(INT(V$6/$X65)-INT(U$6/$X65))-IF(SUM($B65:U65)&gt;0,V66,0))</f>
        <v>0</v>
      </c>
      <c r="W65" s="799" t="str">
        <f aca="false">'GT schd cost(7EA)'!A25</f>
        <v>2nd Stage Shroud Blocks</v>
      </c>
      <c r="X65" s="800" t="n">
        <f aca="false">IF($AD$6=1,'GTDB(7EA)'!B28,'GTDB(7EA)'!G28)</f>
        <v>24000</v>
      </c>
      <c r="Y65" s="800" t="n">
        <f aca="false">IF($AD$6=1,'GTDB(7EA)'!C28,'GTDB(7EA)'!H28)</f>
        <v>3</v>
      </c>
      <c r="Z65" s="801" t="n">
        <v>1</v>
      </c>
      <c r="AA65" s="805" t="n">
        <f aca="false">'Initial_Spares(7EA) '!$E$22</f>
        <v>0</v>
      </c>
      <c r="AB65" s="764" t="n">
        <f aca="false">'GT schd cost(7EA)'!X25+'GT schd cost(7EA)'!X48</f>
        <v>0</v>
      </c>
    </row>
    <row r="66" customFormat="false" ht="12.75" hidden="false" customHeight="false" outlineLevel="0" collapsed="false">
      <c r="A66" s="153" t="s">
        <v>1397</v>
      </c>
      <c r="B66" s="511" t="s">
        <v>1007</v>
      </c>
      <c r="C66" s="511" t="n">
        <f aca="false">IF(INT(C$6/$X65)*$X$7&gt;C64*($X$7+$Z65)*$Y65,C64*($X$7+$Z65)-SUM($B66:B66),INT(C$6/$X65)*$X$7-C64*($X$7+$Z65)*($Y65-1)-SUM($B66:B66))+IF($Y65&gt;1,IF(INT(C$6/$X65)&gt;0,$Z65-$AA65,0),-$AA65)</f>
        <v>0</v>
      </c>
      <c r="D66" s="511" t="n">
        <f aca="false">IF(INT(D$6/$X65)*$X$7&gt;D64*($X$7+$Z65)*$Y65,D64*($X$7+$Z65)-SUM($B66:C66),INT(D$6/$X65)*$X$7-D64*($X$7+$Z65)*($Y65-1)-SUM($B66:C66))+IF($Y65&gt;1,IF(INT(D$6/$X65)&gt;0,$Z65-$AA65,0),-$AA65)</f>
        <v>0</v>
      </c>
      <c r="E66" s="511" t="n">
        <f aca="false">IF(INT(E$6/$X65)*$X$7&gt;E64*($X$7+$Z65)*$Y65,E64*($X$7+$Z65)-SUM($B66:D66),INT(E$6/$X65)*$X$7-E64*($X$7+$Z65)*($Y65-1)-SUM($B66:D66))+IF($Y65&gt;1,IF(INT(E$6/$X65)&gt;0,$Z65-$AA65,0),-$AA65)</f>
        <v>0</v>
      </c>
      <c r="F66" s="511" t="n">
        <f aca="false">IF(INT(F$6/$X65)*$X$7&gt;F64*($X$7+$Z65)*$Y65,F64*($X$7+$Z65)-SUM($B66:E66),INT(F$6/$X65)*$X$7-F64*($X$7+$Z65)*($Y65-1)-SUM($B66:E66))+IF($Y65&gt;1,IF(INT(F$6/$X65)&gt;0,$Z65-$AA65,0),-$AA65)</f>
        <v>0</v>
      </c>
      <c r="G66" s="511" t="n">
        <f aca="false">IF(INT(G$6/$X65)*$X$7&gt;G64*($X$7+$Z65)*$Y65,G64*($X$7+$Z65)-SUM($B66:F66),INT(G$6/$X65)*$X$7-G64*($X$7+$Z65)*($Y65-1)-SUM($B66:F66))+IF($Y65&gt;1,IF(INT(G$6/$X65)&gt;0,$Z65-$AA65,0),-$AA65)</f>
        <v>0</v>
      </c>
      <c r="H66" s="511" t="n">
        <f aca="false">IF(INT(H$6/$X65)*$X$7&gt;H64*($X$7+$Z65)*$Y65,H64*($X$7+$Z65)-SUM($B66:G66),INT(H$6/$X65)*$X$7-H64*($X$7+$Z65)*($Y65-1)-SUM($B66:G66))+IF($Y65&gt;1,IF(INT(H$6/$X65)&gt;0,$Z65-$AA65,0),-$AA65)</f>
        <v>0</v>
      </c>
      <c r="I66" s="511" t="n">
        <f aca="false">IF(INT(I$6/$X65)*$X$7&gt;I64*($X$7+$Z65)*$Y65,I64*($X$7+$Z65)-SUM($B66:H66),INT(I$6/$X65)*$X$7-I64*($X$7+$Z65)*($Y65-1)-SUM($B66:H66))+IF($Y65&gt;1,IF(INT(I$6/$X65)&gt;0,$Z65-$AA65,0),-$AA65)</f>
        <v>0</v>
      </c>
      <c r="J66" s="511" t="n">
        <f aca="false">IF(INT(J$6/$X65)*$X$7&gt;J64*($X$7+$Z65)*$Y65,J64*($X$7+$Z65)-SUM($B66:I66),INT(J$6/$X65)*$X$7-J64*($X$7+$Z65)*($Y65-1)-SUM($B66:I66))+IF($Y65&gt;1,IF(INT(J$6/$X65)&gt;0,$Z65-$AA65,0),-$AA65)</f>
        <v>0</v>
      </c>
      <c r="K66" s="511" t="n">
        <f aca="false">IF(INT(K$6/$X65)*$X$7&gt;K64*($X$7+$Z65)*$Y65,K64*($X$7+$Z65)-SUM($B66:J66),INT(K$6/$X65)*$X$7-K64*($X$7+$Z65)*($Y65-1)-SUM($B66:J66))+IF($Y65&gt;1,IF(INT(K$6/$X65)&gt;0,$Z65-$AA65,0),-$AA65)</f>
        <v>0</v>
      </c>
      <c r="L66" s="511" t="n">
        <f aca="false">IF(INT(L$6/$X65)*$X$7&gt;L64*($X$7+$Z65)*$Y65,L64*($X$7+$Z65)-SUM($B66:K66),INT(L$6/$X65)*$X$7-L64*($X$7+$Z65)*($Y65-1)-SUM($B66:K66))+IF($Y65&gt;1,IF(INT(L$6/$X65)&gt;0,$Z65-$AA65,0),-$AA65)</f>
        <v>0</v>
      </c>
      <c r="M66" s="511" t="n">
        <f aca="false">IF(INT(M$6/$X65)*$X$7&gt;M64*($X$7+$Z65)*$Y65,M64*($X$7+$Z65)-SUM($B66:L66),INT(M$6/$X65)*$X$7-M64*($X$7+$Z65)*($Y65-1)-SUM($B66:L66))+IF($Y65&gt;1,IF(INT(M$6/$X65)&gt;0,$Z65-$AA65,0),-$AA65)</f>
        <v>0</v>
      </c>
      <c r="N66" s="511" t="n">
        <f aca="false">IF(INT(N$6/$X65)*$X$7&gt;N64*($X$7+$Z65)*$Y65,N64*($X$7+$Z65)-SUM($B66:M66),INT(N$6/$X65)*$X$7-N64*($X$7+$Z65)*($Y65-1)-SUM($B66:M66))+IF($Y65&gt;1,IF(INT(N$6/$X65)&gt;0,$Z65-$AA65,0),-$AA65)</f>
        <v>0</v>
      </c>
      <c r="O66" s="511" t="n">
        <f aca="false">IF(INT(O$6/$X65)*$X$7&gt;O64*($X$7+$Z65)*$Y65,O64*($X$7+$Z65)-SUM($B66:N66),INT(O$6/$X65)*$X$7-O64*($X$7+$Z65)*($Y65-1)-SUM($B66:N66))+IF($Y65&gt;1,IF(INT(O$6/$X65)&gt;0,$Z65-$AA65,0),-$AA65)</f>
        <v>0</v>
      </c>
      <c r="P66" s="511" t="n">
        <f aca="false">IF(INT(P$6/$X65)*$X$7&gt;P64*($X$7+$Z65)*$Y65,P64*($X$7+$Z65)-SUM($B66:O66),INT(P$6/$X65)*$X$7-P64*($X$7+$Z65)*($Y65-1)-SUM($B66:O66))+IF($Y65&gt;1,IF(INT(P$6/$X65)&gt;0,$Z65-$AA65,0),-$AA65)</f>
        <v>0</v>
      </c>
      <c r="Q66" s="511" t="n">
        <f aca="false">IF(INT(Q$6/$X65)*$X$7&gt;Q64*($X$7+$Z65)*$Y65,Q64*($X$7+$Z65)-SUM($B66:P66),INT(Q$6/$X65)*$X$7-Q64*($X$7+$Z65)*($Y65-1)-SUM($B66:P66))+IF($Y65&gt;1,IF(INT(Q$6/$X65)&gt;0,$Z65-$AA65,0),-$AA65)</f>
        <v>0</v>
      </c>
      <c r="R66" s="511" t="n">
        <f aca="false">IF(INT(R$6/$X65)*$X$7&gt;R64*($X$7+$Z65)*$Y65,R64*($X$7+$Z65)-SUM($B66:Q66),INT(R$6/$X65)*$X$7-R64*($X$7+$Z65)*($Y65-1)-SUM($B66:Q66))+IF($Y65&gt;1,IF(INT(R$6/$X65)&gt;0,$Z65-$AA65,0),-$AA65)</f>
        <v>0</v>
      </c>
      <c r="S66" s="511" t="n">
        <f aca="false">IF(INT(S$6/$X65)*$X$7&gt;S64*($X$7+$Z65)*$Y65,S64*($X$7+$Z65)-SUM($B66:R66),INT(S$6/$X65)*$X$7-S64*($X$7+$Z65)*($Y65-1)-SUM($B66:R66))+IF($Y65&gt;1,IF(INT(S$6/$X65)&gt;0,$Z65-$AA65,0),-$AA65)</f>
        <v>0</v>
      </c>
      <c r="T66" s="511" t="n">
        <f aca="false">IF(INT(T$6/$X65)*$X$7&gt;T64*($X$7+$Z65)*$Y65,T64*($X$7+$Z65)-SUM($B66:S66),INT(T$6/$X65)*$X$7-T64*($X$7+$Z65)*($Y65-1)-SUM($B66:S66))+IF($Y65&gt;1,IF(INT(T$6/$X65)&gt;0,$Z65-$AA65,0),-$AA65)</f>
        <v>0</v>
      </c>
      <c r="U66" s="511" t="n">
        <f aca="false">IF(INT(U$6/$X65)*$X$7&gt;U64*($X$7+$Z65)*$Y65,U64*($X$7+$Z65)-SUM($B66:T66),INT(U$6/$X65)*$X$7-U64*($X$7+$Z65)*($Y65-1)-SUM($B66:T66))+IF($Y65&gt;1,IF(INT(U$6/$X65)&gt;0,$Z65-$AA65,0),-$AA65)</f>
        <v>0</v>
      </c>
      <c r="V66" s="511" t="n">
        <f aca="false">IF(INT(V$6/$X65)*$X$7&gt;V64*($X$7+$Z65)*$Y65,V64*($X$7+$Z65)-SUM($B66:U66),INT(V$6/$X65)*$X$7-V64*($X$7+$Z65)*($Y65-1)-SUM($B66:U66))+IF($Y65&gt;1,IF(INT(V$6/$X65)&gt;0,$Z65-$AA65,0),-$AA65)</f>
        <v>0</v>
      </c>
      <c r="W66" s="803"/>
      <c r="AA66" s="157"/>
      <c r="AB66" s="157"/>
    </row>
    <row r="67" customFormat="false" ht="12.75" hidden="false" customHeight="false" outlineLevel="0" collapsed="false">
      <c r="A67" s="157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785"/>
      <c r="X67" s="157"/>
      <c r="Y67" s="157"/>
      <c r="Z67" s="157"/>
      <c r="AA67" s="157"/>
      <c r="AB67" s="157"/>
    </row>
    <row r="68" customFormat="false" ht="12.75" hidden="true" customHeight="false" outlineLevel="0" collapsed="false">
      <c r="A68" s="153" t="s">
        <v>1395</v>
      </c>
      <c r="B68" s="511"/>
      <c r="C68" s="153" t="n">
        <f aca="false">INT((INT(C$6/$X69)*$X$7+$X$7+$Z69-1)/($X$7+$Z69)/$Y69)</f>
        <v>0</v>
      </c>
      <c r="D68" s="153" t="n">
        <f aca="false">INT((INT(D$6/$X69)*$X$7+$X$7+$Z69-1)/($X$7+$Z69)/$Y69)</f>
        <v>0</v>
      </c>
      <c r="E68" s="153" t="n">
        <f aca="false">INT((INT(E$6/$X69)*$X$7+$X$7+$Z69-1)/($X$7+$Z69)/$Y69)</f>
        <v>0</v>
      </c>
      <c r="F68" s="153" t="n">
        <f aca="false">INT((INT(F$6/$X69)*$X$7+$X$7+$Z69-1)/($X$7+$Z69)/$Y69)</f>
        <v>0</v>
      </c>
      <c r="G68" s="153" t="n">
        <f aca="false">INT((INT(G$6/$X69)*$X$7+$X$7+$Z69-1)/($X$7+$Z69)/$Y69)</f>
        <v>0</v>
      </c>
      <c r="H68" s="153" t="n">
        <f aca="false">INT((INT(H$6/$X69)*$X$7+$X$7+$Z69-1)/($X$7+$Z69)/$Y69)</f>
        <v>0</v>
      </c>
      <c r="I68" s="153" t="n">
        <f aca="false">INT((INT(I$6/$X69)*$X$7+$X$7+$Z69-1)/($X$7+$Z69)/$Y69)</f>
        <v>0</v>
      </c>
      <c r="J68" s="153" t="n">
        <f aca="false">INT((INT(J$6/$X69)*$X$7+$X$7+$Z69-1)/($X$7+$Z69)/$Y69)</f>
        <v>0</v>
      </c>
      <c r="K68" s="153" t="n">
        <f aca="false">INT((INT(K$6/$X69)*$X$7+$X$7+$Z69-1)/($X$7+$Z69)/$Y69)</f>
        <v>0</v>
      </c>
      <c r="L68" s="153" t="n">
        <f aca="false">INT((INT(L$6/$X69)*$X$7+$X$7+$Z69-1)/($X$7+$Z69)/$Y69)</f>
        <v>0</v>
      </c>
      <c r="M68" s="153" t="n">
        <f aca="false">INT((INT(M$6/$X69)*$X$7+$X$7+$Z69-1)/($X$7+$Z69)/$Y69)</f>
        <v>0</v>
      </c>
      <c r="N68" s="153" t="n">
        <f aca="false">INT((INT(N$6/$X69)*$X$7+$X$7+$Z69-1)/($X$7+$Z69)/$Y69)</f>
        <v>0</v>
      </c>
      <c r="O68" s="153" t="n">
        <f aca="false">INT((INT(O$6/$X69)*$X$7+$X$7+$Z69-1)/($X$7+$Z69)/$Y69)</f>
        <v>0</v>
      </c>
      <c r="P68" s="153" t="n">
        <f aca="false">INT((INT(P$6/$X69)*$X$7+$X$7+$Z69-1)/($X$7+$Z69)/$Y69)</f>
        <v>0</v>
      </c>
      <c r="Q68" s="153" t="n">
        <f aca="false">INT((INT(Q$6/$X69)*$X$7+$X$7+$Z69-1)/($X$7+$Z69)/$Y69)</f>
        <v>0</v>
      </c>
      <c r="R68" s="153" t="n">
        <f aca="false">INT((INT(R$6/$X69)*$X$7+$X$7+$Z69-1)/($X$7+$Z69)/$Y69)</f>
        <v>0</v>
      </c>
      <c r="S68" s="153" t="n">
        <f aca="false">INT((INT(S$6/$X69)*$X$7+$X$7+$Z69-1)/($X$7+$Z69)/$Y69)</f>
        <v>0</v>
      </c>
      <c r="T68" s="153" t="n">
        <f aca="false">INT((INT(T$6/$X69)*$X$7+$X$7+$Z69-1)/($X$7+$Z69)/$Y69)</f>
        <v>0</v>
      </c>
      <c r="U68" s="153" t="n">
        <f aca="false">INT((INT(U$6/$X69)*$X$7+$X$7+$Z69-1)/($X$7+$Z69)/$Y69)</f>
        <v>0</v>
      </c>
      <c r="V68" s="153" t="n">
        <f aca="false">INT((INT(V$6/$X69)*$X$7+$X$7+$Z69-1)/($X$7+$Z69)/$Y69)</f>
        <v>0</v>
      </c>
      <c r="W68" s="157"/>
      <c r="X68" s="157"/>
      <c r="Y68" s="157"/>
      <c r="Z68" s="157"/>
      <c r="AA68" s="157"/>
      <c r="AB68" s="157"/>
    </row>
    <row r="69" customFormat="false" ht="12.75" hidden="false" customHeight="false" outlineLevel="0" collapsed="false">
      <c r="A69" s="153" t="s">
        <v>1396</v>
      </c>
      <c r="B69" s="511" t="s">
        <v>1007</v>
      </c>
      <c r="C69" s="511" t="n">
        <f aca="false">IF($Y69=1,0,$X$7*(INT(C$6/$X69)-INT(B$6/$X69))-IF(SUM($B69:B69)&gt;0,C70,0))</f>
        <v>0</v>
      </c>
      <c r="D69" s="511" t="n">
        <f aca="false">IF($Y69=1,0,$X$7*(INT(D$6/$X69)-INT(C$6/$X69))-IF(SUM($B69:C69)&gt;0,D70,0))</f>
        <v>0</v>
      </c>
      <c r="E69" s="511" t="n">
        <f aca="false">IF($Y69=1,0,$X$7*(INT(E$6/$X69)-INT(D$6/$X69))-IF(SUM($B69:D69)&gt;0,E70,0))</f>
        <v>0</v>
      </c>
      <c r="F69" s="511" t="n">
        <f aca="false">IF($Y69=1,0,$X$7*(INT(F$6/$X69)-INT(E$6/$X69))-IF(SUM($B69:E69)&gt;0,F70,0))</f>
        <v>0</v>
      </c>
      <c r="G69" s="511" t="n">
        <f aca="false">IF($Y69=1,0,$X$7*(INT(G$6/$X69)-INT(F$6/$X69))-IF(SUM($B69:F69)&gt;0,G70,0))</f>
        <v>0</v>
      </c>
      <c r="H69" s="511" t="n">
        <f aca="false">IF($Y69=1,0,$X$7*(INT(H$6/$X69)-INT(G$6/$X69))-IF(SUM($B69:G69)&gt;0,H70,0))</f>
        <v>0</v>
      </c>
      <c r="I69" s="511" t="n">
        <f aca="false">IF($Y69=1,0,$X$7*(INT(I$6/$X69)-INT(H$6/$X69))-IF(SUM($B69:H69)&gt;0,I70,0))</f>
        <v>0</v>
      </c>
      <c r="J69" s="511" t="n">
        <f aca="false">IF($Y69=1,0,$X$7*(INT(J$6/$X69)-INT(I$6/$X69))-IF(SUM($B69:I69)&gt;0,J70,0))</f>
        <v>0</v>
      </c>
      <c r="K69" s="511" t="n">
        <f aca="false">IF($Y69=1,0,$X$7*(INT(K$6/$X69)-INT(J$6/$X69))-IF(SUM($B69:J69)&gt;0,K70,0))</f>
        <v>0</v>
      </c>
      <c r="L69" s="511" t="n">
        <f aca="false">IF($Y69=1,0,$X$7*(INT(L$6/$X69)-INT(K$6/$X69))-IF(SUM($B69:K69)&gt;0,L70,0))</f>
        <v>0</v>
      </c>
      <c r="M69" s="511" t="n">
        <f aca="false">IF($Y69=1,0,$X$7*(INT(M$6/$X69)-INT(L$6/$X69))-IF(SUM($B69:L69)&gt;0,M70,0))</f>
        <v>0</v>
      </c>
      <c r="N69" s="511" t="n">
        <f aca="false">IF($Y69=1,0,$X$7*(INT(N$6/$X69)-INT(M$6/$X69))-IF(SUM($B69:M69)&gt;0,N70,0))</f>
        <v>0</v>
      </c>
      <c r="O69" s="511" t="n">
        <f aca="false">IF($Y69=1,0,$X$7*(INT(O$6/$X69)-INT(N$6/$X69))-IF(SUM($B69:N69)&gt;0,O70,0))</f>
        <v>0</v>
      </c>
      <c r="P69" s="511" t="n">
        <f aca="false">IF($Y69=1,0,$X$7*(INT(P$6/$X69)-INT(O$6/$X69))-IF(SUM($B69:O69)&gt;0,P70,0))</f>
        <v>0</v>
      </c>
      <c r="Q69" s="511" t="n">
        <f aca="false">IF($Y69=1,0,$X$7*(INT(Q$6/$X69)-INT(P$6/$X69))-IF(SUM($B69:P69)&gt;0,Q70,0))</f>
        <v>0</v>
      </c>
      <c r="R69" s="511" t="n">
        <f aca="false">IF($Y69=1,0,$X$7*(INT(R$6/$X69)-INT(Q$6/$X69))-IF(SUM($B69:Q69)&gt;0,R70,0))</f>
        <v>0</v>
      </c>
      <c r="S69" s="511" t="n">
        <f aca="false">IF($Y69=1,0,$X$7*(INT(S$6/$X69)-INT(R$6/$X69))-IF(SUM($B69:R69)&gt;0,S70,0))</f>
        <v>0</v>
      </c>
      <c r="T69" s="511" t="n">
        <f aca="false">IF($Y69=1,0,$X$7*(INT(T$6/$X69)-INT(S$6/$X69))-IF(SUM($B69:S69)&gt;0,T70,0))</f>
        <v>0</v>
      </c>
      <c r="U69" s="511" t="n">
        <f aca="false">IF($Y69=1,0,$X$7*(INT(U$6/$X69)-INT(T$6/$X69))-IF(SUM($B69:T69)&gt;0,U70,0))</f>
        <v>0</v>
      </c>
      <c r="V69" s="511" t="n">
        <f aca="false">IF($Y69=1,0,$X$7*(INT(V$6/$X69)-INT(U$6/$X69))-IF(SUM($B69:U69)&gt;0,V70,0))</f>
        <v>0</v>
      </c>
      <c r="W69" s="800" t="str">
        <f aca="false">'GT schd cost(7EA)'!A26</f>
        <v>3rd Stage Shroud Blocks</v>
      </c>
      <c r="X69" s="800" t="n">
        <f aca="false">IF($AD$6=1,'GTDB(7EA)'!B29,'GTDB(7EA)'!G29)</f>
        <v>24000</v>
      </c>
      <c r="Y69" s="800" t="n">
        <f aca="false">IF($AD$6=1,'GTDB(7EA)'!C29,'GTDB(7EA)'!H29)</f>
        <v>3</v>
      </c>
      <c r="Z69" s="801" t="n">
        <v>1</v>
      </c>
      <c r="AA69" s="805" t="n">
        <f aca="false">'Initial_Spares(7EA) '!$E$23</f>
        <v>0</v>
      </c>
      <c r="AB69" s="807" t="n">
        <f aca="false">'GT schd cost(7EA)'!X26+'GT schd cost(7EA)'!X49</f>
        <v>0</v>
      </c>
    </row>
    <row r="70" customFormat="false" ht="12.75" hidden="false" customHeight="false" outlineLevel="0" collapsed="false">
      <c r="A70" s="153" t="s">
        <v>1397</v>
      </c>
      <c r="B70" s="511" t="s">
        <v>1007</v>
      </c>
      <c r="C70" s="511" t="n">
        <f aca="false">IF(INT(C$6/$X69)*$X$7&gt;C68*($X$7+$Z69)*$Y69,C68*($X$7+$Z69)-SUM($B70:B70),INT(C$6/$X69)*$X$7-C68*($X$7+$Z69)*($Y69-1)-SUM($B70:B70))+IF($Y69&gt;1,IF(INT(C$6/$X69)&gt;0,$Z69-$AA69,0),-$AA69)</f>
        <v>0</v>
      </c>
      <c r="D70" s="511" t="n">
        <f aca="false">IF(INT(D$6/$X69)*$X$7&gt;D68*($X$7+$Z69)*$Y69,D68*($X$7+$Z69)-SUM($B70:C70),INT(D$6/$X69)*$X$7-D68*($X$7+$Z69)*($Y69-1)-SUM($B70:C70))+IF($Y69&gt;1,IF(INT(D$6/$X69)&gt;0,$Z69-$AA69,0),-$AA69)</f>
        <v>0</v>
      </c>
      <c r="E70" s="511" t="n">
        <f aca="false">IF(INT(E$6/$X69)*$X$7&gt;E68*($X$7+$Z69)*$Y69,E68*($X$7+$Z69)-SUM($B70:D70),INT(E$6/$X69)*$X$7-E68*($X$7+$Z69)*($Y69-1)-SUM($B70:D70))+IF($Y69&gt;1,IF(INT(E$6/$X69)&gt;0,$Z69-$AA69,0),-$AA69)</f>
        <v>0</v>
      </c>
      <c r="F70" s="511" t="n">
        <f aca="false">IF(INT(F$6/$X69)*$X$7&gt;F68*($X$7+$Z69)*$Y69,F68*($X$7+$Z69)-SUM($B70:E70),INT(F$6/$X69)*$X$7-F68*($X$7+$Z69)*($Y69-1)-SUM($B70:E70))+IF($Y69&gt;1,IF(INT(F$6/$X69)&gt;0,$Z69-$AA69,0),-$AA69)</f>
        <v>0</v>
      </c>
      <c r="G70" s="511" t="n">
        <f aca="false">IF(INT(G$6/$X69)*$X$7&gt;G68*($X$7+$Z69)*$Y69,G68*($X$7+$Z69)-SUM($B70:F70),INT(G$6/$X69)*$X$7-G68*($X$7+$Z69)*($Y69-1)-SUM($B70:F70))+IF($Y69&gt;1,IF(INT(G$6/$X69)&gt;0,$Z69-$AA69,0),-$AA69)</f>
        <v>0</v>
      </c>
      <c r="H70" s="511" t="n">
        <f aca="false">IF(INT(H$6/$X69)*$X$7&gt;H68*($X$7+$Z69)*$Y69,H68*($X$7+$Z69)-SUM($B70:G70),INT(H$6/$X69)*$X$7-H68*($X$7+$Z69)*($Y69-1)-SUM($B70:G70))+IF($Y69&gt;1,IF(INT(H$6/$X69)&gt;0,$Z69-$AA69,0),-$AA69)</f>
        <v>0</v>
      </c>
      <c r="I70" s="511" t="n">
        <f aca="false">IF(INT(I$6/$X69)*$X$7&gt;I68*($X$7+$Z69)*$Y69,I68*($X$7+$Z69)-SUM($B70:H70),INT(I$6/$X69)*$X$7-I68*($X$7+$Z69)*($Y69-1)-SUM($B70:H70))+IF($Y69&gt;1,IF(INT(I$6/$X69)&gt;0,$Z69-$AA69,0),-$AA69)</f>
        <v>0</v>
      </c>
      <c r="J70" s="511" t="n">
        <f aca="false">IF(INT(J$6/$X69)*$X$7&gt;J68*($X$7+$Z69)*$Y69,J68*($X$7+$Z69)-SUM($B70:I70),INT(J$6/$X69)*$X$7-J68*($X$7+$Z69)*($Y69-1)-SUM($B70:I70))+IF($Y69&gt;1,IF(INT(J$6/$X69)&gt;0,$Z69-$AA69,0),-$AA69)</f>
        <v>0</v>
      </c>
      <c r="K70" s="511" t="n">
        <f aca="false">IF(INT(K$6/$X69)*$X$7&gt;K68*($X$7+$Z69)*$Y69,K68*($X$7+$Z69)-SUM($B70:J70),INT(K$6/$X69)*$X$7-K68*($X$7+$Z69)*($Y69-1)-SUM($B70:J70))+IF($Y69&gt;1,IF(INT(K$6/$X69)&gt;0,$Z69-$AA69,0),-$AA69)</f>
        <v>0</v>
      </c>
      <c r="L70" s="511" t="n">
        <f aca="false">IF(INT(L$6/$X69)*$X$7&gt;L68*($X$7+$Z69)*$Y69,L68*($X$7+$Z69)-SUM($B70:K70),INT(L$6/$X69)*$X$7-L68*($X$7+$Z69)*($Y69-1)-SUM($B70:K70))+IF($Y69&gt;1,IF(INT(L$6/$X69)&gt;0,$Z69-$AA69,0),-$AA69)</f>
        <v>0</v>
      </c>
      <c r="M70" s="511" t="n">
        <f aca="false">IF(INT(M$6/$X69)*$X$7&gt;M68*($X$7+$Z69)*$Y69,M68*($X$7+$Z69)-SUM($B70:L70),INT(M$6/$X69)*$X$7-M68*($X$7+$Z69)*($Y69-1)-SUM($B70:L70))+IF($Y69&gt;1,IF(INT(M$6/$X69)&gt;0,$Z69-$AA69,0),-$AA69)</f>
        <v>0</v>
      </c>
      <c r="N70" s="511" t="n">
        <f aca="false">IF(INT(N$6/$X69)*$X$7&gt;N68*($X$7+$Z69)*$Y69,N68*($X$7+$Z69)-SUM($B70:M70),INT(N$6/$X69)*$X$7-N68*($X$7+$Z69)*($Y69-1)-SUM($B70:M70))+IF($Y69&gt;1,IF(INT(N$6/$X69)&gt;0,$Z69-$AA69,0),-$AA69)</f>
        <v>0</v>
      </c>
      <c r="O70" s="511" t="n">
        <f aca="false">IF(INT(O$6/$X69)*$X$7&gt;O68*($X$7+$Z69)*$Y69,O68*($X$7+$Z69)-SUM($B70:N70),INT(O$6/$X69)*$X$7-O68*($X$7+$Z69)*($Y69-1)-SUM($B70:N70))+IF($Y69&gt;1,IF(INT(O$6/$X69)&gt;0,$Z69-$AA69,0),-$AA69)</f>
        <v>0</v>
      </c>
      <c r="P70" s="511" t="n">
        <f aca="false">IF(INT(P$6/$X69)*$X$7&gt;P68*($X$7+$Z69)*$Y69,P68*($X$7+$Z69)-SUM($B70:O70),INT(P$6/$X69)*$X$7-P68*($X$7+$Z69)*($Y69-1)-SUM($B70:O70))+IF($Y69&gt;1,IF(INT(P$6/$X69)&gt;0,$Z69-$AA69,0),-$AA69)</f>
        <v>0</v>
      </c>
      <c r="Q70" s="511" t="n">
        <f aca="false">IF(INT(Q$6/$X69)*$X$7&gt;Q68*($X$7+$Z69)*$Y69,Q68*($X$7+$Z69)-SUM($B70:P70),INT(Q$6/$X69)*$X$7-Q68*($X$7+$Z69)*($Y69-1)-SUM($B70:P70))+IF($Y69&gt;1,IF(INT(Q$6/$X69)&gt;0,$Z69-$AA69,0),-$AA69)</f>
        <v>0</v>
      </c>
      <c r="R70" s="511" t="n">
        <f aca="false">IF(INT(R$6/$X69)*$X$7&gt;R68*($X$7+$Z69)*$Y69,R68*($X$7+$Z69)-SUM($B70:Q70),INT(R$6/$X69)*$X$7-R68*($X$7+$Z69)*($Y69-1)-SUM($B70:Q70))+IF($Y69&gt;1,IF(INT(R$6/$X69)&gt;0,$Z69-$AA69,0),-$AA69)</f>
        <v>0</v>
      </c>
      <c r="S70" s="511" t="n">
        <f aca="false">IF(INT(S$6/$X69)*$X$7&gt;S68*($X$7+$Z69)*$Y69,S68*($X$7+$Z69)-SUM($B70:R70),INT(S$6/$X69)*$X$7-S68*($X$7+$Z69)*($Y69-1)-SUM($B70:R70))+IF($Y69&gt;1,IF(INT(S$6/$X69)&gt;0,$Z69-$AA69,0),-$AA69)</f>
        <v>0</v>
      </c>
      <c r="T70" s="511" t="n">
        <f aca="false">IF(INT(T$6/$X69)*$X$7&gt;T68*($X$7+$Z69)*$Y69,T68*($X$7+$Z69)-SUM($B70:S70),INT(T$6/$X69)*$X$7-T68*($X$7+$Z69)*($Y69-1)-SUM($B70:S70))+IF($Y69&gt;1,IF(INT(T$6/$X69)&gt;0,$Z69-$AA69,0),-$AA69)</f>
        <v>0</v>
      </c>
      <c r="U70" s="511" t="n">
        <f aca="false">IF(INT(U$6/$X69)*$X$7&gt;U68*($X$7+$Z69)*$Y69,U68*($X$7+$Z69)-SUM($B70:T70),INT(U$6/$X69)*$X$7-U68*($X$7+$Z69)*($Y69-1)-SUM($B70:T70))+IF($Y69&gt;1,IF(INT(U$6/$X69)&gt;0,$Z69-$AA69,0),-$AA69)</f>
        <v>0</v>
      </c>
      <c r="V70" s="511" t="n">
        <f aca="false">IF(INT(V$6/$X69)*$X$7&gt;V68*($X$7+$Z69)*$Y69,V68*($X$7+$Z69)-SUM($B70:U70),INT(V$6/$X69)*$X$7-V68*($X$7+$Z69)*($Y69-1)-SUM($B70:U70))+IF($Y69&gt;1,IF(INT(V$6/$X69)&gt;0,$Z69-$AA69,0),-$AA69)</f>
        <v>0</v>
      </c>
      <c r="W70" s="803"/>
      <c r="AA70" s="157"/>
      <c r="AB70" s="1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C11" activeCellId="0" sqref="C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809" t="s">
        <v>1398</v>
      </c>
      <c r="B2" s="157"/>
      <c r="C2" s="157"/>
      <c r="D2" s="157"/>
      <c r="E2" s="157"/>
    </row>
    <row r="3" customFormat="false" ht="11.25" hidden="false" customHeight="true" outlineLevel="0" collapsed="false">
      <c r="A3" s="809"/>
      <c r="B3" s="157"/>
      <c r="C3" s="157"/>
      <c r="D3" s="157"/>
      <c r="E3" s="157"/>
    </row>
    <row r="4" customFormat="false" ht="12.75" hidden="false" customHeight="false" outlineLevel="0" collapsed="false">
      <c r="A4" s="518" t="s">
        <v>1399</v>
      </c>
      <c r="B4" s="810" t="s">
        <v>1439</v>
      </c>
      <c r="C4" s="810"/>
      <c r="D4" s="157"/>
      <c r="E4" s="157"/>
    </row>
    <row r="5" customFormat="false" ht="12.75" hidden="false" customHeight="false" outlineLevel="0" collapsed="false">
      <c r="A5" s="518" t="s">
        <v>1400</v>
      </c>
      <c r="B5" s="810" t="s">
        <v>1440</v>
      </c>
      <c r="C5" s="810"/>
      <c r="D5" s="157"/>
      <c r="E5" s="157" t="s">
        <v>1007</v>
      </c>
    </row>
    <row r="6" customFormat="false" ht="12.75" hidden="false" customHeight="false" outlineLevel="0" collapsed="false">
      <c r="A6" s="518" t="s">
        <v>1401</v>
      </c>
      <c r="B6" s="811" t="n">
        <v>36600</v>
      </c>
      <c r="C6" s="157"/>
      <c r="D6" s="157"/>
      <c r="E6" s="157" t="s">
        <v>1007</v>
      </c>
    </row>
    <row r="7" customFormat="false" ht="12.75" hidden="false" customHeight="false" outlineLevel="0" collapsed="false">
      <c r="A7" s="518" t="s">
        <v>1402</v>
      </c>
      <c r="B7" s="157" t="s">
        <v>1403</v>
      </c>
      <c r="C7" s="157"/>
      <c r="D7" s="157"/>
      <c r="E7" s="157"/>
    </row>
    <row r="8" customFormat="false" ht="12.75" hidden="false" customHeight="false" outlineLevel="0" collapsed="false">
      <c r="A8" s="518" t="s">
        <v>1007</v>
      </c>
      <c r="B8" s="157"/>
      <c r="C8" s="157"/>
      <c r="D8" s="157"/>
      <c r="E8" s="157"/>
    </row>
    <row r="9" customFormat="false" ht="12.75" hidden="false" customHeight="false" outlineLevel="0" collapsed="false">
      <c r="A9" s="518" t="s">
        <v>1007</v>
      </c>
      <c r="B9" s="157" t="s">
        <v>1007</v>
      </c>
      <c r="C9" s="157"/>
      <c r="D9" s="157"/>
      <c r="E9" s="157"/>
    </row>
    <row r="10" customFormat="false" ht="12.75" hidden="false" customHeight="false" outlineLevel="0" collapsed="false">
      <c r="A10" s="667"/>
      <c r="B10" s="667"/>
      <c r="C10" s="667"/>
      <c r="D10" s="667"/>
      <c r="E10" s="667"/>
      <c r="F10" s="667"/>
      <c r="G10" s="667"/>
    </row>
    <row r="11" customFormat="false" ht="26.25" hidden="false" customHeight="false" outlineLevel="0" collapsed="false">
      <c r="A11" s="812" t="s">
        <v>1007</v>
      </c>
      <c r="B11" s="812" t="s">
        <v>1404</v>
      </c>
      <c r="C11" s="812" t="s">
        <v>1405</v>
      </c>
      <c r="D11" s="812" t="s">
        <v>1406</v>
      </c>
      <c r="E11" s="667"/>
      <c r="F11" s="667"/>
      <c r="G11" s="812" t="s">
        <v>1407</v>
      </c>
    </row>
    <row r="12" customFormat="false" ht="12.75" hidden="false" customHeight="false" outlineLevel="0" collapsed="false">
      <c r="A12" s="813" t="s">
        <v>1408</v>
      </c>
      <c r="B12" s="814" t="n">
        <v>8000</v>
      </c>
      <c r="C12" s="815" t="n">
        <v>27.9</v>
      </c>
      <c r="D12" s="815" t="n">
        <v>20.332</v>
      </c>
      <c r="G12" s="814" t="n">
        <v>800</v>
      </c>
    </row>
    <row r="13" customFormat="false" ht="12.75" hidden="false" customHeight="false" outlineLevel="0" collapsed="false">
      <c r="A13" s="153" t="s">
        <v>1409</v>
      </c>
      <c r="B13" s="816" t="n">
        <v>24000</v>
      </c>
      <c r="C13" s="770" t="n">
        <v>123</v>
      </c>
      <c r="D13" s="770" t="n">
        <v>32.328</v>
      </c>
      <c r="G13" s="816" t="n">
        <v>1200</v>
      </c>
    </row>
    <row r="14" customFormat="false" ht="12.75" hidden="false" customHeight="false" outlineLevel="0" collapsed="false">
      <c r="A14" s="153" t="s">
        <v>1410</v>
      </c>
      <c r="B14" s="816" t="n">
        <v>48000</v>
      </c>
      <c r="C14" s="770" t="n">
        <v>220</v>
      </c>
      <c r="D14" s="770" t="n">
        <v>154.464</v>
      </c>
      <c r="G14" s="816" t="n">
        <v>2400</v>
      </c>
      <c r="M14" s="792"/>
    </row>
    <row r="16" customFormat="false" ht="39" hidden="false" customHeight="false" outlineLevel="0" collapsed="false">
      <c r="A16" s="817" t="s">
        <v>1411</v>
      </c>
      <c r="B16" s="817" t="s">
        <v>1412</v>
      </c>
      <c r="C16" s="817" t="s">
        <v>1413</v>
      </c>
      <c r="D16" s="817" t="s">
        <v>1414</v>
      </c>
      <c r="E16" s="817" t="s">
        <v>1415</v>
      </c>
      <c r="F16" s="818"/>
      <c r="G16" s="812" t="s">
        <v>1416</v>
      </c>
      <c r="H16" s="812" t="s">
        <v>1417</v>
      </c>
    </row>
    <row r="17" customFormat="false" ht="12.75" hidden="false" customHeight="false" outlineLevel="0" collapsed="false">
      <c r="A17" s="843" t="s">
        <v>1441</v>
      </c>
      <c r="B17" s="844" t="n">
        <v>8000</v>
      </c>
      <c r="C17" s="844" t="n">
        <v>5</v>
      </c>
      <c r="D17" s="843" t="n">
        <v>18</v>
      </c>
      <c r="E17" s="843" t="n">
        <v>1058.9</v>
      </c>
      <c r="F17" s="785"/>
      <c r="G17" s="832" t="n">
        <v>800</v>
      </c>
      <c r="H17" s="845" t="n">
        <v>5</v>
      </c>
      <c r="L17" s="792"/>
    </row>
    <row r="18" customFormat="false" ht="12.75" hidden="false" customHeight="false" outlineLevel="0" collapsed="false">
      <c r="A18" s="763" t="s">
        <v>1419</v>
      </c>
      <c r="B18" s="835" t="n">
        <v>8000</v>
      </c>
      <c r="C18" s="835" t="n">
        <v>6</v>
      </c>
      <c r="D18" s="763" t="n">
        <v>18.5</v>
      </c>
      <c r="E18" s="843" t="n">
        <v>463.064</v>
      </c>
      <c r="F18" s="785"/>
      <c r="G18" s="832" t="n">
        <v>800</v>
      </c>
      <c r="H18" s="833" t="n">
        <v>6</v>
      </c>
      <c r="P18" s="792"/>
    </row>
    <row r="19" customFormat="false" ht="12.75" hidden="false" customHeight="false" outlineLevel="0" collapsed="false">
      <c r="A19" s="830" t="s">
        <v>1421</v>
      </c>
      <c r="B19" s="835" t="n">
        <v>8000</v>
      </c>
      <c r="C19" s="831" t="n">
        <v>3</v>
      </c>
      <c r="D19" s="830" t="n">
        <v>120</v>
      </c>
      <c r="E19" s="843" t="n">
        <v>489.47</v>
      </c>
      <c r="F19" s="785"/>
      <c r="G19" s="832" t="n">
        <v>800</v>
      </c>
      <c r="H19" s="833" t="n">
        <v>3</v>
      </c>
    </row>
    <row r="20" customFormat="false" ht="12.75" hidden="false" customHeight="false" outlineLevel="0" collapsed="false">
      <c r="A20" s="823" t="s">
        <v>1442</v>
      </c>
      <c r="B20" s="824" t="n">
        <v>24000</v>
      </c>
      <c r="C20" s="824" t="n">
        <v>3</v>
      </c>
      <c r="D20" s="823" t="n">
        <v>46</v>
      </c>
      <c r="E20" s="843" t="n">
        <v>899.488</v>
      </c>
      <c r="F20" s="785"/>
      <c r="G20" s="821" t="n">
        <v>1200</v>
      </c>
      <c r="H20" s="825" t="n">
        <v>3</v>
      </c>
    </row>
    <row r="21" customFormat="false" ht="12.75" hidden="false" customHeight="false" outlineLevel="0" collapsed="false">
      <c r="A21" s="823" t="s">
        <v>1443</v>
      </c>
      <c r="B21" s="824" t="n">
        <v>24000</v>
      </c>
      <c r="C21" s="824" t="n">
        <v>3</v>
      </c>
      <c r="D21" s="823" t="n">
        <v>29.5</v>
      </c>
      <c r="E21" s="843" t="n">
        <v>926.971</v>
      </c>
      <c r="F21" s="785"/>
      <c r="G21" s="821" t="n">
        <v>1200</v>
      </c>
      <c r="H21" s="825" t="n">
        <v>3</v>
      </c>
    </row>
    <row r="22" customFormat="false" ht="12.75" hidden="false" customHeight="false" outlineLevel="0" collapsed="false">
      <c r="A22" s="823" t="s">
        <v>1444</v>
      </c>
      <c r="B22" s="824" t="n">
        <v>24000</v>
      </c>
      <c r="C22" s="824" t="n">
        <v>3</v>
      </c>
      <c r="D22" s="823" t="n">
        <v>26</v>
      </c>
      <c r="E22" s="843" t="n">
        <v>986.568</v>
      </c>
      <c r="F22" s="785"/>
      <c r="G22" s="821" t="n">
        <v>1200</v>
      </c>
      <c r="H22" s="825" t="n">
        <v>3</v>
      </c>
      <c r="K22" s="792"/>
    </row>
    <row r="23" customFormat="false" ht="12.75" hidden="false" customHeight="false" outlineLevel="0" collapsed="false">
      <c r="A23" s="823" t="s">
        <v>1445</v>
      </c>
      <c r="B23" s="824" t="n">
        <v>24000</v>
      </c>
      <c r="C23" s="824" t="n">
        <v>3</v>
      </c>
      <c r="D23" s="823" t="n">
        <v>74.5</v>
      </c>
      <c r="E23" s="843" t="n">
        <v>910.54</v>
      </c>
      <c r="F23" s="785"/>
      <c r="G23" s="821" t="n">
        <v>1200</v>
      </c>
      <c r="H23" s="825" t="n">
        <v>3</v>
      </c>
    </row>
    <row r="24" customFormat="false" ht="12.75" hidden="false" customHeight="false" outlineLevel="0" collapsed="false">
      <c r="A24" s="823" t="s">
        <v>1446</v>
      </c>
      <c r="B24" s="824" t="n">
        <v>24000</v>
      </c>
      <c r="C24" s="824" t="n">
        <v>3</v>
      </c>
      <c r="D24" s="823" t="n">
        <v>39</v>
      </c>
      <c r="E24" s="843" t="n">
        <v>901.965</v>
      </c>
      <c r="F24" s="785"/>
      <c r="G24" s="821" t="n">
        <v>1200</v>
      </c>
      <c r="H24" s="825" t="n">
        <v>4</v>
      </c>
    </row>
    <row r="25" customFormat="false" ht="12.75" hidden="false" customHeight="false" outlineLevel="0" collapsed="false">
      <c r="A25" s="823" t="s">
        <v>1447</v>
      </c>
      <c r="B25" s="824" t="n">
        <v>24000</v>
      </c>
      <c r="C25" s="824" t="n">
        <v>3</v>
      </c>
      <c r="D25" s="823" t="n">
        <v>42</v>
      </c>
      <c r="E25" s="843" t="n">
        <v>791.255</v>
      </c>
      <c r="F25" s="785"/>
      <c r="G25" s="821" t="n">
        <v>1200</v>
      </c>
      <c r="H25" s="825" t="n">
        <v>4</v>
      </c>
    </row>
    <row r="26" customFormat="false" ht="12.75" hidden="false" customHeight="false" outlineLevel="0" collapsed="false">
      <c r="A26" s="823" t="s">
        <v>1448</v>
      </c>
      <c r="B26" s="824" t="n">
        <v>24000</v>
      </c>
      <c r="C26" s="824" t="n">
        <v>3</v>
      </c>
      <c r="D26" s="823" t="n">
        <v>25</v>
      </c>
      <c r="E26" s="843" t="n">
        <v>36.558</v>
      </c>
      <c r="F26" s="785"/>
      <c r="G26" s="821" t="n">
        <v>1200</v>
      </c>
      <c r="H26" s="825" t="n">
        <v>3</v>
      </c>
    </row>
    <row r="27" customFormat="false" ht="12.75" hidden="false" customHeight="false" outlineLevel="0" collapsed="false">
      <c r="A27" s="823" t="s">
        <v>1449</v>
      </c>
      <c r="B27" s="824" t="n">
        <v>24000</v>
      </c>
      <c r="C27" s="824" t="n">
        <v>2</v>
      </c>
      <c r="D27" s="823" t="n">
        <v>15.4</v>
      </c>
      <c r="E27" s="843" t="n">
        <v>182.902</v>
      </c>
      <c r="F27" s="785"/>
      <c r="G27" s="821" t="n">
        <v>1200</v>
      </c>
      <c r="H27" s="825" t="n">
        <v>2</v>
      </c>
      <c r="K27" s="792"/>
    </row>
    <row r="28" customFormat="false" ht="12.75" hidden="false" customHeight="false" outlineLevel="0" collapsed="false">
      <c r="A28" s="823" t="s">
        <v>1450</v>
      </c>
      <c r="B28" s="824" t="n">
        <v>24000</v>
      </c>
      <c r="C28" s="824" t="n">
        <v>3</v>
      </c>
      <c r="D28" s="823" t="n">
        <v>14.4</v>
      </c>
      <c r="E28" s="843" t="n">
        <v>137.414</v>
      </c>
      <c r="F28" s="785"/>
      <c r="G28" s="821" t="n">
        <v>1200</v>
      </c>
      <c r="H28" s="825" t="n">
        <v>4</v>
      </c>
    </row>
    <row r="29" customFormat="false" ht="12.75" hidden="false" customHeight="false" outlineLevel="0" collapsed="false">
      <c r="A29" s="823" t="s">
        <v>1451</v>
      </c>
      <c r="B29" s="824" t="n">
        <v>24000</v>
      </c>
      <c r="C29" s="824" t="n">
        <v>3</v>
      </c>
      <c r="D29" s="823" t="n">
        <v>13.4</v>
      </c>
      <c r="E29" s="843" t="n">
        <v>74.762</v>
      </c>
      <c r="F29" s="785"/>
      <c r="G29" s="821" t="n">
        <v>1200</v>
      </c>
      <c r="H29" s="825" t="n">
        <v>4</v>
      </c>
    </row>
    <row r="30" customFormat="false" ht="12.75" hidden="false" customHeight="false" outlineLevel="0" collapsed="false">
      <c r="A30" s="826"/>
      <c r="B30" s="827"/>
      <c r="C30" s="827"/>
      <c r="D30" s="826"/>
      <c r="E30" s="826"/>
      <c r="F30" s="846"/>
      <c r="G30" s="828"/>
      <c r="H30" s="829"/>
    </row>
    <row r="31" customFormat="false" ht="12.75" hidden="false" customHeight="false" outlineLevel="0" collapsed="false">
      <c r="A31" s="826"/>
      <c r="B31" s="827"/>
      <c r="C31" s="827"/>
      <c r="D31" s="826"/>
      <c r="E31" s="826"/>
      <c r="F31" s="785"/>
      <c r="G31" s="828"/>
      <c r="H31" s="847"/>
    </row>
    <row r="32" customFormat="false" ht="12.75" hidden="false" customHeight="false" outlineLevel="0" collapsed="false">
      <c r="A32" s="826"/>
      <c r="B32" s="827"/>
      <c r="C32" s="827"/>
      <c r="D32" s="826"/>
      <c r="E32" s="826"/>
      <c r="F32" s="785"/>
      <c r="G32" s="828"/>
      <c r="H32" s="847"/>
    </row>
    <row r="33" customFormat="false" ht="12.75" hidden="false" customHeight="false" outlineLevel="0" collapsed="false">
      <c r="A33" s="826"/>
      <c r="B33" s="827"/>
      <c r="C33" s="827"/>
      <c r="D33" s="826"/>
      <c r="E33" s="826"/>
      <c r="F33" s="785"/>
      <c r="G33" s="828"/>
      <c r="H33" s="847"/>
    </row>
    <row r="34" customFormat="false" ht="12.75" hidden="false" customHeight="false" outlineLevel="0" collapsed="false">
      <c r="A34" s="826"/>
      <c r="B34" s="827"/>
      <c r="C34" s="827"/>
      <c r="D34" s="826"/>
      <c r="E34" s="826"/>
      <c r="F34" s="785"/>
      <c r="G34" s="828"/>
      <c r="H34" s="847"/>
    </row>
    <row r="35" customFormat="false" ht="12.75" hidden="false" customHeight="false" outlineLevel="0" collapsed="false">
      <c r="A35" s="826"/>
      <c r="B35" s="827"/>
      <c r="C35" s="827"/>
      <c r="D35" s="838"/>
      <c r="E35" s="826"/>
      <c r="F35" s="785"/>
      <c r="G35" s="838"/>
      <c r="H35" s="838"/>
    </row>
    <row r="36" customFormat="false" ht="12.75" hidden="false" customHeight="false" outlineLevel="0" collapsed="false">
      <c r="A36" s="826"/>
      <c r="B36" s="827"/>
      <c r="C36" s="827"/>
      <c r="D36" s="838"/>
      <c r="E36" s="826"/>
      <c r="F36" s="785"/>
      <c r="G36" s="838"/>
      <c r="H36" s="838"/>
    </row>
    <row r="37" customFormat="false" ht="12.75" hidden="false" customHeight="false" outlineLevel="0" collapsed="false">
      <c r="A37" s="848"/>
      <c r="B37" s="827"/>
      <c r="C37" s="827"/>
      <c r="D37" s="838"/>
      <c r="E37" s="826"/>
      <c r="F37" s="785"/>
      <c r="G37" s="838"/>
      <c r="H37" s="838"/>
    </row>
    <row r="38" customFormat="false" ht="12.75" hidden="false" customHeight="false" outlineLevel="0" collapsed="false">
      <c r="A38" s="848"/>
      <c r="B38" s="827"/>
      <c r="C38" s="827"/>
      <c r="D38" s="838"/>
      <c r="E38" s="838"/>
      <c r="F38" s="785"/>
      <c r="G38" s="838"/>
      <c r="H38" s="838"/>
    </row>
    <row r="39" customFormat="false" ht="12.75" hidden="false" customHeight="false" outlineLevel="0" collapsed="false">
      <c r="A39" s="838"/>
      <c r="B39" s="827"/>
      <c r="C39" s="827"/>
      <c r="D39" s="838"/>
      <c r="E39" s="838"/>
      <c r="F39" s="785"/>
      <c r="G39" s="838"/>
      <c r="H39" s="838"/>
    </row>
    <row r="40" customFormat="false" ht="12.75" hidden="false" customHeight="false" outlineLevel="0" collapsed="false">
      <c r="A40" s="826"/>
      <c r="B40" s="827"/>
      <c r="C40" s="827"/>
      <c r="D40" s="826"/>
      <c r="E40" s="826"/>
      <c r="F40" s="785"/>
      <c r="G40" s="838"/>
      <c r="H40" s="838"/>
    </row>
    <row r="41" customFormat="false" ht="12.75" hidden="false" customHeight="false" outlineLevel="0" collapsed="false">
      <c r="A41" s="826"/>
      <c r="B41" s="827"/>
      <c r="C41" s="827"/>
      <c r="D41" s="826"/>
      <c r="E41" s="826"/>
      <c r="F41" s="785"/>
      <c r="G41" s="838"/>
      <c r="H41" s="838"/>
    </row>
    <row r="42" customFormat="false" ht="12.75" hidden="false" customHeight="false" outlineLevel="0" collapsed="false">
      <c r="A42" s="826"/>
      <c r="B42" s="827"/>
      <c r="C42" s="827"/>
      <c r="D42" s="826"/>
      <c r="E42" s="826"/>
      <c r="F42" s="785"/>
      <c r="G42" s="838"/>
      <c r="H42" s="838"/>
    </row>
    <row r="44" customFormat="false" ht="12.75" hidden="false" customHeight="false" outlineLevel="0" collapsed="false">
      <c r="A44" s="839" t="s">
        <v>1437</v>
      </c>
      <c r="B44" s="840"/>
      <c r="C44" s="840"/>
      <c r="D44" s="840"/>
      <c r="E44" s="841"/>
    </row>
    <row r="45" customFormat="false" ht="12.75" hidden="false" customHeight="false" outlineLevel="0" collapsed="false">
      <c r="A45" s="395"/>
      <c r="B45" s="157"/>
      <c r="C45" s="157"/>
      <c r="D45" s="157"/>
      <c r="E45" s="503"/>
    </row>
    <row r="46" customFormat="false" ht="12.75" hidden="false" customHeight="false" outlineLevel="0" collapsed="false">
      <c r="A46" s="395"/>
      <c r="B46" s="157"/>
      <c r="C46" s="157"/>
      <c r="D46" s="157"/>
      <c r="E46" s="503"/>
    </row>
    <row r="47" customFormat="false" ht="12.75" hidden="false" customHeight="false" outlineLevel="0" collapsed="false">
      <c r="A47" s="395"/>
      <c r="B47" s="157"/>
      <c r="C47" s="157"/>
      <c r="D47" s="157"/>
      <c r="E47" s="503"/>
    </row>
    <row r="48" customFormat="false" ht="12.75" hidden="false" customHeight="false" outlineLevel="0" collapsed="false">
      <c r="A48" s="842"/>
      <c r="B48" s="520"/>
      <c r="C48" s="520"/>
      <c r="D48" s="520"/>
      <c r="E48" s="52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340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22" activeCellId="0" sqref="C2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4" width="3.42"/>
    <col collapsed="false" customWidth="true" hidden="false" outlineLevel="0" max="2" min="2" style="35" width="5.28"/>
    <col collapsed="false" customWidth="true" hidden="false" outlineLevel="0" max="3" min="3" style="36" width="4.56"/>
    <col collapsed="false" customWidth="false" hidden="false" outlineLevel="0" max="257" min="4" style="36" width="9.14"/>
  </cols>
  <sheetData>
    <row r="1" customFormat="false" ht="15" hidden="false" customHeight="true" outlineLevel="0" collapsed="false">
      <c r="A1" s="37" t="str">
        <f aca="false">Scope!A1</f>
        <v>AES Corp, Dallas, TX (640 MW)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</row>
    <row r="2" customFormat="false" ht="15" hidden="false" customHeight="true" outlineLevel="0" collapsed="false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</row>
    <row r="3" customFormat="false" ht="15.75" hidden="false" customHeight="false" outlineLevel="0" collapsed="false">
      <c r="A3" s="39" t="s">
        <v>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</row>
    <row r="4" customFormat="false" ht="31.5" hidden="false" customHeight="true" outlineLevel="0" collapsed="false">
      <c r="A4" s="40"/>
      <c r="B4" s="40"/>
      <c r="C4" s="40"/>
      <c r="D4" s="40"/>
      <c r="E4" s="40"/>
      <c r="F4" s="40"/>
      <c r="G4" s="40"/>
      <c r="H4" s="40"/>
      <c r="I4" s="41"/>
      <c r="J4" s="41"/>
      <c r="K4" s="41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</row>
    <row r="5" customFormat="false" ht="12.75" hidden="false" customHeight="false" outlineLevel="0" collapsed="false">
      <c r="A5" s="42"/>
      <c r="B5" s="43"/>
      <c r="C5" s="44"/>
      <c r="D5" s="45"/>
      <c r="E5" s="45"/>
      <c r="F5" s="45"/>
      <c r="G5" s="45"/>
      <c r="H5" s="45"/>
      <c r="I5" s="45"/>
      <c r="J5" s="45"/>
      <c r="K5" s="45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</row>
    <row r="6" customFormat="false" ht="12.75" hidden="false" customHeight="false" outlineLevel="0" collapsed="false">
      <c r="A6" s="42" t="s">
        <v>80</v>
      </c>
      <c r="B6" s="43"/>
      <c r="C6" s="44"/>
      <c r="D6" s="45"/>
      <c r="E6" s="45"/>
      <c r="F6" s="45"/>
      <c r="G6" s="45"/>
      <c r="H6" s="45"/>
      <c r="I6" s="45"/>
      <c r="J6" s="45"/>
      <c r="K6" s="45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  <c r="IG6" s="47"/>
      <c r="IH6" s="47"/>
      <c r="II6" s="47"/>
      <c r="IJ6" s="47"/>
      <c r="IK6" s="47"/>
      <c r="IL6" s="47"/>
      <c r="IM6" s="47"/>
      <c r="IN6" s="47"/>
      <c r="IO6" s="47"/>
      <c r="IP6" s="47"/>
      <c r="IQ6" s="47"/>
      <c r="IR6" s="47"/>
      <c r="IS6" s="47"/>
      <c r="IT6" s="47"/>
      <c r="IU6" s="47"/>
      <c r="IV6" s="47"/>
      <c r="IW6" s="47"/>
    </row>
    <row r="7" customFormat="false" ht="12.75" hidden="false" customHeight="false" outlineLevel="0" collapsed="false">
      <c r="A7" s="42"/>
      <c r="B7" s="43"/>
      <c r="C7" s="44"/>
      <c r="D7" s="45"/>
      <c r="E7" s="45"/>
      <c r="F7" s="45"/>
      <c r="G7" s="45"/>
      <c r="H7" s="45"/>
      <c r="I7" s="45"/>
      <c r="J7" s="45"/>
      <c r="K7" s="45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  <c r="IV7" s="47"/>
      <c r="IW7" s="47"/>
    </row>
    <row r="8" customFormat="false" ht="12.75" hidden="false" customHeight="false" outlineLevel="0" collapsed="false">
      <c r="A8" s="42" t="s">
        <v>81</v>
      </c>
      <c r="B8" s="43"/>
      <c r="C8" s="44"/>
      <c r="D8" s="45"/>
      <c r="E8" s="45"/>
      <c r="F8" s="45"/>
      <c r="G8" s="45"/>
      <c r="H8" s="45"/>
      <c r="I8" s="45"/>
      <c r="J8" s="45"/>
      <c r="K8" s="45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</row>
    <row r="9" customFormat="false" ht="12.75" hidden="false" customHeight="false" outlineLevel="0" collapsed="false">
      <c r="A9" s="42"/>
      <c r="B9" s="43" t="n">
        <v>1</v>
      </c>
      <c r="C9" s="44" t="s">
        <v>82</v>
      </c>
      <c r="D9" s="45"/>
      <c r="E9" s="45"/>
      <c r="F9" s="45"/>
      <c r="G9" s="45"/>
      <c r="H9" s="45"/>
      <c r="I9" s="45"/>
      <c r="J9" s="45"/>
      <c r="K9" s="45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</row>
    <row r="10" customFormat="false" ht="12.75" hidden="false" customHeight="false" outlineLevel="0" collapsed="false">
      <c r="A10" s="42"/>
      <c r="B10" s="43" t="n">
        <v>2</v>
      </c>
      <c r="C10" s="44" t="s">
        <v>83</v>
      </c>
      <c r="D10" s="45"/>
      <c r="E10" s="45"/>
      <c r="F10" s="45"/>
      <c r="G10" s="45"/>
      <c r="H10" s="45"/>
      <c r="I10" s="45"/>
      <c r="J10" s="45"/>
      <c r="K10" s="45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47"/>
      <c r="GI10" s="47"/>
      <c r="GJ10" s="47"/>
      <c r="GK10" s="47"/>
      <c r="GL10" s="47"/>
      <c r="GM10" s="47"/>
      <c r="GN10" s="47"/>
      <c r="GO10" s="47"/>
      <c r="GP10" s="47"/>
      <c r="GQ10" s="47"/>
      <c r="GR10" s="47"/>
      <c r="GS10" s="47"/>
      <c r="GT10" s="47"/>
      <c r="GU10" s="4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  <c r="HN10" s="47"/>
      <c r="HO10" s="47"/>
      <c r="HP10" s="47"/>
      <c r="HQ10" s="47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7"/>
      <c r="ID10" s="47"/>
      <c r="IE10" s="47"/>
      <c r="IF10" s="47"/>
      <c r="IG10" s="47"/>
      <c r="IH10" s="47"/>
      <c r="II10" s="47"/>
      <c r="IJ10" s="47"/>
      <c r="IK10" s="47"/>
      <c r="IL10" s="47"/>
      <c r="IM10" s="47"/>
      <c r="IN10" s="47"/>
      <c r="IO10" s="47"/>
      <c r="IP10" s="47"/>
      <c r="IQ10" s="47"/>
      <c r="IR10" s="47"/>
      <c r="IS10" s="47"/>
      <c r="IT10" s="47"/>
      <c r="IU10" s="47"/>
      <c r="IV10" s="47"/>
      <c r="IW10" s="47"/>
    </row>
    <row r="11" customFormat="false" ht="12.75" hidden="false" customHeight="false" outlineLevel="0" collapsed="false">
      <c r="A11" s="42"/>
      <c r="B11" s="43"/>
      <c r="C11" s="44"/>
      <c r="D11" s="45"/>
      <c r="E11" s="45"/>
      <c r="F11" s="45"/>
      <c r="G11" s="45"/>
      <c r="H11" s="45"/>
      <c r="I11" s="45"/>
      <c r="J11" s="45"/>
      <c r="K11" s="45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</row>
    <row r="12" customFormat="false" ht="12.75" hidden="false" customHeight="false" outlineLevel="0" collapsed="false">
      <c r="A12" s="42" t="s">
        <v>84</v>
      </c>
      <c r="B12" s="43"/>
      <c r="C12" s="44"/>
      <c r="D12" s="45"/>
      <c r="E12" s="45"/>
      <c r="F12" s="45"/>
      <c r="G12" s="45"/>
      <c r="H12" s="45"/>
      <c r="I12" s="45"/>
      <c r="J12" s="45"/>
      <c r="K12" s="45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</row>
    <row r="13" customFormat="false" ht="12.75" hidden="false" customHeight="false" outlineLevel="0" collapsed="false">
      <c r="A13" s="42"/>
      <c r="B13" s="48" t="n">
        <v>1</v>
      </c>
      <c r="C13" s="49" t="str">
        <f aca="false">CONCATENATE("Plant is ",Scope!F43," loaded with a PLF of ",TEXT(Scope!F39,"##%"))</f>
        <v>Plant is Base loaded with a PLF of 95%</v>
      </c>
      <c r="D13" s="45"/>
      <c r="E13" s="45"/>
      <c r="F13" s="45"/>
      <c r="G13" s="45"/>
      <c r="H13" s="45"/>
      <c r="I13" s="45"/>
      <c r="J13" s="45"/>
      <c r="K13" s="45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</row>
    <row r="14" customFormat="false" ht="12.75" hidden="false" customHeight="false" outlineLevel="0" collapsed="false">
      <c r="A14" s="42"/>
      <c r="B14" s="48" t="n">
        <f aca="false">B13+1</f>
        <v>2</v>
      </c>
      <c r="C14" s="49" t="str">
        <f aca="false">CONCATENATE("Plant is assumed to start ",Scope!F42," times per year")</f>
        <v>Plant is assumed to start &lt;100 times per year</v>
      </c>
      <c r="D14" s="45"/>
      <c r="E14" s="45"/>
      <c r="F14" s="45"/>
      <c r="G14" s="45"/>
      <c r="H14" s="45"/>
      <c r="I14" s="45"/>
      <c r="J14" s="45"/>
      <c r="K14" s="45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  <c r="IW14" s="47"/>
    </row>
    <row r="15" customFormat="false" ht="12.75" hidden="false" customHeight="false" outlineLevel="0" collapsed="false">
      <c r="A15" s="42"/>
      <c r="B15" s="48"/>
      <c r="C15" s="49"/>
      <c r="D15" s="45"/>
      <c r="E15" s="45"/>
      <c r="F15" s="45"/>
      <c r="G15" s="45"/>
      <c r="H15" s="45"/>
      <c r="I15" s="45"/>
      <c r="J15" s="45"/>
      <c r="K15" s="45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7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/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7"/>
      <c r="ID15" s="47"/>
      <c r="IE15" s="47"/>
      <c r="IF15" s="47"/>
      <c r="IG15" s="47"/>
      <c r="IH15" s="47"/>
      <c r="II15" s="47"/>
      <c r="IJ15" s="47"/>
      <c r="IK15" s="47"/>
      <c r="IL15" s="47"/>
      <c r="IM15" s="47"/>
      <c r="IN15" s="47"/>
      <c r="IO15" s="47"/>
      <c r="IP15" s="47"/>
      <c r="IQ15" s="47"/>
      <c r="IR15" s="47"/>
      <c r="IS15" s="47"/>
      <c r="IT15" s="47"/>
      <c r="IU15" s="47"/>
      <c r="IV15" s="47"/>
      <c r="IW15" s="47"/>
    </row>
    <row r="16" customFormat="false" ht="12.75" hidden="false" customHeight="false" outlineLevel="0" collapsed="false">
      <c r="A16" s="42" t="s">
        <v>85</v>
      </c>
      <c r="B16" s="48"/>
      <c r="C16" s="44"/>
      <c r="D16" s="45"/>
      <c r="E16" s="45"/>
      <c r="F16" s="45"/>
      <c r="G16" s="45"/>
      <c r="H16" s="45"/>
      <c r="I16" s="45"/>
      <c r="J16" s="45"/>
      <c r="K16" s="45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  <c r="IW16" s="47"/>
    </row>
    <row r="17" customFormat="false" ht="12.75" hidden="false" customHeight="false" outlineLevel="0" collapsed="false">
      <c r="A17" s="42"/>
      <c r="B17" s="48" t="n">
        <v>1</v>
      </c>
      <c r="C17" s="44" t="str">
        <f aca="false">Scope!$F$36</f>
        <v>Pipeline Quality Natural Gas</v>
      </c>
      <c r="D17" s="45"/>
      <c r="E17" s="45"/>
      <c r="F17" s="45"/>
      <c r="G17" s="45"/>
      <c r="H17" s="45"/>
      <c r="I17" s="45"/>
      <c r="J17" s="45"/>
      <c r="K17" s="45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  <c r="IW17" s="47"/>
    </row>
    <row r="18" customFormat="false" ht="12.75" hidden="false" customHeight="false" outlineLevel="0" collapsed="false">
      <c r="A18" s="42"/>
      <c r="B18" s="48" t="n">
        <v>2</v>
      </c>
      <c r="C18" s="44" t="str">
        <f aca="false">Scope!$F$37</f>
        <v>None</v>
      </c>
      <c r="D18" s="45"/>
      <c r="E18" s="45"/>
      <c r="F18" s="45"/>
      <c r="G18" s="45"/>
      <c r="H18" s="45"/>
      <c r="I18" s="45"/>
      <c r="J18" s="45"/>
      <c r="K18" s="45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  <c r="IW18" s="47"/>
    </row>
    <row r="19" customFormat="false" ht="12.75" hidden="false" customHeight="false" outlineLevel="0" collapsed="false">
      <c r="A19" s="42"/>
      <c r="B19" s="48"/>
      <c r="C19" s="44"/>
      <c r="D19" s="45"/>
      <c r="E19" s="45"/>
      <c r="F19" s="45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  <c r="IW19" s="47"/>
    </row>
    <row r="20" customFormat="false" ht="12.75" hidden="false" customHeight="false" outlineLevel="0" collapsed="false">
      <c r="A20" s="42" t="s">
        <v>86</v>
      </c>
      <c r="B20" s="48"/>
      <c r="C20" s="44"/>
      <c r="D20" s="45"/>
      <c r="E20" s="45"/>
      <c r="F20" s="45"/>
      <c r="G20" s="45"/>
      <c r="H20" s="45"/>
      <c r="I20" s="45"/>
      <c r="J20" s="45"/>
      <c r="K20" s="45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</row>
    <row r="21" customFormat="false" ht="12.75" hidden="false" customHeight="false" outlineLevel="0" collapsed="false">
      <c r="A21" s="50"/>
      <c r="B21" s="51" t="n">
        <v>1</v>
      </c>
      <c r="C21" s="44" t="s">
        <v>87</v>
      </c>
      <c r="D21" s="52"/>
      <c r="E21" s="52"/>
      <c r="F21" s="52"/>
      <c r="G21" s="52"/>
      <c r="H21" s="52"/>
      <c r="I21" s="52"/>
      <c r="J21" s="52"/>
      <c r="K21" s="52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</row>
    <row r="22" customFormat="false" ht="12.75" hidden="false" customHeight="false" outlineLevel="0" collapsed="false">
      <c r="A22" s="50"/>
      <c r="B22" s="51" t="n">
        <v>2</v>
      </c>
      <c r="C22" s="55" t="s">
        <v>88</v>
      </c>
      <c r="D22" s="56"/>
      <c r="E22" s="56"/>
      <c r="F22" s="56"/>
      <c r="G22" s="56"/>
      <c r="H22" s="56"/>
      <c r="I22" s="56"/>
      <c r="J22" s="56"/>
      <c r="K22" s="56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</row>
    <row r="23" customFormat="false" ht="12.75" hidden="false" customHeight="false" outlineLevel="0" collapsed="false">
      <c r="A23" s="57"/>
      <c r="B23" s="51"/>
      <c r="C23" s="58"/>
      <c r="D23" s="52"/>
      <c r="E23" s="52"/>
      <c r="F23" s="52"/>
      <c r="G23" s="52"/>
      <c r="H23" s="52"/>
      <c r="I23" s="52"/>
      <c r="J23" s="52"/>
      <c r="K23" s="52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</row>
    <row r="24" customFormat="false" ht="12.75" hidden="true" customHeight="false" outlineLevel="0" collapsed="false">
      <c r="A24" s="57" t="s">
        <v>89</v>
      </c>
      <c r="B24" s="59"/>
      <c r="C24" s="52"/>
      <c r="D24" s="52"/>
      <c r="E24" s="52"/>
      <c r="F24" s="52"/>
      <c r="G24" s="52"/>
      <c r="H24" s="52"/>
      <c r="I24" s="52"/>
      <c r="J24" s="52"/>
      <c r="K24" s="52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</row>
    <row r="25" customFormat="false" ht="12.75" hidden="true" customHeight="false" outlineLevel="0" collapsed="false">
      <c r="A25" s="57"/>
      <c r="B25" s="59" t="n">
        <v>1</v>
      </c>
      <c r="C25" s="52" t="s">
        <v>90</v>
      </c>
      <c r="D25" s="52"/>
      <c r="E25" s="52"/>
      <c r="F25" s="52"/>
      <c r="G25" s="52"/>
      <c r="H25" s="52"/>
      <c r="I25" s="52"/>
      <c r="J25" s="52"/>
      <c r="K25" s="52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</row>
    <row r="26" customFormat="false" ht="12.75" hidden="true" customHeight="false" outlineLevel="0" collapsed="false">
      <c r="A26" s="57"/>
      <c r="B26" s="59"/>
      <c r="C26" s="52"/>
      <c r="D26" s="52"/>
      <c r="E26" s="52"/>
      <c r="F26" s="52"/>
      <c r="G26" s="52"/>
      <c r="H26" s="52"/>
      <c r="I26" s="52"/>
      <c r="J26" s="52"/>
      <c r="K26" s="52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</row>
    <row r="27" customFormat="false" ht="12.75" hidden="false" customHeight="false" outlineLevel="0" collapsed="false">
      <c r="A27" s="57" t="s">
        <v>91</v>
      </c>
      <c r="B27" s="59"/>
      <c r="C27" s="52"/>
      <c r="D27" s="52"/>
      <c r="E27" s="52"/>
      <c r="F27" s="52"/>
      <c r="G27" s="52"/>
      <c r="H27" s="52"/>
      <c r="I27" s="52"/>
      <c r="J27" s="52"/>
      <c r="K27" s="52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</row>
    <row r="28" customFormat="false" ht="12.75" hidden="false" customHeight="false" outlineLevel="0" collapsed="false">
      <c r="A28" s="60"/>
      <c r="B28" s="59" t="n">
        <v>1</v>
      </c>
      <c r="C28" s="52" t="s">
        <v>92</v>
      </c>
      <c r="D28" s="52"/>
      <c r="E28" s="52"/>
      <c r="F28" s="52"/>
      <c r="G28" s="52"/>
      <c r="H28" s="52"/>
      <c r="I28" s="52"/>
      <c r="J28" s="52"/>
      <c r="K28" s="52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</row>
    <row r="29" customFormat="false" ht="12.75" hidden="false" customHeight="false" outlineLevel="0" collapsed="false">
      <c r="A29" s="50"/>
      <c r="B29" s="61" t="n">
        <v>2</v>
      </c>
      <c r="C29" s="58" t="s">
        <v>93</v>
      </c>
      <c r="D29" s="52"/>
      <c r="E29" s="52"/>
      <c r="F29" s="52"/>
      <c r="G29" s="52"/>
      <c r="H29" s="52"/>
      <c r="I29" s="52"/>
      <c r="J29" s="52"/>
      <c r="K29" s="52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</row>
    <row r="30" customFormat="false" ht="12.75" hidden="false" customHeight="false" outlineLevel="0" collapsed="false">
      <c r="A30" s="50"/>
      <c r="B30" s="61"/>
      <c r="C30" s="58"/>
      <c r="D30" s="52"/>
      <c r="E30" s="52"/>
      <c r="F30" s="52"/>
      <c r="G30" s="52"/>
      <c r="H30" s="52"/>
      <c r="I30" s="52"/>
      <c r="J30" s="52"/>
      <c r="K30" s="52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</row>
    <row r="31" customFormat="false" ht="12.75" hidden="false" customHeight="false" outlineLevel="0" collapsed="false">
      <c r="A31" s="50" t="s">
        <v>94</v>
      </c>
      <c r="B31" s="59"/>
      <c r="C31" s="58"/>
      <c r="D31" s="52"/>
      <c r="E31" s="52"/>
      <c r="F31" s="52"/>
      <c r="G31" s="52"/>
      <c r="H31" s="52"/>
      <c r="I31" s="52"/>
      <c r="J31" s="52"/>
      <c r="K31" s="52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</row>
    <row r="32" customFormat="false" ht="12.75" hidden="false" customHeight="false" outlineLevel="0" collapsed="false">
      <c r="A32" s="62"/>
      <c r="B32" s="58" t="n">
        <v>1</v>
      </c>
      <c r="C32" s="58" t="s">
        <v>95</v>
      </c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</row>
    <row r="33" customFormat="false" ht="12.75" hidden="false" customHeight="false" outlineLevel="0" collapsed="false">
      <c r="A33" s="50"/>
      <c r="B33" s="58" t="n">
        <v>2</v>
      </c>
      <c r="C33" s="52" t="s">
        <v>96</v>
      </c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</row>
    <row r="34" customFormat="false" ht="12.75" hidden="false" customHeight="false" outlineLevel="0" collapsed="false">
      <c r="A34" s="50"/>
      <c r="B34" s="58" t="n">
        <v>3</v>
      </c>
      <c r="C34" s="52" t="s">
        <v>97</v>
      </c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</row>
    <row r="35" customFormat="false" ht="12.75" hidden="false" customHeight="false" outlineLevel="0" collapsed="false">
      <c r="A35" s="50"/>
      <c r="B35" s="58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</row>
    <row r="36" customFormat="false" ht="12.75" hidden="false" customHeight="false" outlineLevel="0" collapsed="false">
      <c r="A36" s="50" t="s">
        <v>98</v>
      </c>
      <c r="B36" s="58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</row>
    <row r="37" customFormat="false" ht="12.75" hidden="false" customHeight="false" outlineLevel="0" collapsed="false">
      <c r="A37" s="50"/>
      <c r="B37" s="58" t="n">
        <v>1</v>
      </c>
      <c r="C37" s="52" t="s">
        <v>99</v>
      </c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12.75" hidden="false" customHeight="false" outlineLevel="0" collapsed="false">
      <c r="A38" s="50"/>
      <c r="B38" s="58" t="n">
        <v>2</v>
      </c>
      <c r="C38" s="52" t="s">
        <v>100</v>
      </c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12.75" hidden="false" customHeight="false" outlineLevel="0" collapsed="false">
      <c r="A39" s="50"/>
      <c r="B39" s="58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</row>
    <row r="40" customFormat="false" ht="12.75" hidden="false" customHeight="false" outlineLevel="0" collapsed="false">
      <c r="A40" s="50" t="s">
        <v>101</v>
      </c>
      <c r="B40" s="58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</row>
    <row r="41" customFormat="false" ht="12.75" hidden="false" customHeight="false" outlineLevel="0" collapsed="false">
      <c r="A41" s="50"/>
      <c r="B41" s="58" t="n">
        <v>1</v>
      </c>
      <c r="C41" s="63" t="s">
        <v>102</v>
      </c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</row>
    <row r="42" customFormat="false" ht="12.75" hidden="false" customHeight="false" outlineLevel="0" collapsed="false">
      <c r="A42" s="50"/>
      <c r="B42" s="58" t="n">
        <v>2</v>
      </c>
      <c r="C42" s="52" t="s">
        <v>103</v>
      </c>
      <c r="D42" s="44" t="s">
        <v>104</v>
      </c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</row>
    <row r="43" customFormat="false" ht="12.75" hidden="false" customHeight="false" outlineLevel="0" collapsed="false">
      <c r="A43" s="50"/>
      <c r="B43" s="58"/>
      <c r="C43" s="52" t="s">
        <v>105</v>
      </c>
      <c r="D43" s="44" t="s">
        <v>106</v>
      </c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  <c r="IW43" s="63"/>
    </row>
    <row r="44" customFormat="false" ht="12.75" hidden="false" customHeight="false" outlineLevel="0" collapsed="false">
      <c r="A44" s="50"/>
      <c r="B44" s="58"/>
      <c r="C44" s="52" t="s">
        <v>107</v>
      </c>
      <c r="D44" s="44" t="s">
        <v>108</v>
      </c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</row>
    <row r="45" customFormat="false" ht="12.75" hidden="false" customHeight="false" outlineLevel="0" collapsed="false">
      <c r="A45" s="50"/>
      <c r="B45" s="58"/>
      <c r="C45" s="52" t="s">
        <v>109</v>
      </c>
      <c r="D45" s="44" t="s">
        <v>110</v>
      </c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</row>
    <row r="46" customFormat="false" ht="12.75" hidden="false" customHeight="false" outlineLevel="0" collapsed="false">
      <c r="A46" s="50"/>
      <c r="B46" s="58"/>
      <c r="C46" s="52" t="s">
        <v>111</v>
      </c>
      <c r="D46" s="44" t="s">
        <v>112</v>
      </c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</row>
    <row r="47" customFormat="false" ht="12.75" hidden="false" customHeight="false" outlineLevel="0" collapsed="false">
      <c r="A47" s="50"/>
      <c r="B47" s="58"/>
      <c r="C47" s="52" t="s">
        <v>113</v>
      </c>
      <c r="D47" s="44" t="s">
        <v>114</v>
      </c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12.75" hidden="false" customHeight="false" outlineLevel="0" collapsed="false">
      <c r="A48" s="63"/>
      <c r="B48" s="58"/>
      <c r="C48" s="52" t="s">
        <v>115</v>
      </c>
      <c r="D48" s="44" t="s">
        <v>116</v>
      </c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12.75" hidden="false" customHeight="false" outlineLevel="0" collapsed="false">
      <c r="A49" s="63"/>
      <c r="B49" s="63"/>
      <c r="C49" s="63" t="s">
        <v>117</v>
      </c>
      <c r="D49" s="44" t="s">
        <v>118</v>
      </c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</row>
    <row r="50" customFormat="false" ht="12.75" hidden="false" customHeight="false" outlineLevel="0" collapsed="false">
      <c r="A50" s="63"/>
      <c r="B50" s="63"/>
      <c r="C50" s="63" t="s">
        <v>119</v>
      </c>
      <c r="D50" s="44" t="s">
        <v>120</v>
      </c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</row>
    <row r="51" customFormat="false" ht="12.75" hidden="false" customHeight="false" outlineLevel="0" collapsed="false">
      <c r="A51" s="63"/>
      <c r="B51" s="63"/>
      <c r="C51" s="63" t="s">
        <v>121</v>
      </c>
      <c r="D51" s="44" t="s">
        <v>122</v>
      </c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</row>
    <row r="52" customFormat="false" ht="12.75" hidden="false" customHeight="false" outlineLevel="0" collapsed="false">
      <c r="A52" s="63"/>
      <c r="B52" s="63"/>
      <c r="C52" s="63" t="s">
        <v>123</v>
      </c>
      <c r="D52" s="44" t="s">
        <v>124</v>
      </c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12.75" hidden="false" customHeight="false" outlineLevel="0" collapsed="false">
      <c r="A53" s="63"/>
      <c r="B53" s="63"/>
      <c r="C53" s="63" t="s">
        <v>125</v>
      </c>
      <c r="D53" s="44" t="s">
        <v>126</v>
      </c>
      <c r="E53" s="63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12.75" hidden="false" customHeight="false" outlineLevel="0" collapsed="false">
      <c r="A54" s="63"/>
      <c r="B54" s="63"/>
      <c r="C54" s="63" t="s">
        <v>127</v>
      </c>
      <c r="D54" s="63"/>
      <c r="E54" s="63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12.75" hidden="false" customHeight="false" outlineLevel="0" collapsed="false">
      <c r="A55" s="63"/>
      <c r="B55" s="63"/>
      <c r="C55" s="63"/>
      <c r="D55" s="63"/>
      <c r="E55" s="63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</row>
    <row r="56" customFormat="false" ht="12.75" hidden="false" customHeight="false" outlineLevel="0" collapsed="false">
      <c r="A56" s="50" t="s">
        <v>128</v>
      </c>
      <c r="B56" s="63"/>
      <c r="C56" s="63"/>
      <c r="D56" s="52"/>
      <c r="E56" s="52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61"/>
      <c r="IP56" s="61"/>
      <c r="IQ56" s="61"/>
      <c r="IR56" s="61"/>
      <c r="IS56" s="61"/>
      <c r="IT56" s="61"/>
      <c r="IU56" s="61"/>
      <c r="IV56" s="61"/>
      <c r="IW56" s="61"/>
    </row>
    <row r="57" customFormat="false" ht="12.75" hidden="false" customHeight="false" outlineLevel="0" collapsed="false">
      <c r="A57" s="50"/>
      <c r="B57" s="63" t="n">
        <v>1</v>
      </c>
      <c r="C57" s="65" t="s">
        <v>129</v>
      </c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</row>
    <row r="58" customFormat="false" ht="12.75" hidden="false" customHeight="false" outlineLevel="0" collapsed="false">
      <c r="A58" s="50"/>
      <c r="B58" s="63" t="n">
        <f aca="false">B57+1</f>
        <v>2</v>
      </c>
      <c r="C58" s="65" t="s">
        <v>130</v>
      </c>
      <c r="D58" s="52"/>
      <c r="E58" s="64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</row>
    <row r="59" customFormat="false" ht="12.75" hidden="false" customHeight="false" outlineLevel="0" collapsed="false">
      <c r="A59" s="50"/>
      <c r="B59" s="63" t="n">
        <f aca="false">B58+1</f>
        <v>3</v>
      </c>
      <c r="C59" s="65" t="s">
        <v>131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</row>
    <row r="60" customFormat="false" ht="12.75" hidden="false" customHeight="false" outlineLevel="0" collapsed="false">
      <c r="A60" s="50"/>
      <c r="B60" s="63" t="n">
        <f aca="false">B59+1</f>
        <v>4</v>
      </c>
      <c r="C60" s="65" t="s">
        <v>132</v>
      </c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</row>
    <row r="61" customFormat="false" ht="12.75" hidden="false" customHeight="false" outlineLevel="0" collapsed="false">
      <c r="A61" s="50"/>
      <c r="B61" s="63" t="n">
        <f aca="false">B60+1</f>
        <v>5</v>
      </c>
      <c r="C61" s="65" t="s">
        <v>133</v>
      </c>
      <c r="D61" s="52"/>
      <c r="E61" s="52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</row>
    <row r="62" customFormat="false" ht="12.75" hidden="false" customHeight="false" outlineLevel="0" collapsed="false">
      <c r="A62" s="60"/>
      <c r="B62" s="63" t="n">
        <f aca="false">B61+1</f>
        <v>6</v>
      </c>
      <c r="C62" s="65" t="s">
        <v>134</v>
      </c>
      <c r="D62" s="52"/>
      <c r="E62" s="52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</row>
    <row r="63" customFormat="false" ht="12.75" hidden="false" customHeight="false" outlineLevel="0" collapsed="false">
      <c r="A63" s="60"/>
      <c r="B63" s="63" t="n">
        <f aca="false">B62+1</f>
        <v>7</v>
      </c>
      <c r="C63" s="60" t="s">
        <v>135</v>
      </c>
      <c r="D63" s="64"/>
      <c r="E63" s="52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</row>
    <row r="64" customFormat="false" ht="12.75" hidden="false" customHeight="false" outlineLevel="0" collapsed="false">
      <c r="A64" s="60"/>
      <c r="B64" s="63" t="n">
        <f aca="false">B63+1</f>
        <v>8</v>
      </c>
      <c r="C64" s="60" t="s">
        <v>136</v>
      </c>
      <c r="D64" s="52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</row>
    <row r="65" customFormat="false" ht="12.75" hidden="false" customHeight="false" outlineLevel="0" collapsed="false">
      <c r="A65" s="66"/>
      <c r="B65" s="63" t="n">
        <f aca="false">B64+1</f>
        <v>9</v>
      </c>
      <c r="C65" s="60" t="s">
        <v>137</v>
      </c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</row>
    <row r="66" customFormat="false" ht="12.75" hidden="false" customHeight="false" outlineLevel="0" collapsed="false">
      <c r="A66" s="66"/>
      <c r="B66" s="67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</row>
    <row r="67" customFormat="false" ht="12.75" hidden="false" customHeight="false" outlineLevel="0" collapsed="false">
      <c r="A67" s="66"/>
      <c r="B67" s="67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</row>
    <row r="68" customFormat="false" ht="12.75" hidden="false" customHeight="false" outlineLevel="0" collapsed="false">
      <c r="A68" s="66"/>
      <c r="B68" s="67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</row>
    <row r="69" customFormat="false" ht="12.75" hidden="false" customHeight="false" outlineLevel="0" collapsed="false">
      <c r="A69" s="66"/>
      <c r="B69" s="67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</row>
    <row r="70" customFormat="false" ht="12.75" hidden="false" customHeight="false" outlineLevel="0" collapsed="false">
      <c r="A70" s="66"/>
      <c r="B70" s="67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</row>
    <row r="71" customFormat="false" ht="12.75" hidden="false" customHeight="false" outlineLevel="0" collapsed="false">
      <c r="A71" s="66"/>
      <c r="B71" s="6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</row>
    <row r="72" customFormat="false" ht="12.75" hidden="false" customHeight="false" outlineLevel="0" collapsed="false">
      <c r="A72" s="66"/>
      <c r="B72" s="67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</row>
    <row r="73" customFormat="false" ht="12.75" hidden="false" customHeight="false" outlineLevel="0" collapsed="false">
      <c r="A73" s="66"/>
      <c r="B73" s="67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</row>
    <row r="74" customFormat="false" ht="12.75" hidden="false" customHeight="false" outlineLevel="0" collapsed="false">
      <c r="A74" s="66"/>
      <c r="B74" s="67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</row>
    <row r="75" customFormat="false" ht="12.75" hidden="false" customHeight="false" outlineLevel="0" collapsed="false">
      <c r="A75" s="66"/>
      <c r="B75" s="67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</row>
    <row r="76" customFormat="false" ht="12.75" hidden="false" customHeight="false" outlineLevel="0" collapsed="false">
      <c r="A76" s="66"/>
      <c r="B76" s="67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</row>
    <row r="77" customFormat="false" ht="12.75" hidden="false" customHeight="false" outlineLevel="0" collapsed="false">
      <c r="A77" s="66"/>
      <c r="B77" s="67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</row>
    <row r="78" customFormat="false" ht="12.75" hidden="false" customHeight="false" outlineLevel="0" collapsed="false">
      <c r="A78" s="66"/>
      <c r="B78" s="67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</row>
    <row r="79" customFormat="false" ht="12.75" hidden="false" customHeight="false" outlineLevel="0" collapsed="false">
      <c r="A79" s="66"/>
      <c r="B79" s="67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</row>
    <row r="80" customFormat="false" ht="12.75" hidden="false" customHeight="false" outlineLevel="0" collapsed="false">
      <c r="A80" s="66"/>
      <c r="B80" s="67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</row>
    <row r="81" customFormat="false" ht="12.75" hidden="false" customHeight="false" outlineLevel="0" collapsed="false">
      <c r="A81" s="66"/>
      <c r="B81" s="67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</row>
    <row r="82" customFormat="false" ht="12.75" hidden="false" customHeight="false" outlineLevel="0" collapsed="false">
      <c r="A82" s="66"/>
      <c r="B82" s="67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</row>
    <row r="83" customFormat="false" ht="12.75" hidden="false" customHeight="false" outlineLevel="0" collapsed="false">
      <c r="A83" s="66"/>
      <c r="B83" s="67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</row>
    <row r="84" customFormat="false" ht="12.75" hidden="false" customHeight="false" outlineLevel="0" collapsed="false">
      <c r="A84" s="66"/>
      <c r="B84" s="67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</row>
    <row r="85" customFormat="false" ht="12.75" hidden="false" customHeight="false" outlineLevel="0" collapsed="false">
      <c r="A85" s="66"/>
      <c r="B85" s="67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</row>
    <row r="86" customFormat="false" ht="12.75" hidden="false" customHeight="false" outlineLevel="0" collapsed="false">
      <c r="A86" s="66"/>
      <c r="B86" s="67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</row>
    <row r="87" customFormat="false" ht="12.75" hidden="false" customHeight="false" outlineLevel="0" collapsed="false">
      <c r="A87" s="66"/>
      <c r="B87" s="67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</row>
    <row r="88" customFormat="false" ht="12.75" hidden="false" customHeight="false" outlineLevel="0" collapsed="false">
      <c r="A88" s="66"/>
      <c r="B88" s="67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</row>
    <row r="89" customFormat="false" ht="12.75" hidden="false" customHeight="false" outlineLevel="0" collapsed="false">
      <c r="A89" s="66"/>
      <c r="B89" s="67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</row>
    <row r="90" customFormat="false" ht="12.75" hidden="false" customHeight="false" outlineLevel="0" collapsed="false">
      <c r="A90" s="66"/>
      <c r="B90" s="67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</row>
    <row r="91" customFormat="false" ht="12.75" hidden="false" customHeight="false" outlineLevel="0" collapsed="false">
      <c r="A91" s="66"/>
      <c r="B91" s="67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</row>
    <row r="92" customFormat="false" ht="12.75" hidden="false" customHeight="false" outlineLevel="0" collapsed="false">
      <c r="A92" s="66"/>
      <c r="B92" s="67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</row>
    <row r="93" customFormat="false" ht="12.75" hidden="false" customHeight="false" outlineLevel="0" collapsed="false">
      <c r="A93" s="66"/>
      <c r="B93" s="67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</row>
    <row r="94" customFormat="false" ht="12.75" hidden="false" customHeight="false" outlineLevel="0" collapsed="false">
      <c r="A94" s="66"/>
      <c r="B94" s="67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</row>
    <row r="95" customFormat="false" ht="12.75" hidden="false" customHeight="false" outlineLevel="0" collapsed="false">
      <c r="A95" s="66"/>
      <c r="B95" s="67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</row>
    <row r="96" customFormat="false" ht="12.75" hidden="false" customHeight="false" outlineLevel="0" collapsed="false">
      <c r="A96" s="66"/>
      <c r="B96" s="67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</row>
    <row r="97" customFormat="false" ht="12.75" hidden="false" customHeight="false" outlineLevel="0" collapsed="false">
      <c r="A97" s="66"/>
      <c r="B97" s="67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</row>
    <row r="98" customFormat="false" ht="12.75" hidden="false" customHeight="false" outlineLevel="0" collapsed="false">
      <c r="A98" s="66"/>
      <c r="B98" s="67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</row>
    <row r="99" customFormat="false" ht="12.75" hidden="false" customHeight="false" outlineLevel="0" collapsed="false">
      <c r="A99" s="66"/>
      <c r="B99" s="67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</row>
    <row r="100" customFormat="false" ht="12.75" hidden="false" customHeight="false" outlineLevel="0" collapsed="false">
      <c r="A100" s="66"/>
      <c r="B100" s="67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</row>
    <row r="101" customFormat="false" ht="12.75" hidden="false" customHeight="false" outlineLevel="0" collapsed="false">
      <c r="A101" s="66"/>
      <c r="B101" s="67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</row>
    <row r="102" customFormat="false" ht="12.75" hidden="false" customHeight="false" outlineLevel="0" collapsed="false">
      <c r="A102" s="66"/>
      <c r="B102" s="67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</row>
    <row r="103" customFormat="false" ht="12.75" hidden="false" customHeight="false" outlineLevel="0" collapsed="false">
      <c r="A103" s="66"/>
      <c r="B103" s="67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</row>
    <row r="104" customFormat="false" ht="12.75" hidden="false" customHeight="false" outlineLevel="0" collapsed="false">
      <c r="A104" s="66"/>
      <c r="B104" s="67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</row>
    <row r="105" customFormat="false" ht="12.75" hidden="false" customHeight="false" outlineLevel="0" collapsed="false">
      <c r="A105" s="66"/>
      <c r="B105" s="67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</row>
    <row r="106" customFormat="false" ht="12.75" hidden="false" customHeight="false" outlineLevel="0" collapsed="false">
      <c r="A106" s="66"/>
      <c r="B106" s="67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</row>
    <row r="107" customFormat="false" ht="12.75" hidden="false" customHeight="false" outlineLevel="0" collapsed="false">
      <c r="A107" s="66"/>
      <c r="B107" s="67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</row>
    <row r="108" customFormat="false" ht="12.75" hidden="false" customHeight="false" outlineLevel="0" collapsed="false">
      <c r="A108" s="66"/>
      <c r="B108" s="67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</row>
    <row r="109" customFormat="false" ht="12.75" hidden="false" customHeight="false" outlineLevel="0" collapsed="false">
      <c r="A109" s="66"/>
      <c r="B109" s="67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</row>
    <row r="110" customFormat="false" ht="12.75" hidden="false" customHeight="false" outlineLevel="0" collapsed="false">
      <c r="A110" s="66"/>
      <c r="B110" s="67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</row>
    <row r="111" customFormat="false" ht="12.75" hidden="false" customHeight="false" outlineLevel="0" collapsed="false">
      <c r="A111" s="66"/>
      <c r="B111" s="67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</row>
    <row r="112" customFormat="false" ht="12.75" hidden="false" customHeight="false" outlineLevel="0" collapsed="false">
      <c r="A112" s="66"/>
      <c r="B112" s="67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</row>
    <row r="113" customFormat="false" ht="12.75" hidden="false" customHeight="false" outlineLevel="0" collapsed="false">
      <c r="A113" s="66"/>
      <c r="B113" s="67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</row>
    <row r="114" customFormat="false" ht="12.75" hidden="false" customHeight="false" outlineLevel="0" collapsed="false">
      <c r="A114" s="66"/>
      <c r="B114" s="67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</row>
    <row r="115" customFormat="false" ht="12.75" hidden="false" customHeight="false" outlineLevel="0" collapsed="false">
      <c r="A115" s="66"/>
      <c r="B115" s="6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</row>
    <row r="116" customFormat="false" ht="12.75" hidden="false" customHeight="false" outlineLevel="0" collapsed="false">
      <c r="A116" s="66"/>
      <c r="B116" s="67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</row>
    <row r="117" customFormat="false" ht="12.75" hidden="false" customHeight="false" outlineLevel="0" collapsed="false">
      <c r="A117" s="66"/>
      <c r="B117" s="67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</row>
    <row r="118" customFormat="false" ht="12.75" hidden="false" customHeight="false" outlineLevel="0" collapsed="false">
      <c r="A118" s="66"/>
      <c r="B118" s="67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</row>
    <row r="119" customFormat="false" ht="12.75" hidden="false" customHeight="false" outlineLevel="0" collapsed="false">
      <c r="A119" s="66"/>
      <c r="B119" s="67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</row>
    <row r="120" customFormat="false" ht="12.75" hidden="false" customHeight="false" outlineLevel="0" collapsed="false">
      <c r="A120" s="66"/>
      <c r="B120" s="67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</row>
    <row r="121" customFormat="false" ht="12.75" hidden="false" customHeight="false" outlineLevel="0" collapsed="false">
      <c r="A121" s="66"/>
      <c r="B121" s="67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</row>
    <row r="122" customFormat="false" ht="12.75" hidden="false" customHeight="false" outlineLevel="0" collapsed="false">
      <c r="A122" s="66"/>
      <c r="B122" s="67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</row>
    <row r="123" customFormat="false" ht="12.75" hidden="false" customHeight="false" outlineLevel="0" collapsed="false">
      <c r="A123" s="66"/>
      <c r="B123" s="67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</row>
    <row r="124" customFormat="false" ht="12.75" hidden="false" customHeight="false" outlineLevel="0" collapsed="false">
      <c r="A124" s="66"/>
      <c r="B124" s="67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</row>
    <row r="125" customFormat="false" ht="12.75" hidden="false" customHeight="false" outlineLevel="0" collapsed="false">
      <c r="A125" s="66"/>
      <c r="B125" s="67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</row>
    <row r="126" customFormat="false" ht="12.75" hidden="false" customHeight="false" outlineLevel="0" collapsed="false">
      <c r="A126" s="66"/>
      <c r="B126" s="67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</row>
    <row r="127" customFormat="false" ht="12.75" hidden="false" customHeight="false" outlineLevel="0" collapsed="false">
      <c r="A127" s="66"/>
      <c r="B127" s="67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</row>
    <row r="128" customFormat="false" ht="12.75" hidden="false" customHeight="false" outlineLevel="0" collapsed="false">
      <c r="A128" s="66"/>
      <c r="B128" s="67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</row>
    <row r="129" customFormat="false" ht="12.75" hidden="false" customHeight="false" outlineLevel="0" collapsed="false">
      <c r="A129" s="66"/>
      <c r="B129" s="67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</row>
    <row r="130" customFormat="false" ht="12.75" hidden="false" customHeight="false" outlineLevel="0" collapsed="false">
      <c r="A130" s="66"/>
      <c r="B130" s="67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</row>
    <row r="131" customFormat="false" ht="12.75" hidden="false" customHeight="false" outlineLevel="0" collapsed="false">
      <c r="A131" s="66"/>
      <c r="B131" s="67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</row>
    <row r="132" customFormat="false" ht="12.75" hidden="false" customHeight="false" outlineLevel="0" collapsed="false">
      <c r="A132" s="66"/>
      <c r="B132" s="67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</row>
    <row r="133" customFormat="false" ht="12.75" hidden="false" customHeight="false" outlineLevel="0" collapsed="false">
      <c r="A133" s="66"/>
      <c r="B133" s="67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</row>
    <row r="134" customFormat="false" ht="12.75" hidden="false" customHeight="false" outlineLevel="0" collapsed="false">
      <c r="A134" s="66"/>
      <c r="B134" s="67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</row>
    <row r="135" customFormat="false" ht="12.75" hidden="false" customHeight="false" outlineLevel="0" collapsed="false">
      <c r="A135" s="66"/>
      <c r="B135" s="67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</row>
    <row r="136" customFormat="false" ht="12.75" hidden="false" customHeight="false" outlineLevel="0" collapsed="false">
      <c r="A136" s="66"/>
      <c r="B136" s="67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</row>
    <row r="137" customFormat="false" ht="12.75" hidden="false" customHeight="false" outlineLevel="0" collapsed="false">
      <c r="A137" s="66"/>
      <c r="B137" s="67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</row>
    <row r="138" customFormat="false" ht="12.75" hidden="false" customHeight="false" outlineLevel="0" collapsed="false">
      <c r="A138" s="66"/>
      <c r="B138" s="67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</row>
    <row r="139" customFormat="false" ht="12.75" hidden="false" customHeight="false" outlineLevel="0" collapsed="false">
      <c r="A139" s="66"/>
      <c r="B139" s="67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</row>
    <row r="140" customFormat="false" ht="12.75" hidden="false" customHeight="false" outlineLevel="0" collapsed="false">
      <c r="A140" s="66"/>
      <c r="B140" s="67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</row>
    <row r="141" customFormat="false" ht="12.75" hidden="false" customHeight="false" outlineLevel="0" collapsed="false">
      <c r="A141" s="66"/>
      <c r="B141" s="67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</row>
    <row r="142" customFormat="false" ht="12.75" hidden="false" customHeight="false" outlineLevel="0" collapsed="false">
      <c r="A142" s="66"/>
      <c r="B142" s="67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</row>
    <row r="143" customFormat="false" ht="12.75" hidden="false" customHeight="false" outlineLevel="0" collapsed="false">
      <c r="A143" s="66"/>
      <c r="B143" s="67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</row>
    <row r="144" customFormat="false" ht="12.75" hidden="false" customHeight="false" outlineLevel="0" collapsed="false">
      <c r="A144" s="66"/>
      <c r="B144" s="67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</row>
    <row r="145" customFormat="false" ht="12.75" hidden="false" customHeight="false" outlineLevel="0" collapsed="false">
      <c r="A145" s="66"/>
      <c r="B145" s="67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</row>
    <row r="146" customFormat="false" ht="12.75" hidden="false" customHeight="false" outlineLevel="0" collapsed="false">
      <c r="A146" s="66"/>
      <c r="B146" s="67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</row>
    <row r="147" customFormat="false" ht="12.75" hidden="false" customHeight="false" outlineLevel="0" collapsed="false">
      <c r="A147" s="66"/>
      <c r="B147" s="67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</row>
    <row r="148" customFormat="false" ht="12.75" hidden="false" customHeight="false" outlineLevel="0" collapsed="false">
      <c r="A148" s="66"/>
      <c r="B148" s="67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</row>
    <row r="149" customFormat="false" ht="12.75" hidden="false" customHeight="false" outlineLevel="0" collapsed="false">
      <c r="A149" s="66"/>
      <c r="B149" s="67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</row>
    <row r="150" customFormat="false" ht="12.75" hidden="false" customHeight="false" outlineLevel="0" collapsed="false">
      <c r="A150" s="66"/>
      <c r="B150" s="67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</row>
    <row r="151" customFormat="false" ht="12.75" hidden="false" customHeight="false" outlineLevel="0" collapsed="false">
      <c r="A151" s="66"/>
      <c r="B151" s="67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</row>
    <row r="152" customFormat="false" ht="12.75" hidden="false" customHeight="false" outlineLevel="0" collapsed="false">
      <c r="A152" s="66"/>
      <c r="B152" s="67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</row>
    <row r="153" customFormat="false" ht="12.75" hidden="false" customHeight="false" outlineLevel="0" collapsed="false">
      <c r="A153" s="66"/>
      <c r="B153" s="67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</row>
    <row r="154" customFormat="false" ht="12.75" hidden="false" customHeight="false" outlineLevel="0" collapsed="false">
      <c r="A154" s="66"/>
      <c r="B154" s="67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</row>
    <row r="155" customFormat="false" ht="12.75" hidden="false" customHeight="false" outlineLevel="0" collapsed="false">
      <c r="A155" s="66"/>
      <c r="B155" s="67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</row>
    <row r="156" customFormat="false" ht="12.75" hidden="false" customHeight="false" outlineLevel="0" collapsed="false">
      <c r="A156" s="66"/>
      <c r="B156" s="67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</row>
    <row r="157" customFormat="false" ht="12.75" hidden="false" customHeight="false" outlineLevel="0" collapsed="false">
      <c r="A157" s="66"/>
      <c r="B157" s="67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</row>
    <row r="158" customFormat="false" ht="12.75" hidden="false" customHeight="false" outlineLevel="0" collapsed="false">
      <c r="A158" s="66"/>
      <c r="B158" s="67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</row>
    <row r="159" customFormat="false" ht="12.75" hidden="false" customHeight="false" outlineLevel="0" collapsed="false">
      <c r="A159" s="66"/>
      <c r="B159" s="67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</row>
    <row r="160" customFormat="false" ht="12.75" hidden="false" customHeight="false" outlineLevel="0" collapsed="false">
      <c r="A160" s="66"/>
      <c r="B160" s="67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</row>
    <row r="161" customFormat="false" ht="12.75" hidden="false" customHeight="false" outlineLevel="0" collapsed="false">
      <c r="A161" s="66"/>
      <c r="B161" s="67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</row>
    <row r="162" customFormat="false" ht="12.75" hidden="false" customHeight="false" outlineLevel="0" collapsed="false">
      <c r="A162" s="66"/>
      <c r="B162" s="67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</row>
    <row r="163" customFormat="false" ht="12.75" hidden="false" customHeight="false" outlineLevel="0" collapsed="false">
      <c r="A163" s="66"/>
      <c r="B163" s="67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</row>
    <row r="164" customFormat="false" ht="12.75" hidden="false" customHeight="false" outlineLevel="0" collapsed="false">
      <c r="A164" s="66"/>
      <c r="B164" s="67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</row>
    <row r="165" customFormat="false" ht="12.75" hidden="false" customHeight="false" outlineLevel="0" collapsed="false">
      <c r="A165" s="66"/>
      <c r="B165" s="67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</row>
    <row r="166" customFormat="false" ht="12.75" hidden="false" customHeight="false" outlineLevel="0" collapsed="false">
      <c r="A166" s="66"/>
      <c r="B166" s="67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</row>
    <row r="167" customFormat="false" ht="12.75" hidden="false" customHeight="false" outlineLevel="0" collapsed="false">
      <c r="A167" s="66"/>
      <c r="B167" s="67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</row>
    <row r="168" customFormat="false" ht="12.75" hidden="false" customHeight="false" outlineLevel="0" collapsed="false">
      <c r="A168" s="66"/>
      <c r="B168" s="67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</row>
    <row r="169" customFormat="false" ht="12.75" hidden="false" customHeight="false" outlineLevel="0" collapsed="false">
      <c r="A169" s="66"/>
      <c r="B169" s="67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</row>
    <row r="170" customFormat="false" ht="12.75" hidden="false" customHeight="false" outlineLevel="0" collapsed="false">
      <c r="A170" s="66"/>
      <c r="B170" s="67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</row>
    <row r="171" customFormat="false" ht="12.75" hidden="false" customHeight="false" outlineLevel="0" collapsed="false">
      <c r="A171" s="66"/>
      <c r="B171" s="67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</row>
    <row r="172" customFormat="false" ht="12.75" hidden="false" customHeight="false" outlineLevel="0" collapsed="false">
      <c r="A172" s="66"/>
      <c r="B172" s="67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</row>
    <row r="173" customFormat="false" ht="12.75" hidden="false" customHeight="false" outlineLevel="0" collapsed="false">
      <c r="A173" s="66"/>
      <c r="B173" s="67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</row>
    <row r="174" customFormat="false" ht="12.75" hidden="false" customHeight="false" outlineLevel="0" collapsed="false">
      <c r="A174" s="66"/>
      <c r="B174" s="67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</row>
    <row r="175" customFormat="false" ht="12.75" hidden="false" customHeight="false" outlineLevel="0" collapsed="false">
      <c r="A175" s="66"/>
      <c r="B175" s="67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</row>
    <row r="176" customFormat="false" ht="12.75" hidden="false" customHeight="false" outlineLevel="0" collapsed="false">
      <c r="A176" s="66"/>
      <c r="B176" s="67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</row>
    <row r="177" customFormat="false" ht="12.75" hidden="false" customHeight="false" outlineLevel="0" collapsed="false">
      <c r="A177" s="66"/>
      <c r="B177" s="67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</row>
    <row r="178" customFormat="false" ht="12.75" hidden="false" customHeight="false" outlineLevel="0" collapsed="false">
      <c r="A178" s="66"/>
      <c r="B178" s="67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</row>
    <row r="179" customFormat="false" ht="12.75" hidden="false" customHeight="false" outlineLevel="0" collapsed="false">
      <c r="A179" s="66"/>
      <c r="B179" s="67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</row>
    <row r="180" customFormat="false" ht="12.75" hidden="false" customHeight="false" outlineLevel="0" collapsed="false">
      <c r="A180" s="66"/>
      <c r="B180" s="67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</row>
    <row r="181" customFormat="false" ht="12.75" hidden="false" customHeight="false" outlineLevel="0" collapsed="false">
      <c r="A181" s="66"/>
      <c r="B181" s="67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</row>
    <row r="182" customFormat="false" ht="12.75" hidden="false" customHeight="false" outlineLevel="0" collapsed="false">
      <c r="A182" s="66"/>
      <c r="B182" s="67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</row>
    <row r="183" customFormat="false" ht="12.75" hidden="false" customHeight="false" outlineLevel="0" collapsed="false">
      <c r="A183" s="66"/>
      <c r="B183" s="67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</row>
    <row r="184" customFormat="false" ht="12.75" hidden="false" customHeight="false" outlineLevel="0" collapsed="false">
      <c r="A184" s="66"/>
      <c r="B184" s="67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</row>
    <row r="185" customFormat="false" ht="12.75" hidden="false" customHeight="false" outlineLevel="0" collapsed="false">
      <c r="A185" s="66"/>
      <c r="B185" s="67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</row>
    <row r="186" customFormat="false" ht="12.75" hidden="false" customHeight="false" outlineLevel="0" collapsed="false">
      <c r="A186" s="66"/>
      <c r="B186" s="67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</row>
    <row r="187" customFormat="false" ht="12.75" hidden="false" customHeight="false" outlineLevel="0" collapsed="false">
      <c r="A187" s="66"/>
      <c r="B187" s="67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</row>
    <row r="188" customFormat="false" ht="12.75" hidden="false" customHeight="false" outlineLevel="0" collapsed="false">
      <c r="A188" s="66"/>
      <c r="B188" s="67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</row>
    <row r="189" customFormat="false" ht="12.75" hidden="false" customHeight="false" outlineLevel="0" collapsed="false">
      <c r="A189" s="66"/>
      <c r="B189" s="67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</row>
    <row r="190" customFormat="false" ht="12.75" hidden="false" customHeight="false" outlineLevel="0" collapsed="false">
      <c r="A190" s="66"/>
      <c r="B190" s="67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</row>
    <row r="191" customFormat="false" ht="12.75" hidden="false" customHeight="false" outlineLevel="0" collapsed="false">
      <c r="A191" s="66"/>
      <c r="B191" s="67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</row>
    <row r="192" customFormat="false" ht="12.75" hidden="false" customHeight="false" outlineLevel="0" collapsed="false">
      <c r="A192" s="66"/>
      <c r="B192" s="67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</row>
    <row r="193" customFormat="false" ht="12.75" hidden="false" customHeight="false" outlineLevel="0" collapsed="false">
      <c r="A193" s="66"/>
      <c r="B193" s="67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</row>
    <row r="194" customFormat="false" ht="12.75" hidden="false" customHeight="false" outlineLevel="0" collapsed="false">
      <c r="A194" s="66"/>
      <c r="B194" s="67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</row>
    <row r="195" customFormat="false" ht="12.75" hidden="false" customHeight="false" outlineLevel="0" collapsed="false">
      <c r="A195" s="66"/>
      <c r="B195" s="67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</row>
    <row r="196" customFormat="false" ht="12.75" hidden="false" customHeight="false" outlineLevel="0" collapsed="false">
      <c r="A196" s="66"/>
      <c r="B196" s="67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</row>
    <row r="197" customFormat="false" ht="12.75" hidden="false" customHeight="false" outlineLevel="0" collapsed="false">
      <c r="A197" s="66"/>
      <c r="B197" s="67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</row>
    <row r="198" customFormat="false" ht="12.75" hidden="false" customHeight="false" outlineLevel="0" collapsed="false">
      <c r="A198" s="66"/>
      <c r="B198" s="67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</row>
    <row r="199" customFormat="false" ht="12.75" hidden="false" customHeight="false" outlineLevel="0" collapsed="false">
      <c r="A199" s="66"/>
      <c r="B199" s="67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</row>
    <row r="200" customFormat="false" ht="12.75" hidden="false" customHeight="false" outlineLevel="0" collapsed="false">
      <c r="A200" s="66"/>
      <c r="B200" s="67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</row>
    <row r="201" customFormat="false" ht="12.75" hidden="false" customHeight="false" outlineLevel="0" collapsed="false">
      <c r="A201" s="66"/>
      <c r="B201" s="67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</row>
    <row r="202" customFormat="false" ht="12.75" hidden="false" customHeight="false" outlineLevel="0" collapsed="false">
      <c r="A202" s="66"/>
      <c r="B202" s="67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</row>
    <row r="203" customFormat="false" ht="12.75" hidden="false" customHeight="false" outlineLevel="0" collapsed="false">
      <c r="A203" s="66"/>
      <c r="B203" s="67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</row>
    <row r="204" customFormat="false" ht="12.75" hidden="false" customHeight="false" outlineLevel="0" collapsed="false">
      <c r="A204" s="66"/>
      <c r="B204" s="67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</row>
    <row r="205" customFormat="false" ht="12.75" hidden="false" customHeight="false" outlineLevel="0" collapsed="false">
      <c r="A205" s="66"/>
      <c r="B205" s="67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</row>
    <row r="206" customFormat="false" ht="12.75" hidden="false" customHeight="false" outlineLevel="0" collapsed="false">
      <c r="A206" s="66"/>
      <c r="B206" s="67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</row>
    <row r="207" customFormat="false" ht="12.75" hidden="false" customHeight="false" outlineLevel="0" collapsed="false">
      <c r="A207" s="66"/>
      <c r="B207" s="67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</row>
    <row r="208" customFormat="false" ht="12.75" hidden="false" customHeight="false" outlineLevel="0" collapsed="false">
      <c r="A208" s="66"/>
      <c r="B208" s="67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</row>
    <row r="209" customFormat="false" ht="12.75" hidden="false" customHeight="false" outlineLevel="0" collapsed="false">
      <c r="A209" s="66"/>
      <c r="B209" s="67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</row>
    <row r="210" customFormat="false" ht="12.75" hidden="false" customHeight="false" outlineLevel="0" collapsed="false">
      <c r="A210" s="66"/>
      <c r="B210" s="67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</row>
    <row r="211" customFormat="false" ht="12.75" hidden="false" customHeight="false" outlineLevel="0" collapsed="false">
      <c r="A211" s="66"/>
      <c r="B211" s="67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</row>
    <row r="212" customFormat="false" ht="12.75" hidden="false" customHeight="false" outlineLevel="0" collapsed="false">
      <c r="A212" s="66"/>
      <c r="B212" s="67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</row>
    <row r="213" customFormat="false" ht="12.75" hidden="false" customHeight="false" outlineLevel="0" collapsed="false">
      <c r="A213" s="66"/>
      <c r="B213" s="67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</row>
    <row r="214" customFormat="false" ht="12.75" hidden="false" customHeight="false" outlineLevel="0" collapsed="false">
      <c r="A214" s="66"/>
      <c r="B214" s="67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</row>
    <row r="215" customFormat="false" ht="12.75" hidden="false" customHeight="false" outlineLevel="0" collapsed="false">
      <c r="A215" s="66"/>
      <c r="B215" s="67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</row>
    <row r="216" customFormat="false" ht="12.75" hidden="false" customHeight="false" outlineLevel="0" collapsed="false">
      <c r="A216" s="66"/>
      <c r="B216" s="67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</row>
    <row r="217" customFormat="false" ht="12.75" hidden="false" customHeight="false" outlineLevel="0" collapsed="false">
      <c r="A217" s="66"/>
      <c r="B217" s="67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</row>
    <row r="218" customFormat="false" ht="12.75" hidden="false" customHeight="false" outlineLevel="0" collapsed="false">
      <c r="A218" s="66"/>
      <c r="B218" s="67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</row>
    <row r="219" customFormat="false" ht="12.75" hidden="false" customHeight="false" outlineLevel="0" collapsed="false">
      <c r="A219" s="66"/>
      <c r="B219" s="67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</row>
    <row r="220" customFormat="false" ht="12.75" hidden="false" customHeight="false" outlineLevel="0" collapsed="false">
      <c r="A220" s="66"/>
      <c r="B220" s="67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</row>
    <row r="221" customFormat="false" ht="12.75" hidden="false" customHeight="false" outlineLevel="0" collapsed="false">
      <c r="A221" s="66"/>
      <c r="B221" s="67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</row>
    <row r="222" customFormat="false" ht="12.75" hidden="false" customHeight="false" outlineLevel="0" collapsed="false">
      <c r="A222" s="66"/>
      <c r="B222" s="67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</row>
    <row r="223" customFormat="false" ht="12.75" hidden="false" customHeight="false" outlineLevel="0" collapsed="false">
      <c r="A223" s="66"/>
      <c r="B223" s="67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</row>
    <row r="224" customFormat="false" ht="12.75" hidden="false" customHeight="false" outlineLevel="0" collapsed="false">
      <c r="A224" s="66"/>
      <c r="B224" s="67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</row>
    <row r="225" customFormat="false" ht="12.75" hidden="false" customHeight="false" outlineLevel="0" collapsed="false">
      <c r="A225" s="66"/>
      <c r="B225" s="67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</row>
    <row r="226" customFormat="false" ht="12.75" hidden="false" customHeight="false" outlineLevel="0" collapsed="false">
      <c r="A226" s="66"/>
      <c r="B226" s="67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</row>
    <row r="227" customFormat="false" ht="12.75" hidden="false" customHeight="false" outlineLevel="0" collapsed="false">
      <c r="A227" s="66"/>
      <c r="B227" s="67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</row>
    <row r="228" customFormat="false" ht="12.75" hidden="false" customHeight="false" outlineLevel="0" collapsed="false">
      <c r="A228" s="66"/>
      <c r="B228" s="67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</row>
    <row r="229" customFormat="false" ht="12.75" hidden="false" customHeight="false" outlineLevel="0" collapsed="false">
      <c r="A229" s="66"/>
      <c r="B229" s="67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</row>
    <row r="230" customFormat="false" ht="12.75" hidden="false" customHeight="false" outlineLevel="0" collapsed="false">
      <c r="A230" s="66"/>
      <c r="B230" s="67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</row>
    <row r="231" customFormat="false" ht="12.75" hidden="false" customHeight="false" outlineLevel="0" collapsed="false">
      <c r="A231" s="66"/>
      <c r="B231" s="67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</row>
    <row r="232" customFormat="false" ht="12.75" hidden="false" customHeight="false" outlineLevel="0" collapsed="false">
      <c r="A232" s="66"/>
      <c r="B232" s="67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</row>
    <row r="233" customFormat="false" ht="12.75" hidden="false" customHeight="false" outlineLevel="0" collapsed="false">
      <c r="A233" s="66"/>
      <c r="B233" s="67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</row>
    <row r="234" customFormat="false" ht="12.75" hidden="false" customHeight="false" outlineLevel="0" collapsed="false">
      <c r="A234" s="66"/>
      <c r="B234" s="67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</row>
    <row r="235" customFormat="false" ht="12.75" hidden="false" customHeight="false" outlineLevel="0" collapsed="false">
      <c r="A235" s="66"/>
      <c r="B235" s="67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</row>
    <row r="236" customFormat="false" ht="12.75" hidden="false" customHeight="false" outlineLevel="0" collapsed="false">
      <c r="A236" s="66"/>
      <c r="B236" s="67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</row>
    <row r="237" customFormat="false" ht="12.75" hidden="false" customHeight="false" outlineLevel="0" collapsed="false">
      <c r="A237" s="66"/>
      <c r="B237" s="67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</row>
    <row r="238" customFormat="false" ht="12.75" hidden="false" customHeight="false" outlineLevel="0" collapsed="false">
      <c r="A238" s="66"/>
      <c r="B238" s="67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</row>
    <row r="239" customFormat="false" ht="12.75" hidden="false" customHeight="false" outlineLevel="0" collapsed="false">
      <c r="A239" s="66"/>
      <c r="B239" s="67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</row>
    <row r="240" customFormat="false" ht="12.75" hidden="false" customHeight="false" outlineLevel="0" collapsed="false">
      <c r="A240" s="66"/>
      <c r="B240" s="67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</row>
    <row r="241" customFormat="false" ht="12.75" hidden="false" customHeight="false" outlineLevel="0" collapsed="false">
      <c r="A241" s="66"/>
      <c r="B241" s="67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</row>
    <row r="242" customFormat="false" ht="12.75" hidden="false" customHeight="false" outlineLevel="0" collapsed="false">
      <c r="A242" s="66"/>
      <c r="B242" s="67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</row>
    <row r="243" customFormat="false" ht="12.75" hidden="false" customHeight="false" outlineLevel="0" collapsed="false">
      <c r="A243" s="66"/>
      <c r="B243" s="67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</row>
    <row r="244" customFormat="false" ht="12.75" hidden="false" customHeight="false" outlineLevel="0" collapsed="false">
      <c r="A244" s="66"/>
      <c r="B244" s="67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</row>
    <row r="245" customFormat="false" ht="12.75" hidden="false" customHeight="false" outlineLevel="0" collapsed="false">
      <c r="A245" s="66"/>
      <c r="B245" s="67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</row>
    <row r="246" customFormat="false" ht="12.75" hidden="false" customHeight="false" outlineLevel="0" collapsed="false">
      <c r="A246" s="66"/>
      <c r="B246" s="67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</row>
    <row r="247" customFormat="false" ht="12.75" hidden="false" customHeight="false" outlineLevel="0" collapsed="false">
      <c r="A247" s="66"/>
      <c r="B247" s="67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</row>
    <row r="248" customFormat="false" ht="12.75" hidden="false" customHeight="false" outlineLevel="0" collapsed="false">
      <c r="A248" s="66"/>
      <c r="B248" s="67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</row>
    <row r="249" customFormat="false" ht="12.75" hidden="false" customHeight="false" outlineLevel="0" collapsed="false">
      <c r="A249" s="66"/>
      <c r="B249" s="67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</row>
    <row r="250" customFormat="false" ht="12.75" hidden="false" customHeight="false" outlineLevel="0" collapsed="false">
      <c r="A250" s="66"/>
      <c r="B250" s="67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</row>
    <row r="251" customFormat="false" ht="12.75" hidden="false" customHeight="false" outlineLevel="0" collapsed="false">
      <c r="A251" s="66"/>
      <c r="B251" s="67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</row>
    <row r="252" customFormat="false" ht="12.75" hidden="false" customHeight="false" outlineLevel="0" collapsed="false">
      <c r="A252" s="66"/>
      <c r="B252" s="67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</row>
    <row r="253" customFormat="false" ht="12.75" hidden="false" customHeight="false" outlineLevel="0" collapsed="false">
      <c r="A253" s="66"/>
      <c r="B253" s="67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</row>
    <row r="254" customFormat="false" ht="12.75" hidden="false" customHeight="false" outlineLevel="0" collapsed="false">
      <c r="A254" s="66"/>
      <c r="B254" s="67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</row>
    <row r="255" customFormat="false" ht="12.75" hidden="false" customHeight="false" outlineLevel="0" collapsed="false">
      <c r="A255" s="66"/>
      <c r="B255" s="67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</row>
    <row r="256" customFormat="false" ht="12.75" hidden="false" customHeight="false" outlineLevel="0" collapsed="false">
      <c r="A256" s="66"/>
      <c r="B256" s="67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</row>
    <row r="257" customFormat="false" ht="12.75" hidden="false" customHeight="false" outlineLevel="0" collapsed="false">
      <c r="A257" s="66"/>
      <c r="B257" s="67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</row>
    <row r="258" customFormat="false" ht="12.75" hidden="false" customHeight="false" outlineLevel="0" collapsed="false">
      <c r="A258" s="66"/>
      <c r="B258" s="67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</row>
    <row r="259" customFormat="false" ht="12.75" hidden="false" customHeight="false" outlineLevel="0" collapsed="false">
      <c r="A259" s="66"/>
      <c r="B259" s="67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</row>
    <row r="260" customFormat="false" ht="12.75" hidden="false" customHeight="false" outlineLevel="0" collapsed="false">
      <c r="A260" s="66"/>
      <c r="B260" s="67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</row>
    <row r="261" customFormat="false" ht="12.75" hidden="false" customHeight="false" outlineLevel="0" collapsed="false">
      <c r="A261" s="66"/>
      <c r="B261" s="67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</row>
    <row r="262" customFormat="false" ht="12.75" hidden="false" customHeight="false" outlineLevel="0" collapsed="false">
      <c r="A262" s="66"/>
      <c r="B262" s="67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</row>
    <row r="263" customFormat="false" ht="12.75" hidden="false" customHeight="false" outlineLevel="0" collapsed="false">
      <c r="A263" s="66"/>
      <c r="B263" s="67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</row>
    <row r="264" customFormat="false" ht="12.75" hidden="false" customHeight="false" outlineLevel="0" collapsed="false">
      <c r="A264" s="66"/>
      <c r="B264" s="67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</row>
    <row r="265" customFormat="false" ht="12.75" hidden="false" customHeight="false" outlineLevel="0" collapsed="false">
      <c r="A265" s="66"/>
      <c r="B265" s="67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</row>
    <row r="266" customFormat="false" ht="12.75" hidden="false" customHeight="false" outlineLevel="0" collapsed="false">
      <c r="A266" s="66"/>
      <c r="B266" s="67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</row>
    <row r="267" customFormat="false" ht="12.75" hidden="false" customHeight="false" outlineLevel="0" collapsed="false">
      <c r="A267" s="66"/>
      <c r="B267" s="67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</row>
    <row r="268" customFormat="false" ht="12.75" hidden="false" customHeight="false" outlineLevel="0" collapsed="false">
      <c r="A268" s="66"/>
      <c r="B268" s="67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</row>
    <row r="269" customFormat="false" ht="12.75" hidden="false" customHeight="false" outlineLevel="0" collapsed="false">
      <c r="A269" s="66"/>
      <c r="B269" s="67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</row>
    <row r="270" customFormat="false" ht="12.75" hidden="false" customHeight="false" outlineLevel="0" collapsed="false">
      <c r="A270" s="66"/>
      <c r="B270" s="67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</row>
    <row r="271" customFormat="false" ht="12.75" hidden="false" customHeight="false" outlineLevel="0" collapsed="false">
      <c r="A271" s="66"/>
      <c r="B271" s="67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</row>
    <row r="272" customFormat="false" ht="12.75" hidden="false" customHeight="false" outlineLevel="0" collapsed="false">
      <c r="A272" s="66"/>
      <c r="B272" s="67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</row>
    <row r="273" customFormat="false" ht="12.75" hidden="false" customHeight="false" outlineLevel="0" collapsed="false">
      <c r="A273" s="66"/>
      <c r="B273" s="67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</row>
    <row r="274" customFormat="false" ht="12.75" hidden="false" customHeight="false" outlineLevel="0" collapsed="false">
      <c r="A274" s="66"/>
      <c r="B274" s="67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</row>
    <row r="275" customFormat="false" ht="12.75" hidden="false" customHeight="false" outlineLevel="0" collapsed="false">
      <c r="A275" s="66"/>
      <c r="B275" s="67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</row>
    <row r="276" customFormat="false" ht="12.75" hidden="false" customHeight="false" outlineLevel="0" collapsed="false">
      <c r="A276" s="66"/>
      <c r="B276" s="67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</row>
    <row r="277" customFormat="false" ht="12.75" hidden="false" customHeight="false" outlineLevel="0" collapsed="false">
      <c r="A277" s="66"/>
      <c r="B277" s="67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</row>
    <row r="278" customFormat="false" ht="12.75" hidden="false" customHeight="false" outlineLevel="0" collapsed="false">
      <c r="A278" s="66"/>
      <c r="B278" s="67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</row>
    <row r="279" customFormat="false" ht="12.75" hidden="false" customHeight="false" outlineLevel="0" collapsed="false">
      <c r="A279" s="66"/>
      <c r="B279" s="67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</row>
    <row r="280" customFormat="false" ht="12.75" hidden="false" customHeight="false" outlineLevel="0" collapsed="false">
      <c r="A280" s="66"/>
      <c r="B280" s="67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</row>
    <row r="281" customFormat="false" ht="12.75" hidden="false" customHeight="false" outlineLevel="0" collapsed="false">
      <c r="A281" s="66"/>
      <c r="B281" s="67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</row>
    <row r="282" customFormat="false" ht="12.75" hidden="false" customHeight="false" outlineLevel="0" collapsed="false">
      <c r="A282" s="66"/>
      <c r="B282" s="67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</row>
    <row r="283" customFormat="false" ht="12.75" hidden="false" customHeight="false" outlineLevel="0" collapsed="false">
      <c r="A283" s="66"/>
      <c r="B283" s="67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</row>
    <row r="284" customFormat="false" ht="12.75" hidden="false" customHeight="false" outlineLevel="0" collapsed="false">
      <c r="A284" s="66"/>
      <c r="B284" s="67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</row>
    <row r="285" customFormat="false" ht="12.75" hidden="false" customHeight="false" outlineLevel="0" collapsed="false">
      <c r="A285" s="66"/>
      <c r="B285" s="67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</row>
    <row r="286" customFormat="false" ht="12.75" hidden="false" customHeight="false" outlineLevel="0" collapsed="false">
      <c r="A286" s="66"/>
      <c r="B286" s="67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</row>
    <row r="287" customFormat="false" ht="12.75" hidden="false" customHeight="false" outlineLevel="0" collapsed="false">
      <c r="A287" s="66"/>
      <c r="B287" s="67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</row>
    <row r="288" customFormat="false" ht="12.75" hidden="false" customHeight="false" outlineLevel="0" collapsed="false">
      <c r="A288" s="66"/>
      <c r="B288" s="67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</row>
    <row r="289" customFormat="false" ht="12.75" hidden="false" customHeight="false" outlineLevel="0" collapsed="false">
      <c r="A289" s="66"/>
      <c r="B289" s="67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</row>
    <row r="290" customFormat="false" ht="12.75" hidden="false" customHeight="false" outlineLevel="0" collapsed="false">
      <c r="A290" s="66"/>
      <c r="B290" s="67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</row>
    <row r="291" customFormat="false" ht="12.75" hidden="false" customHeight="false" outlineLevel="0" collapsed="false">
      <c r="A291" s="66"/>
      <c r="B291" s="67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</row>
    <row r="292" customFormat="false" ht="12.75" hidden="false" customHeight="false" outlineLevel="0" collapsed="false">
      <c r="A292" s="66"/>
      <c r="B292" s="67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</row>
    <row r="293" customFormat="false" ht="12.75" hidden="false" customHeight="false" outlineLevel="0" collapsed="false">
      <c r="A293" s="66"/>
      <c r="B293" s="67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</row>
    <row r="294" customFormat="false" ht="12.75" hidden="false" customHeight="false" outlineLevel="0" collapsed="false">
      <c r="A294" s="66"/>
      <c r="B294" s="67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</row>
    <row r="295" customFormat="false" ht="12.75" hidden="false" customHeight="false" outlineLevel="0" collapsed="false">
      <c r="A295" s="66"/>
      <c r="B295" s="67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</row>
    <row r="296" customFormat="false" ht="12.75" hidden="false" customHeight="false" outlineLevel="0" collapsed="false">
      <c r="A296" s="66"/>
      <c r="B296" s="67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</row>
    <row r="297" customFormat="false" ht="12.75" hidden="false" customHeight="false" outlineLevel="0" collapsed="false">
      <c r="A297" s="66"/>
      <c r="B297" s="67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</row>
    <row r="298" customFormat="false" ht="12.75" hidden="false" customHeight="false" outlineLevel="0" collapsed="false">
      <c r="A298" s="66"/>
      <c r="B298" s="67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</row>
    <row r="299" customFormat="false" ht="12.75" hidden="false" customHeight="false" outlineLevel="0" collapsed="false">
      <c r="A299" s="66"/>
      <c r="B299" s="67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</row>
    <row r="300" customFormat="false" ht="12.75" hidden="false" customHeight="false" outlineLevel="0" collapsed="false">
      <c r="A300" s="66"/>
      <c r="B300" s="67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</row>
    <row r="301" customFormat="false" ht="12.75" hidden="false" customHeight="false" outlineLevel="0" collapsed="false">
      <c r="A301" s="66"/>
      <c r="B301" s="67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</row>
    <row r="302" customFormat="false" ht="12.75" hidden="false" customHeight="false" outlineLevel="0" collapsed="false">
      <c r="A302" s="66"/>
      <c r="B302" s="67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</row>
    <row r="303" customFormat="false" ht="12.75" hidden="false" customHeight="false" outlineLevel="0" collapsed="false">
      <c r="A303" s="66"/>
      <c r="B303" s="67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</row>
    <row r="304" customFormat="false" ht="12.75" hidden="false" customHeight="false" outlineLevel="0" collapsed="false">
      <c r="A304" s="66"/>
      <c r="B304" s="67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</row>
    <row r="305" customFormat="false" ht="12.75" hidden="false" customHeight="false" outlineLevel="0" collapsed="false">
      <c r="A305" s="66"/>
      <c r="B305" s="67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</row>
    <row r="306" customFormat="false" ht="12.75" hidden="false" customHeight="false" outlineLevel="0" collapsed="false">
      <c r="A306" s="66"/>
      <c r="B306" s="67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</row>
    <row r="307" customFormat="false" ht="12.75" hidden="false" customHeight="false" outlineLevel="0" collapsed="false">
      <c r="A307" s="66"/>
      <c r="B307" s="67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</row>
    <row r="308" customFormat="false" ht="12.75" hidden="false" customHeight="false" outlineLevel="0" collapsed="false">
      <c r="A308" s="66"/>
      <c r="B308" s="67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</row>
    <row r="309" customFormat="false" ht="12.75" hidden="false" customHeight="false" outlineLevel="0" collapsed="false">
      <c r="A309" s="66"/>
      <c r="B309" s="67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</row>
    <row r="310" customFormat="false" ht="12.75" hidden="false" customHeight="false" outlineLevel="0" collapsed="false">
      <c r="A310" s="66"/>
      <c r="B310" s="67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</row>
    <row r="311" customFormat="false" ht="12.75" hidden="false" customHeight="false" outlineLevel="0" collapsed="false">
      <c r="A311" s="66"/>
      <c r="B311" s="67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</row>
    <row r="312" customFormat="false" ht="12.75" hidden="false" customHeight="false" outlineLevel="0" collapsed="false">
      <c r="A312" s="66"/>
      <c r="B312" s="67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</row>
    <row r="313" customFormat="false" ht="12.75" hidden="false" customHeight="false" outlineLevel="0" collapsed="false">
      <c r="A313" s="66"/>
      <c r="B313" s="67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</row>
    <row r="314" customFormat="false" ht="12.75" hidden="false" customHeight="false" outlineLevel="0" collapsed="false">
      <c r="A314" s="66"/>
      <c r="B314" s="67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</row>
    <row r="315" customFormat="false" ht="12.75" hidden="false" customHeight="false" outlineLevel="0" collapsed="false">
      <c r="A315" s="66"/>
      <c r="B315" s="67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</row>
    <row r="316" customFormat="false" ht="12.75" hidden="false" customHeight="false" outlineLevel="0" collapsed="false">
      <c r="A316" s="66"/>
      <c r="B316" s="67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</row>
    <row r="317" customFormat="false" ht="12.75" hidden="false" customHeight="false" outlineLevel="0" collapsed="false">
      <c r="A317" s="66"/>
      <c r="B317" s="67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</row>
    <row r="318" customFormat="false" ht="12.75" hidden="false" customHeight="false" outlineLevel="0" collapsed="false">
      <c r="A318" s="66"/>
      <c r="B318" s="67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</row>
    <row r="319" customFormat="false" ht="12.75" hidden="false" customHeight="false" outlineLevel="0" collapsed="false">
      <c r="A319" s="66"/>
      <c r="B319" s="67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</row>
    <row r="320" customFormat="false" ht="12.75" hidden="false" customHeight="false" outlineLevel="0" collapsed="false">
      <c r="A320" s="66"/>
      <c r="B320" s="67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</row>
    <row r="321" customFormat="false" ht="12.75" hidden="false" customHeight="false" outlineLevel="0" collapsed="false">
      <c r="A321" s="66"/>
      <c r="B321" s="67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</row>
    <row r="322" customFormat="false" ht="12.75" hidden="false" customHeight="false" outlineLevel="0" collapsed="false">
      <c r="A322" s="66"/>
      <c r="B322" s="67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</row>
    <row r="323" customFormat="false" ht="12.75" hidden="false" customHeight="false" outlineLevel="0" collapsed="false">
      <c r="A323" s="66"/>
      <c r="B323" s="67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</row>
    <row r="324" customFormat="false" ht="12.75" hidden="false" customHeight="false" outlineLevel="0" collapsed="false">
      <c r="A324" s="66"/>
      <c r="B324" s="67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</row>
    <row r="325" customFormat="false" ht="12.75" hidden="false" customHeight="false" outlineLevel="0" collapsed="false">
      <c r="A325" s="66"/>
      <c r="B325" s="67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</row>
    <row r="326" customFormat="false" ht="12.75" hidden="false" customHeight="false" outlineLevel="0" collapsed="false">
      <c r="A326" s="66"/>
      <c r="B326" s="67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</row>
    <row r="327" customFormat="false" ht="12.75" hidden="false" customHeight="false" outlineLevel="0" collapsed="false">
      <c r="A327" s="66"/>
      <c r="B327" s="67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</row>
    <row r="328" customFormat="false" ht="12.75" hidden="false" customHeight="false" outlineLevel="0" collapsed="false">
      <c r="A328" s="66"/>
      <c r="B328" s="67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</row>
    <row r="329" customFormat="false" ht="12.75" hidden="false" customHeight="false" outlineLevel="0" collapsed="false">
      <c r="A329" s="66"/>
      <c r="B329" s="67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</row>
    <row r="330" customFormat="false" ht="12.75" hidden="false" customHeight="false" outlineLevel="0" collapsed="false">
      <c r="A330" s="66"/>
      <c r="B330" s="67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</row>
    <row r="331" customFormat="false" ht="12.75" hidden="false" customHeight="false" outlineLevel="0" collapsed="false">
      <c r="A331" s="66"/>
      <c r="B331" s="67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</row>
    <row r="332" customFormat="false" ht="12.75" hidden="false" customHeight="false" outlineLevel="0" collapsed="false">
      <c r="A332" s="66"/>
      <c r="B332" s="67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</row>
    <row r="333" customFormat="false" ht="12.75" hidden="false" customHeight="false" outlineLevel="0" collapsed="false">
      <c r="A333" s="66"/>
      <c r="B333" s="67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</row>
    <row r="334" customFormat="false" ht="12.75" hidden="false" customHeight="false" outlineLevel="0" collapsed="false">
      <c r="A334" s="66"/>
      <c r="B334" s="67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</row>
    <row r="335" customFormat="false" ht="12.75" hidden="false" customHeight="false" outlineLevel="0" collapsed="false">
      <c r="A335" s="66"/>
      <c r="B335" s="67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</row>
    <row r="336" customFormat="false" ht="12.75" hidden="false" customHeight="false" outlineLevel="0" collapsed="false">
      <c r="A336" s="66"/>
      <c r="B336" s="67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</row>
    <row r="337" customFormat="false" ht="12.75" hidden="false" customHeight="false" outlineLevel="0" collapsed="false">
      <c r="A337" s="66"/>
      <c r="B337" s="67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</row>
    <row r="338" customFormat="false" ht="12.75" hidden="false" customHeight="false" outlineLevel="0" collapsed="false">
      <c r="A338" s="66"/>
      <c r="B338" s="67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</row>
    <row r="339" customFormat="false" ht="12.75" hidden="false" customHeight="false" outlineLevel="0" collapsed="false">
      <c r="A339" s="66"/>
      <c r="B339" s="67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</row>
    <row r="340" customFormat="false" ht="12.75" hidden="false" customHeight="false" outlineLevel="0" collapsed="false">
      <c r="B340" s="67"/>
      <c r="C340" s="45"/>
    </row>
  </sheetData>
  <mergeCells count="2">
    <mergeCell ref="A1:K2"/>
    <mergeCell ref="A3:K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P369"/>
  <sheetViews>
    <sheetView showFormulas="false" showGridLines="true" showRowColHeaders="true" showZeros="true" rightToLeft="false" tabSelected="false" showOutlineSymbols="true" defaultGridColor="true" view="normal" topLeftCell="A6" colorId="64" zoomScale="75" zoomScaleNormal="75" zoomScalePageLayoutView="100" workbookViewId="0">
      <selection pane="topLeft" activeCell="C40" activeCellId="0" sqref="C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28"/>
    <col collapsed="false" customWidth="true" hidden="false" outlineLevel="0" max="2" min="2" style="0" width="30.7"/>
    <col collapsed="false" customWidth="true" hidden="false" outlineLevel="0" max="3" min="3" style="666" width="15.28"/>
  </cols>
  <sheetData>
    <row r="1" customFormat="false" ht="15" hidden="false" customHeight="true" outlineLevel="0" collapsed="false">
      <c r="A1" s="117" t="str">
        <f aca="false">Scope!$A$1</f>
        <v>AES Corp, Dallas, TX (640 MW)</v>
      </c>
      <c r="B1" s="117"/>
      <c r="C1" s="117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customFormat="false" ht="15" hidden="false" customHeight="true" outlineLevel="0" collapsed="false">
      <c r="A2" s="117"/>
      <c r="B2" s="117"/>
      <c r="C2" s="117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customFormat="false" ht="15.75" hidden="false" customHeight="false" outlineLevel="0" collapsed="false">
      <c r="A3" s="849" t="s">
        <v>1452</v>
      </c>
      <c r="B3" s="849"/>
      <c r="C3" s="849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customFormat="false" ht="12.75" hidden="false" customHeight="false" outlineLevel="0" collapsed="false">
      <c r="A4" s="207"/>
      <c r="B4" s="207"/>
      <c r="C4" s="7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customFormat="false" ht="12.75" hidden="false" customHeight="false" outlineLevel="0" collapsed="false">
      <c r="A5" s="207"/>
      <c r="B5" s="669" t="s">
        <v>1278</v>
      </c>
      <c r="C5" s="670" t="n">
        <v>0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customFormat="false" ht="12.75" hidden="false" customHeight="false" outlineLevel="0" collapsed="false">
      <c r="A6" s="2"/>
      <c r="B6" s="2"/>
      <c r="C6" s="7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customFormat="false" ht="13.5" hidden="false" customHeight="false" outlineLevel="0" collapsed="false">
      <c r="A7" s="2"/>
      <c r="B7" s="2"/>
      <c r="C7" s="671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customFormat="false" ht="13.5" hidden="false" customHeight="false" outlineLevel="0" collapsed="false">
      <c r="A8" s="8" t="s">
        <v>1279</v>
      </c>
      <c r="C8" s="675" t="s">
        <v>139</v>
      </c>
      <c r="D8" s="850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customFormat="false" ht="12.75" hidden="false" customHeight="false" outlineLevel="0" collapsed="false">
      <c r="A9" s="8"/>
      <c r="C9" s="679"/>
      <c r="D9" s="85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customFormat="false" ht="12.75" hidden="false" customHeight="false" outlineLevel="0" collapsed="false">
      <c r="C10" s="682"/>
      <c r="D10" s="85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customFormat="false" ht="12.75" hidden="false" customHeight="false" outlineLevel="0" collapsed="false">
      <c r="A11" s="666" t="str">
        <f aca="false">'GTDB(6B)'!A17</f>
        <v>FUEL NOZZLES</v>
      </c>
      <c r="C11" s="853" t="n">
        <f aca="false">'GTDB(6B)'!G17*D11</f>
        <v>0</v>
      </c>
      <c r="D11" s="854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customFormat="false" ht="12.75" hidden="false" customHeight="false" outlineLevel="0" collapsed="false">
      <c r="A12" s="666" t="str">
        <f aca="false">'GTDB(6B)'!A18</f>
        <v>CROSSFIRE TUBES</v>
      </c>
      <c r="C12" s="853" t="n">
        <f aca="false">'GTDB(6B)'!G18*D12</f>
        <v>0</v>
      </c>
      <c r="D12" s="854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customFormat="false" ht="12.75" hidden="false" customHeight="false" outlineLevel="0" collapsed="false">
      <c r="A13" s="666" t="str">
        <f aca="false">'GTDB(6B)'!A19</f>
        <v>COMBUSTION LINERS</v>
      </c>
      <c r="C13" s="853" t="n">
        <f aca="false">'GTDB(6B)'!G19*D13</f>
        <v>0</v>
      </c>
      <c r="D13" s="854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customFormat="false" ht="12.75" hidden="false" customHeight="false" outlineLevel="0" collapsed="false">
      <c r="A14" s="666" t="str">
        <f aca="false">'GTDB(6B)'!A20</f>
        <v>TRANSITION PIECES</v>
      </c>
      <c r="C14" s="853" t="n">
        <f aca="false">'GTDB(6B)'!G20*D14</f>
        <v>0</v>
      </c>
      <c r="D14" s="854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customFormat="false" ht="12.75" hidden="false" customHeight="false" outlineLevel="0" collapsed="false">
      <c r="A15" s="666" t="str">
        <f aca="false">'GTDB(6B)'!A21</f>
        <v>1ST STAGE BUCKETS</v>
      </c>
      <c r="C15" s="853" t="n">
        <f aca="false">'GTDB(6B)'!G21*D15</f>
        <v>0</v>
      </c>
      <c r="D15" s="854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customFormat="false" ht="12.75" hidden="false" customHeight="false" outlineLevel="0" collapsed="false">
      <c r="A16" s="666" t="str">
        <f aca="false">'GTDB(6B)'!A22</f>
        <v>2ND STAGE BUCKETS</v>
      </c>
      <c r="C16" s="853" t="n">
        <f aca="false">'GTDB(6B)'!G22*D16</f>
        <v>0</v>
      </c>
      <c r="D16" s="854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customFormat="false" ht="12.75" hidden="false" customHeight="false" outlineLevel="0" collapsed="false">
      <c r="A17" s="666" t="str">
        <f aca="false">'GTDB(6B)'!A23</f>
        <v>3RD STAGE BUCKETS</v>
      </c>
      <c r="C17" s="853" t="n">
        <f aca="false">'GTDB(6B)'!G23*D17</f>
        <v>0</v>
      </c>
      <c r="D17" s="854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customFormat="false" ht="12.75" hidden="false" customHeight="false" outlineLevel="0" collapsed="false">
      <c r="A18" s="666" t="str">
        <f aca="false">'GTDB(6B)'!A24</f>
        <v>1ST STAGE SHROUDS</v>
      </c>
      <c r="C18" s="853" t="n">
        <f aca="false">'GTDB(6B)'!G24*D18</f>
        <v>0</v>
      </c>
      <c r="D18" s="854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customFormat="false" ht="12.75" hidden="false" customHeight="false" outlineLevel="0" collapsed="false">
      <c r="A19" s="666" t="str">
        <f aca="false">'GTDB(6B)'!A25</f>
        <v>2ND STAGE SHROUDS</v>
      </c>
      <c r="C19" s="853" t="n">
        <f aca="false">'GTDB(6B)'!G25*D19</f>
        <v>0</v>
      </c>
      <c r="D19" s="854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customFormat="false" ht="12.75" hidden="false" customHeight="false" outlineLevel="0" collapsed="false">
      <c r="A20" s="666" t="str">
        <f aca="false">'GTDB(6B)'!A26</f>
        <v>3RD STAGE SHROUDS</v>
      </c>
      <c r="C20" s="853" t="n">
        <f aca="false">'GTDB(6B)'!G26*D20</f>
        <v>0</v>
      </c>
      <c r="D20" s="854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customFormat="false" ht="12.75" hidden="false" customHeight="false" outlineLevel="0" collapsed="false">
      <c r="A21" s="666" t="str">
        <f aca="false">'GTDB(6B)'!A27</f>
        <v>1ST STAGE NOZZLES</v>
      </c>
      <c r="C21" s="853" t="n">
        <f aca="false">'GTDB(6B)'!G27*D21</f>
        <v>0</v>
      </c>
      <c r="D21" s="854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customFormat="false" ht="12.75" hidden="false" customHeight="false" outlineLevel="0" collapsed="false">
      <c r="A22" s="666" t="str">
        <f aca="false">'GTDB(6B)'!A28</f>
        <v>2ND STAGE NOZZLES</v>
      </c>
      <c r="C22" s="853" t="n">
        <f aca="false">'GTDB(6B)'!G28*D22</f>
        <v>0</v>
      </c>
      <c r="D22" s="854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customFormat="false" ht="13.5" hidden="false" customHeight="false" outlineLevel="0" collapsed="false">
      <c r="A23" s="666" t="str">
        <f aca="false">'GTDB(6B)'!A29</f>
        <v>3RD STAGE NOZZLES</v>
      </c>
      <c r="C23" s="853" t="n">
        <f aca="false">'GTDB(6B)'!G29*D23</f>
        <v>0</v>
      </c>
      <c r="D23" s="855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customFormat="false" ht="12.75" hidden="false" customHeight="false" outlineLevel="0" collapsed="false">
      <c r="A24" s="0" t="s">
        <v>1282</v>
      </c>
      <c r="C24" s="680" t="n">
        <v>0</v>
      </c>
      <c r="D24" s="624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customFormat="false" ht="13.5" hidden="false" customHeight="false" outlineLevel="0" collapsed="false">
      <c r="A25" s="0" t="s">
        <v>1283</v>
      </c>
      <c r="C25" s="680" t="n">
        <v>0</v>
      </c>
      <c r="D25" s="624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customFormat="false" ht="12.75" hidden="false" customHeight="false" outlineLevel="0" collapsed="false">
      <c r="A26" s="0" t="s">
        <v>1284</v>
      </c>
      <c r="C26" s="693" t="n">
        <f aca="false">'GTDB(6B)'!$G$12*D26</f>
        <v>0</v>
      </c>
      <c r="D26" s="856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customFormat="false" ht="12.75" hidden="false" customHeight="false" outlineLevel="0" collapsed="false">
      <c r="A27" s="0" t="s">
        <v>1285</v>
      </c>
      <c r="C27" s="693" t="n">
        <f aca="false">'GTDB(6B)'!$G$13*D27</f>
        <v>0</v>
      </c>
      <c r="D27" s="85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customFormat="false" ht="13.5" hidden="false" customHeight="false" outlineLevel="0" collapsed="false">
      <c r="A28" s="0" t="s">
        <v>1286</v>
      </c>
      <c r="C28" s="693" t="n">
        <f aca="false">'GTDB(6B)'!$G$14*D28</f>
        <v>0</v>
      </c>
      <c r="D28" s="855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customFormat="false" ht="12.75" hidden="false" customHeight="false" outlineLevel="0" collapsed="false">
      <c r="A29" s="0" t="s">
        <v>1287</v>
      </c>
      <c r="C29" s="680" t="n">
        <v>0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customFormat="false" ht="12.75" hidden="false" customHeight="false" outlineLevel="0" collapsed="false">
      <c r="A30" s="0" t="s">
        <v>1453</v>
      </c>
      <c r="C30" s="857" t="n"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customFormat="false" ht="12.75" hidden="false" customHeight="false" outlineLevel="0" collapsed="false">
      <c r="A31" s="0" t="s">
        <v>1289</v>
      </c>
      <c r="C31" s="690" t="n">
        <f aca="false">SUM(C10:C30)</f>
        <v>0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customFormat="false" ht="12.75" hidden="false" customHeight="false" outlineLevel="0" collapsed="false">
      <c r="C32" s="680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customFormat="false" ht="12.75" hidden="false" customHeight="false" outlineLevel="0" collapsed="false">
      <c r="C33" s="680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customFormat="false" ht="12.75" hidden="false" customHeight="false" outlineLevel="0" collapsed="false">
      <c r="A34" s="8" t="s">
        <v>1290</v>
      </c>
      <c r="C34" s="680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customFormat="false" ht="12.75" hidden="false" customHeight="false" outlineLevel="0" collapsed="false">
      <c r="A35" s="8"/>
      <c r="C35" s="680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customFormat="false" ht="12.75" hidden="false" customHeight="false" outlineLevel="0" collapsed="false">
      <c r="A36" s="0" t="s">
        <v>1291</v>
      </c>
      <c r="C36" s="69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customFormat="false" ht="12.75" hidden="false" customHeight="false" outlineLevel="0" collapsed="false">
      <c r="C37" s="680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customFormat="false" ht="12.75" hidden="false" customHeight="false" outlineLevel="0" collapsed="false">
      <c r="B38" s="0" t="s">
        <v>1292</v>
      </c>
      <c r="C38" s="690" t="n">
        <f aca="false">(C36+C31)</f>
        <v>0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customFormat="false" ht="12.75" hidden="false" customHeight="false" outlineLevel="0" collapsed="false">
      <c r="C39" s="680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customFormat="false" ht="12.75" hidden="false" customHeight="false" outlineLevel="0" collapsed="false">
      <c r="A40" s="8" t="s">
        <v>1293</v>
      </c>
      <c r="C40" s="695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customFormat="false" ht="12.75" hidden="false" customHeight="false" outlineLevel="0" collapsed="false">
      <c r="C41" s="680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customFormat="false" ht="12.75" hidden="false" customHeight="false" outlineLevel="0" collapsed="false">
      <c r="A42" s="8" t="s">
        <v>1294</v>
      </c>
      <c r="C42" s="690" t="n">
        <f aca="false">C40+C38</f>
        <v>0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customFormat="false" ht="12.75" hidden="false" customHeight="false" outlineLevel="0" collapsed="false">
      <c r="A43" s="8"/>
      <c r="C43" s="680"/>
      <c r="E43" s="858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customFormat="false" ht="12.75" hidden="false" customHeight="false" outlineLevel="0" collapsed="false">
      <c r="A44" s="8" t="s">
        <v>1295</v>
      </c>
      <c r="C44" s="680" t="n">
        <f aca="false">C42*0.0025</f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customFormat="false" ht="12.75" hidden="false" customHeight="false" outlineLevel="0" collapsed="false">
      <c r="A45" s="8"/>
      <c r="C45" s="680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customFormat="false" ht="12.75" hidden="false" customHeight="false" outlineLevel="0" collapsed="false">
      <c r="A46" s="8" t="s">
        <v>1296</v>
      </c>
      <c r="C46" s="680" t="n">
        <f aca="false">0.01*C42</f>
        <v>0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customFormat="false" ht="13.5" hidden="false" customHeight="false" outlineLevel="0" collapsed="false">
      <c r="C47" s="69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customFormat="false" ht="13.5" hidden="false" customHeight="false" outlineLevel="0" collapsed="false">
      <c r="A48" s="8" t="s">
        <v>236</v>
      </c>
      <c r="C48" s="696" t="n">
        <f aca="false">SUM(C42:C46)</f>
        <v>0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customFormat="false" ht="12.75" hidden="false" customHeight="false" outlineLevel="0" collapsed="false">
      <c r="A49" s="77"/>
      <c r="B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customFormat="false" ht="12.75" hidden="false" customHeight="false" outlineLevel="0" collapsed="false">
      <c r="A50" s="2"/>
      <c r="B50" s="2"/>
      <c r="C50" s="7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customFormat="false" ht="12.75" hidden="false" customHeight="false" outlineLevel="0" collapsed="false">
      <c r="A51" s="2"/>
      <c r="B51" s="2"/>
      <c r="C51" s="7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customFormat="false" ht="12.75" hidden="false" customHeight="false" outlineLevel="0" collapsed="false">
      <c r="A52" s="2"/>
      <c r="B52" s="2"/>
      <c r="C52" s="7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customFormat="false" ht="12.75" hidden="false" customHeight="false" outlineLevel="0" collapsed="false">
      <c r="A53" s="2"/>
      <c r="B53" s="2"/>
      <c r="C53" s="71"/>
      <c r="D53" s="7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customFormat="false" ht="12.75" hidden="false" customHeight="false" outlineLevel="0" collapsed="false">
      <c r="A54" s="2"/>
      <c r="B54" s="2"/>
      <c r="C54" s="7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customFormat="false" ht="12.75" hidden="false" customHeight="false" outlineLevel="0" collapsed="false">
      <c r="A55" s="2"/>
      <c r="B55" s="2"/>
      <c r="C55" s="7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customFormat="false" ht="12.75" hidden="false" customHeight="false" outlineLevel="0" collapsed="false">
      <c r="A56" s="2"/>
      <c r="B56" s="2"/>
      <c r="C56" s="7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customFormat="false" ht="12.75" hidden="false" customHeight="false" outlineLevel="0" collapsed="false">
      <c r="A57" s="2"/>
      <c r="B57" s="2"/>
      <c r="C57" s="7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customFormat="false" ht="12.75" hidden="false" customHeight="false" outlineLevel="0" collapsed="false">
      <c r="A58" s="2"/>
      <c r="B58" s="2"/>
      <c r="C58" s="7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customFormat="false" ht="12.75" hidden="false" customHeight="false" outlineLevel="0" collapsed="false">
      <c r="A59" s="2"/>
      <c r="B59" s="2"/>
      <c r="C59" s="7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customFormat="false" ht="12.75" hidden="false" customHeight="false" outlineLevel="0" collapsed="false">
      <c r="A60" s="2"/>
      <c r="B60" s="2"/>
      <c r="C60" s="7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customFormat="false" ht="12.75" hidden="false" customHeight="false" outlineLevel="0" collapsed="false">
      <c r="A61" s="2"/>
      <c r="B61" s="2"/>
      <c r="C61" s="7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customFormat="false" ht="12.75" hidden="false" customHeight="false" outlineLevel="0" collapsed="false">
      <c r="A62" s="2"/>
      <c r="B62" s="2"/>
      <c r="C62" s="7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customFormat="false" ht="12.75" hidden="false" customHeight="false" outlineLevel="0" collapsed="false">
      <c r="A63" s="2"/>
      <c r="B63" s="2"/>
      <c r="C63" s="7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customFormat="false" ht="12.75" hidden="false" customHeight="false" outlineLevel="0" collapsed="false">
      <c r="A64" s="2"/>
      <c r="B64" s="2"/>
      <c r="C64" s="7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customFormat="false" ht="12.75" hidden="false" customHeight="false" outlineLevel="0" collapsed="false">
      <c r="A65" s="2"/>
      <c r="B65" s="2"/>
      <c r="C65" s="7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customFormat="false" ht="12.75" hidden="false" customHeight="false" outlineLevel="0" collapsed="false">
      <c r="A66" s="2"/>
      <c r="B66" s="2"/>
      <c r="C66" s="7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customFormat="false" ht="12.75" hidden="false" customHeight="false" outlineLevel="0" collapsed="false">
      <c r="A67" s="2"/>
      <c r="B67" s="2"/>
      <c r="C67" s="7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customFormat="false" ht="12.75" hidden="false" customHeight="false" outlineLevel="0" collapsed="false">
      <c r="A68" s="2"/>
      <c r="B68" s="2"/>
      <c r="C68" s="7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customFormat="false" ht="12.75" hidden="false" customHeight="false" outlineLevel="0" collapsed="false">
      <c r="A69" s="2"/>
      <c r="B69" s="2"/>
      <c r="C69" s="7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customFormat="false" ht="12.75" hidden="false" customHeight="false" outlineLevel="0" collapsed="false">
      <c r="A70" s="2"/>
      <c r="B70" s="2"/>
      <c r="C70" s="7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customFormat="false" ht="12.75" hidden="false" customHeight="false" outlineLevel="0" collapsed="false">
      <c r="A71" s="2"/>
      <c r="B71" s="2"/>
      <c r="C71" s="7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customFormat="false" ht="12.75" hidden="false" customHeight="false" outlineLevel="0" collapsed="false">
      <c r="A72" s="2"/>
      <c r="B72" s="2"/>
      <c r="C72" s="7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customFormat="false" ht="12.75" hidden="false" customHeight="false" outlineLevel="0" collapsed="false">
      <c r="A73" s="2"/>
      <c r="B73" s="2"/>
      <c r="C73" s="7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customFormat="false" ht="12.75" hidden="false" customHeight="false" outlineLevel="0" collapsed="false">
      <c r="A74" s="2"/>
      <c r="B74" s="2"/>
      <c r="C74" s="7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customFormat="false" ht="12.75" hidden="false" customHeight="false" outlineLevel="0" collapsed="false">
      <c r="A75" s="2"/>
      <c r="B75" s="2"/>
      <c r="C75" s="7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customFormat="false" ht="12.75" hidden="false" customHeight="false" outlineLevel="0" collapsed="false">
      <c r="A76" s="2"/>
      <c r="B76" s="2"/>
      <c r="C76" s="7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customFormat="false" ht="12.75" hidden="false" customHeight="false" outlineLevel="0" collapsed="false">
      <c r="A77" s="2"/>
      <c r="B77" s="2"/>
      <c r="C77" s="7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customFormat="false" ht="12.75" hidden="false" customHeight="false" outlineLevel="0" collapsed="false">
      <c r="A78" s="2"/>
      <c r="B78" s="2"/>
      <c r="C78" s="7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customFormat="false" ht="12.75" hidden="false" customHeight="false" outlineLevel="0" collapsed="false">
      <c r="A79" s="2"/>
      <c r="B79" s="2"/>
      <c r="C79" s="7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customFormat="false" ht="12.75" hidden="false" customHeight="false" outlineLevel="0" collapsed="false">
      <c r="A80" s="2"/>
      <c r="B80" s="2"/>
      <c r="C80" s="7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customFormat="false" ht="12.75" hidden="false" customHeight="false" outlineLevel="0" collapsed="false">
      <c r="A81" s="2"/>
      <c r="B81" s="2"/>
      <c r="C81" s="7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customFormat="false" ht="12.75" hidden="false" customHeight="false" outlineLevel="0" collapsed="false">
      <c r="A82" s="2"/>
      <c r="B82" s="2"/>
      <c r="C82" s="7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customFormat="false" ht="12.75" hidden="false" customHeight="false" outlineLevel="0" collapsed="false">
      <c r="A83" s="2"/>
      <c r="B83" s="2"/>
      <c r="C83" s="7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customFormat="false" ht="12.75" hidden="false" customHeight="false" outlineLevel="0" collapsed="false">
      <c r="A84" s="2"/>
      <c r="B84" s="2"/>
      <c r="C84" s="7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customFormat="false" ht="12.75" hidden="false" customHeight="false" outlineLevel="0" collapsed="false">
      <c r="A85" s="2"/>
      <c r="B85" s="2"/>
      <c r="C85" s="7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customFormat="false" ht="12.75" hidden="false" customHeight="false" outlineLevel="0" collapsed="false">
      <c r="A86" s="2"/>
      <c r="B86" s="2"/>
      <c r="C86" s="7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customFormat="false" ht="12.75" hidden="false" customHeight="false" outlineLevel="0" collapsed="false">
      <c r="A87" s="2"/>
      <c r="B87" s="2"/>
      <c r="C87" s="7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customFormat="false" ht="12.75" hidden="false" customHeight="false" outlineLevel="0" collapsed="false">
      <c r="A88" s="2"/>
      <c r="B88" s="2"/>
      <c r="C88" s="7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customFormat="false" ht="12.75" hidden="false" customHeight="false" outlineLevel="0" collapsed="false">
      <c r="A89" s="2"/>
      <c r="B89" s="2"/>
      <c r="C89" s="7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customFormat="false" ht="12.75" hidden="false" customHeight="false" outlineLevel="0" collapsed="false">
      <c r="A90" s="2"/>
      <c r="B90" s="2"/>
      <c r="C90" s="7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customFormat="false" ht="12.75" hidden="false" customHeight="false" outlineLevel="0" collapsed="false">
      <c r="A91" s="2"/>
      <c r="B91" s="2"/>
      <c r="C91" s="7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customFormat="false" ht="12.75" hidden="false" customHeight="false" outlineLevel="0" collapsed="false">
      <c r="A92" s="2"/>
      <c r="B92" s="2"/>
      <c r="C92" s="7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customFormat="false" ht="12.75" hidden="false" customHeight="false" outlineLevel="0" collapsed="false">
      <c r="A93" s="2"/>
      <c r="B93" s="2"/>
      <c r="C93" s="7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customFormat="false" ht="12.75" hidden="false" customHeight="false" outlineLevel="0" collapsed="false">
      <c r="A94" s="2"/>
      <c r="B94" s="2"/>
      <c r="C94" s="7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customFormat="false" ht="12.75" hidden="false" customHeight="false" outlineLevel="0" collapsed="false">
      <c r="A95" s="2"/>
      <c r="B95" s="2"/>
      <c r="C95" s="7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customFormat="false" ht="12.75" hidden="false" customHeight="false" outlineLevel="0" collapsed="false">
      <c r="A96" s="2"/>
      <c r="B96" s="2"/>
      <c r="C96" s="7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customFormat="false" ht="12.75" hidden="false" customHeight="false" outlineLevel="0" collapsed="false">
      <c r="A97" s="2"/>
      <c r="B97" s="2"/>
      <c r="C97" s="7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customFormat="false" ht="12.75" hidden="false" customHeight="false" outlineLevel="0" collapsed="false">
      <c r="A98" s="2"/>
      <c r="B98" s="2"/>
      <c r="C98" s="7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customFormat="false" ht="12.75" hidden="false" customHeight="false" outlineLevel="0" collapsed="false">
      <c r="A99" s="2"/>
      <c r="B99" s="2"/>
      <c r="C99" s="7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customFormat="false" ht="12.75" hidden="false" customHeight="false" outlineLevel="0" collapsed="false">
      <c r="A100" s="2"/>
      <c r="B100" s="2"/>
      <c r="C100" s="7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customFormat="false" ht="12.75" hidden="false" customHeight="false" outlineLevel="0" collapsed="false">
      <c r="A101" s="2"/>
      <c r="B101" s="2"/>
      <c r="C101" s="7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</row>
    <row r="102" customFormat="false" ht="12.75" hidden="false" customHeight="false" outlineLevel="0" collapsed="false">
      <c r="A102" s="2"/>
      <c r="B102" s="2"/>
      <c r="C102" s="7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customFormat="false" ht="12.75" hidden="false" customHeight="false" outlineLevel="0" collapsed="false">
      <c r="A103" s="2"/>
      <c r="B103" s="2"/>
      <c r="C103" s="7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customFormat="false" ht="12.75" hidden="false" customHeight="false" outlineLevel="0" collapsed="false">
      <c r="A104" s="2"/>
      <c r="B104" s="2"/>
      <c r="C104" s="7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customFormat="false" ht="12.75" hidden="false" customHeight="false" outlineLevel="0" collapsed="false">
      <c r="A105" s="2"/>
      <c r="B105" s="2"/>
      <c r="C105" s="7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customFormat="false" ht="12.75" hidden="false" customHeight="false" outlineLevel="0" collapsed="false">
      <c r="A106" s="2"/>
      <c r="B106" s="2"/>
      <c r="C106" s="7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customFormat="false" ht="12.75" hidden="false" customHeight="false" outlineLevel="0" collapsed="false">
      <c r="A107" s="2"/>
      <c r="B107" s="2"/>
      <c r="C107" s="7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customFormat="false" ht="12.75" hidden="false" customHeight="false" outlineLevel="0" collapsed="false">
      <c r="A108" s="2"/>
      <c r="B108" s="2"/>
      <c r="C108" s="7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customFormat="false" ht="12.75" hidden="false" customHeight="false" outlineLevel="0" collapsed="false">
      <c r="A109" s="2"/>
      <c r="B109" s="2"/>
      <c r="C109" s="7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customFormat="false" ht="12.75" hidden="false" customHeight="false" outlineLevel="0" collapsed="false">
      <c r="A110" s="2"/>
      <c r="B110" s="2"/>
      <c r="C110" s="7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customFormat="false" ht="12.75" hidden="false" customHeight="false" outlineLevel="0" collapsed="false">
      <c r="A111" s="2"/>
      <c r="B111" s="2"/>
      <c r="C111" s="7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customFormat="false" ht="12.75" hidden="false" customHeight="false" outlineLevel="0" collapsed="false">
      <c r="A112" s="2"/>
      <c r="B112" s="2"/>
      <c r="C112" s="7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customFormat="false" ht="12.75" hidden="false" customHeight="false" outlineLevel="0" collapsed="false">
      <c r="A113" s="2"/>
      <c r="B113" s="2"/>
      <c r="C113" s="7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customFormat="false" ht="12.75" hidden="false" customHeight="false" outlineLevel="0" collapsed="false">
      <c r="A114" s="2"/>
      <c r="B114" s="2"/>
      <c r="C114" s="7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customFormat="false" ht="12.75" hidden="false" customHeight="false" outlineLevel="0" collapsed="false">
      <c r="A115" s="2"/>
      <c r="B115" s="2"/>
      <c r="C115" s="7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customFormat="false" ht="12.75" hidden="false" customHeight="false" outlineLevel="0" collapsed="false">
      <c r="A116" s="2"/>
      <c r="B116" s="2"/>
      <c r="C116" s="7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customFormat="false" ht="12.75" hidden="false" customHeight="false" outlineLevel="0" collapsed="false">
      <c r="A117" s="2"/>
      <c r="B117" s="2"/>
      <c r="C117" s="7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customFormat="false" ht="12.75" hidden="false" customHeight="false" outlineLevel="0" collapsed="false">
      <c r="A118" s="2"/>
      <c r="B118" s="2"/>
      <c r="C118" s="7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customFormat="false" ht="12.75" hidden="false" customHeight="false" outlineLevel="0" collapsed="false">
      <c r="A119" s="2"/>
      <c r="B119" s="2"/>
      <c r="C119" s="7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customFormat="false" ht="12.75" hidden="false" customHeight="false" outlineLevel="0" collapsed="false">
      <c r="A120" s="2"/>
      <c r="B120" s="2"/>
      <c r="C120" s="7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customFormat="false" ht="12.75" hidden="false" customHeight="false" outlineLevel="0" collapsed="false">
      <c r="A121" s="2"/>
      <c r="B121" s="2"/>
      <c r="C121" s="7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customFormat="false" ht="12.75" hidden="false" customHeight="false" outlineLevel="0" collapsed="false">
      <c r="A122" s="2"/>
      <c r="B122" s="2"/>
      <c r="C122" s="7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customFormat="false" ht="12.75" hidden="false" customHeight="false" outlineLevel="0" collapsed="false">
      <c r="A123" s="2"/>
      <c r="B123" s="2"/>
      <c r="C123" s="7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customFormat="false" ht="12.75" hidden="false" customHeight="false" outlineLevel="0" collapsed="false">
      <c r="A124" s="2"/>
      <c r="B124" s="2"/>
      <c r="C124" s="7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customFormat="false" ht="12.75" hidden="false" customHeight="false" outlineLevel="0" collapsed="false">
      <c r="A125" s="2"/>
      <c r="B125" s="2"/>
      <c r="C125" s="7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customFormat="false" ht="12.75" hidden="false" customHeight="false" outlineLevel="0" collapsed="false">
      <c r="A126" s="2"/>
      <c r="B126" s="2"/>
      <c r="C126" s="7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customFormat="false" ht="12.75" hidden="false" customHeight="false" outlineLevel="0" collapsed="false">
      <c r="A127" s="2"/>
      <c r="B127" s="2"/>
      <c r="C127" s="7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customFormat="false" ht="12.75" hidden="false" customHeight="false" outlineLevel="0" collapsed="false">
      <c r="A128" s="2"/>
      <c r="B128" s="2"/>
      <c r="C128" s="7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customFormat="false" ht="12.75" hidden="false" customHeight="false" outlineLevel="0" collapsed="false">
      <c r="A129" s="2"/>
      <c r="B129" s="2"/>
      <c r="C129" s="7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customFormat="false" ht="12.75" hidden="false" customHeight="false" outlineLevel="0" collapsed="false">
      <c r="A130" s="2"/>
      <c r="B130" s="2"/>
      <c r="C130" s="7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customFormat="false" ht="12.75" hidden="false" customHeight="false" outlineLevel="0" collapsed="false">
      <c r="A131" s="2"/>
      <c r="B131" s="2"/>
      <c r="C131" s="7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customFormat="false" ht="12.75" hidden="false" customHeight="false" outlineLevel="0" collapsed="false">
      <c r="A132" s="2"/>
      <c r="B132" s="2"/>
      <c r="C132" s="7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customFormat="false" ht="12.75" hidden="false" customHeight="false" outlineLevel="0" collapsed="false">
      <c r="A133" s="2"/>
      <c r="B133" s="2"/>
      <c r="C133" s="7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customFormat="false" ht="12.75" hidden="false" customHeight="false" outlineLevel="0" collapsed="false">
      <c r="A134" s="2"/>
      <c r="B134" s="2"/>
      <c r="C134" s="7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customFormat="false" ht="12.75" hidden="false" customHeight="false" outlineLevel="0" collapsed="false">
      <c r="A135" s="2"/>
      <c r="B135" s="2"/>
      <c r="C135" s="7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customFormat="false" ht="12.75" hidden="false" customHeight="false" outlineLevel="0" collapsed="false">
      <c r="A136" s="2"/>
      <c r="B136" s="2"/>
      <c r="C136" s="7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customFormat="false" ht="12.75" hidden="false" customHeight="false" outlineLevel="0" collapsed="false">
      <c r="A137" s="2"/>
      <c r="B137" s="2"/>
      <c r="C137" s="7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customFormat="false" ht="12.75" hidden="false" customHeight="false" outlineLevel="0" collapsed="false">
      <c r="A138" s="2"/>
      <c r="B138" s="2"/>
      <c r="C138" s="7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customFormat="false" ht="12.75" hidden="false" customHeight="false" outlineLevel="0" collapsed="false">
      <c r="A139" s="2"/>
      <c r="B139" s="2"/>
      <c r="C139" s="7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customFormat="false" ht="12.75" hidden="false" customHeight="false" outlineLevel="0" collapsed="false">
      <c r="A140" s="2"/>
      <c r="B140" s="2"/>
      <c r="C140" s="7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customFormat="false" ht="12.75" hidden="false" customHeight="false" outlineLevel="0" collapsed="false">
      <c r="A141" s="2"/>
      <c r="B141" s="2"/>
      <c r="C141" s="7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customFormat="false" ht="12.75" hidden="false" customHeight="false" outlineLevel="0" collapsed="false">
      <c r="A142" s="2"/>
      <c r="B142" s="2"/>
      <c r="C142" s="7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customFormat="false" ht="12.75" hidden="false" customHeight="false" outlineLevel="0" collapsed="false">
      <c r="A143" s="2"/>
      <c r="B143" s="2"/>
      <c r="C143" s="7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customFormat="false" ht="12.75" hidden="false" customHeight="false" outlineLevel="0" collapsed="false">
      <c r="A144" s="2"/>
      <c r="B144" s="2"/>
      <c r="C144" s="7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customFormat="false" ht="12.75" hidden="false" customHeight="false" outlineLevel="0" collapsed="false">
      <c r="A145" s="2"/>
      <c r="B145" s="2"/>
      <c r="C145" s="7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customFormat="false" ht="12.75" hidden="false" customHeight="false" outlineLevel="0" collapsed="false">
      <c r="A146" s="2"/>
      <c r="B146" s="2"/>
      <c r="C146" s="7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customFormat="false" ht="12.75" hidden="false" customHeight="false" outlineLevel="0" collapsed="false">
      <c r="A147" s="2"/>
      <c r="B147" s="2"/>
      <c r="C147" s="7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customFormat="false" ht="12.75" hidden="false" customHeight="false" outlineLevel="0" collapsed="false">
      <c r="A148" s="2"/>
      <c r="B148" s="2"/>
      <c r="C148" s="7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customFormat="false" ht="12.75" hidden="false" customHeight="false" outlineLevel="0" collapsed="false">
      <c r="A149" s="2"/>
      <c r="B149" s="2"/>
      <c r="C149" s="7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customFormat="false" ht="12.75" hidden="false" customHeight="false" outlineLevel="0" collapsed="false">
      <c r="A150" s="2"/>
      <c r="B150" s="2"/>
      <c r="C150" s="7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customFormat="false" ht="12.75" hidden="false" customHeight="false" outlineLevel="0" collapsed="false">
      <c r="A151" s="2"/>
      <c r="B151" s="2"/>
      <c r="C151" s="7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customFormat="false" ht="12.75" hidden="false" customHeight="false" outlineLevel="0" collapsed="false">
      <c r="A152" s="2"/>
      <c r="B152" s="2"/>
      <c r="C152" s="7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customFormat="false" ht="12.75" hidden="false" customHeight="false" outlineLevel="0" collapsed="false">
      <c r="A153" s="2"/>
      <c r="B153" s="2"/>
      <c r="C153" s="7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customFormat="false" ht="12.75" hidden="false" customHeight="false" outlineLevel="0" collapsed="false">
      <c r="A154" s="2"/>
      <c r="B154" s="2"/>
      <c r="C154" s="7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customFormat="false" ht="12.75" hidden="false" customHeight="false" outlineLevel="0" collapsed="false">
      <c r="A155" s="2"/>
      <c r="B155" s="2"/>
      <c r="C155" s="7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customFormat="false" ht="12.75" hidden="false" customHeight="false" outlineLevel="0" collapsed="false">
      <c r="A156" s="2"/>
      <c r="B156" s="2"/>
      <c r="C156" s="7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customFormat="false" ht="12.75" hidden="false" customHeight="false" outlineLevel="0" collapsed="false">
      <c r="A157" s="2"/>
      <c r="B157" s="2"/>
      <c r="C157" s="7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customFormat="false" ht="12.75" hidden="false" customHeight="false" outlineLevel="0" collapsed="false">
      <c r="A158" s="2"/>
      <c r="B158" s="2"/>
      <c r="C158" s="7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customFormat="false" ht="12.75" hidden="false" customHeight="false" outlineLevel="0" collapsed="false">
      <c r="A159" s="2"/>
      <c r="B159" s="2"/>
      <c r="C159" s="7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customFormat="false" ht="12.75" hidden="false" customHeight="false" outlineLevel="0" collapsed="false">
      <c r="A160" s="2"/>
      <c r="B160" s="2"/>
      <c r="C160" s="7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customFormat="false" ht="12.75" hidden="false" customHeight="false" outlineLevel="0" collapsed="false">
      <c r="A161" s="2"/>
      <c r="B161" s="2"/>
      <c r="C161" s="7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customFormat="false" ht="12.75" hidden="false" customHeight="false" outlineLevel="0" collapsed="false">
      <c r="A162" s="2"/>
      <c r="B162" s="2"/>
      <c r="C162" s="7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customFormat="false" ht="12.75" hidden="false" customHeight="false" outlineLevel="0" collapsed="false">
      <c r="A163" s="2"/>
      <c r="B163" s="2"/>
      <c r="C163" s="7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customFormat="false" ht="12.75" hidden="false" customHeight="false" outlineLevel="0" collapsed="false">
      <c r="A164" s="2"/>
      <c r="B164" s="2"/>
      <c r="C164" s="7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customFormat="false" ht="12.75" hidden="false" customHeight="false" outlineLevel="0" collapsed="false">
      <c r="A165" s="2"/>
      <c r="B165" s="2"/>
      <c r="C165" s="7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customFormat="false" ht="12.75" hidden="false" customHeight="false" outlineLevel="0" collapsed="false">
      <c r="A166" s="2"/>
      <c r="B166" s="2"/>
      <c r="C166" s="7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customFormat="false" ht="12.75" hidden="false" customHeight="false" outlineLevel="0" collapsed="false">
      <c r="A167" s="2"/>
      <c r="B167" s="2"/>
      <c r="C167" s="7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customFormat="false" ht="12.75" hidden="false" customHeight="false" outlineLevel="0" collapsed="false">
      <c r="A168" s="2"/>
      <c r="B168" s="2"/>
      <c r="C168" s="7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customFormat="false" ht="12.75" hidden="false" customHeight="false" outlineLevel="0" collapsed="false">
      <c r="A169" s="2"/>
      <c r="B169" s="2"/>
      <c r="C169" s="7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customFormat="false" ht="12.75" hidden="false" customHeight="false" outlineLevel="0" collapsed="false">
      <c r="A170" s="2"/>
      <c r="B170" s="2"/>
      <c r="C170" s="7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customFormat="false" ht="12.75" hidden="false" customHeight="false" outlineLevel="0" collapsed="false">
      <c r="A171" s="2"/>
      <c r="B171" s="2"/>
      <c r="C171" s="7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customFormat="false" ht="12.75" hidden="false" customHeight="false" outlineLevel="0" collapsed="false">
      <c r="A172" s="2"/>
      <c r="B172" s="2"/>
      <c r="C172" s="7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customFormat="false" ht="12.75" hidden="false" customHeight="false" outlineLevel="0" collapsed="false">
      <c r="A173" s="2"/>
      <c r="B173" s="2"/>
      <c r="C173" s="7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customFormat="false" ht="12.75" hidden="false" customHeight="false" outlineLevel="0" collapsed="false">
      <c r="A174" s="2"/>
      <c r="B174" s="2"/>
      <c r="C174" s="7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customFormat="false" ht="12.75" hidden="false" customHeight="false" outlineLevel="0" collapsed="false">
      <c r="A175" s="2"/>
      <c r="B175" s="2"/>
      <c r="C175" s="7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customFormat="false" ht="12.75" hidden="false" customHeight="false" outlineLevel="0" collapsed="false">
      <c r="A176" s="2"/>
      <c r="B176" s="2"/>
      <c r="C176" s="7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customFormat="false" ht="12.75" hidden="false" customHeight="false" outlineLevel="0" collapsed="false">
      <c r="A177" s="2"/>
      <c r="B177" s="2"/>
      <c r="C177" s="7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customFormat="false" ht="12.75" hidden="false" customHeight="false" outlineLevel="0" collapsed="false">
      <c r="A178" s="2"/>
      <c r="B178" s="2"/>
      <c r="C178" s="7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customFormat="false" ht="12.75" hidden="false" customHeight="false" outlineLevel="0" collapsed="false">
      <c r="A179" s="2"/>
      <c r="B179" s="2"/>
      <c r="C179" s="7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customFormat="false" ht="12.75" hidden="false" customHeight="false" outlineLevel="0" collapsed="false">
      <c r="A180" s="2"/>
      <c r="B180" s="2"/>
      <c r="C180" s="7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customFormat="false" ht="12.75" hidden="false" customHeight="false" outlineLevel="0" collapsed="false">
      <c r="A181" s="2"/>
      <c r="B181" s="2"/>
      <c r="C181" s="7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customFormat="false" ht="12.75" hidden="false" customHeight="false" outlineLevel="0" collapsed="false">
      <c r="A182" s="2"/>
      <c r="B182" s="2"/>
      <c r="C182" s="7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customFormat="false" ht="12.75" hidden="false" customHeight="false" outlineLevel="0" collapsed="false">
      <c r="A183" s="2"/>
      <c r="B183" s="2"/>
      <c r="C183" s="7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customFormat="false" ht="12.75" hidden="false" customHeight="false" outlineLevel="0" collapsed="false">
      <c r="A184" s="2"/>
      <c r="B184" s="2"/>
      <c r="C184" s="7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customFormat="false" ht="12.75" hidden="false" customHeight="false" outlineLevel="0" collapsed="false">
      <c r="A185" s="2"/>
      <c r="B185" s="2"/>
      <c r="C185" s="7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customFormat="false" ht="12.75" hidden="false" customHeight="false" outlineLevel="0" collapsed="false">
      <c r="A186" s="2"/>
      <c r="B186" s="2"/>
      <c r="C186" s="7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customFormat="false" ht="12.75" hidden="false" customHeight="false" outlineLevel="0" collapsed="false">
      <c r="A187" s="2"/>
      <c r="B187" s="2"/>
      <c r="C187" s="7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customFormat="false" ht="12.75" hidden="false" customHeight="false" outlineLevel="0" collapsed="false">
      <c r="A188" s="2"/>
      <c r="B188" s="2"/>
      <c r="C188" s="7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customFormat="false" ht="12.75" hidden="false" customHeight="false" outlineLevel="0" collapsed="false">
      <c r="A189" s="2"/>
      <c r="B189" s="2"/>
      <c r="C189" s="7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customFormat="false" ht="12.75" hidden="false" customHeight="false" outlineLevel="0" collapsed="false">
      <c r="A190" s="2"/>
      <c r="B190" s="2"/>
      <c r="C190" s="7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customFormat="false" ht="12.75" hidden="false" customHeight="false" outlineLevel="0" collapsed="false">
      <c r="A191" s="2"/>
      <c r="B191" s="2"/>
      <c r="C191" s="7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customFormat="false" ht="12.75" hidden="false" customHeight="false" outlineLevel="0" collapsed="false">
      <c r="A192" s="2"/>
      <c r="B192" s="2"/>
      <c r="C192" s="7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customFormat="false" ht="12.75" hidden="false" customHeight="false" outlineLevel="0" collapsed="false">
      <c r="A193" s="2"/>
      <c r="B193" s="2"/>
      <c r="C193" s="7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customFormat="false" ht="12.75" hidden="false" customHeight="false" outlineLevel="0" collapsed="false">
      <c r="A194" s="2"/>
      <c r="B194" s="2"/>
      <c r="C194" s="7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customFormat="false" ht="12.75" hidden="false" customHeight="false" outlineLevel="0" collapsed="false">
      <c r="A195" s="2"/>
      <c r="B195" s="2"/>
      <c r="C195" s="7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customFormat="false" ht="12.75" hidden="false" customHeight="false" outlineLevel="0" collapsed="false">
      <c r="A196" s="2"/>
      <c r="B196" s="2"/>
      <c r="C196" s="7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customFormat="false" ht="12.75" hidden="false" customHeight="false" outlineLevel="0" collapsed="false">
      <c r="A197" s="2"/>
      <c r="B197" s="2"/>
      <c r="C197" s="7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customFormat="false" ht="12.75" hidden="false" customHeight="false" outlineLevel="0" collapsed="false">
      <c r="A198" s="2"/>
      <c r="B198" s="2"/>
      <c r="C198" s="7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customFormat="false" ht="12.75" hidden="false" customHeight="false" outlineLevel="0" collapsed="false">
      <c r="A199" s="2"/>
      <c r="B199" s="2"/>
      <c r="C199" s="7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customFormat="false" ht="12.75" hidden="false" customHeight="false" outlineLevel="0" collapsed="false">
      <c r="A200" s="2"/>
      <c r="B200" s="2"/>
      <c r="C200" s="7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customFormat="false" ht="12.75" hidden="false" customHeight="false" outlineLevel="0" collapsed="false">
      <c r="A201" s="2"/>
      <c r="B201" s="2"/>
      <c r="C201" s="7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customFormat="false" ht="12.75" hidden="false" customHeight="false" outlineLevel="0" collapsed="false">
      <c r="A202" s="2"/>
      <c r="B202" s="2"/>
      <c r="C202" s="7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customFormat="false" ht="12.75" hidden="false" customHeight="false" outlineLevel="0" collapsed="false">
      <c r="A203" s="2"/>
      <c r="B203" s="2"/>
      <c r="C203" s="7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customFormat="false" ht="12.75" hidden="false" customHeight="false" outlineLevel="0" collapsed="false">
      <c r="A204" s="2"/>
      <c r="B204" s="2"/>
      <c r="C204" s="7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customFormat="false" ht="12.75" hidden="false" customHeight="false" outlineLevel="0" collapsed="false">
      <c r="A205" s="2"/>
      <c r="B205" s="2"/>
      <c r="C205" s="7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customFormat="false" ht="12.75" hidden="false" customHeight="false" outlineLevel="0" collapsed="false">
      <c r="A206" s="2"/>
      <c r="B206" s="2"/>
      <c r="C206" s="7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customFormat="false" ht="12.75" hidden="false" customHeight="false" outlineLevel="0" collapsed="false">
      <c r="A207" s="2"/>
      <c r="B207" s="2"/>
      <c r="C207" s="7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customFormat="false" ht="12.75" hidden="false" customHeight="false" outlineLevel="0" collapsed="false">
      <c r="A208" s="2"/>
      <c r="B208" s="2"/>
      <c r="C208" s="7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customFormat="false" ht="12.75" hidden="false" customHeight="false" outlineLevel="0" collapsed="false">
      <c r="A209" s="2"/>
      <c r="B209" s="2"/>
      <c r="C209" s="7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customFormat="false" ht="12.75" hidden="false" customHeight="false" outlineLevel="0" collapsed="false">
      <c r="A210" s="2"/>
      <c r="B210" s="2"/>
      <c r="C210" s="7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customFormat="false" ht="12.75" hidden="false" customHeight="false" outlineLevel="0" collapsed="false">
      <c r="A211" s="2"/>
      <c r="B211" s="2"/>
      <c r="C211" s="7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customFormat="false" ht="12.75" hidden="false" customHeight="false" outlineLevel="0" collapsed="false">
      <c r="A212" s="2"/>
      <c r="B212" s="2"/>
      <c r="C212" s="7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customFormat="false" ht="12.75" hidden="false" customHeight="false" outlineLevel="0" collapsed="false">
      <c r="A213" s="2"/>
      <c r="B213" s="2"/>
      <c r="C213" s="7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customFormat="false" ht="12.75" hidden="false" customHeight="false" outlineLevel="0" collapsed="false">
      <c r="A214" s="2"/>
      <c r="B214" s="2"/>
      <c r="C214" s="7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customFormat="false" ht="12.75" hidden="false" customHeight="false" outlineLevel="0" collapsed="false">
      <c r="A215" s="2"/>
      <c r="B215" s="2"/>
      <c r="C215" s="7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customFormat="false" ht="12.75" hidden="false" customHeight="false" outlineLevel="0" collapsed="false">
      <c r="A216" s="2"/>
      <c r="B216" s="2"/>
      <c r="C216" s="7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customFormat="false" ht="12.75" hidden="false" customHeight="false" outlineLevel="0" collapsed="false">
      <c r="A217" s="2"/>
      <c r="B217" s="2"/>
      <c r="C217" s="7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customFormat="false" ht="12.75" hidden="false" customHeight="false" outlineLevel="0" collapsed="false">
      <c r="A218" s="2"/>
      <c r="B218" s="2"/>
      <c r="C218" s="7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customFormat="false" ht="12.75" hidden="false" customHeight="false" outlineLevel="0" collapsed="false">
      <c r="A219" s="2"/>
      <c r="B219" s="2"/>
      <c r="C219" s="7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customFormat="false" ht="12.75" hidden="false" customHeight="false" outlineLevel="0" collapsed="false">
      <c r="A220" s="2"/>
      <c r="B220" s="2"/>
      <c r="C220" s="7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customFormat="false" ht="12.75" hidden="false" customHeight="false" outlineLevel="0" collapsed="false">
      <c r="A221" s="2"/>
      <c r="B221" s="2"/>
      <c r="C221" s="7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customFormat="false" ht="12.75" hidden="false" customHeight="false" outlineLevel="0" collapsed="false">
      <c r="A222" s="2"/>
      <c r="B222" s="2"/>
      <c r="C222" s="7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customFormat="false" ht="12.75" hidden="false" customHeight="false" outlineLevel="0" collapsed="false">
      <c r="A223" s="2"/>
      <c r="B223" s="2"/>
      <c r="C223" s="7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customFormat="false" ht="12.75" hidden="false" customHeight="false" outlineLevel="0" collapsed="false">
      <c r="A224" s="2"/>
      <c r="B224" s="2"/>
      <c r="C224" s="7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customFormat="false" ht="12.75" hidden="false" customHeight="false" outlineLevel="0" collapsed="false">
      <c r="A225" s="2"/>
      <c r="B225" s="2"/>
      <c r="C225" s="7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customFormat="false" ht="12.75" hidden="false" customHeight="false" outlineLevel="0" collapsed="false">
      <c r="A226" s="2"/>
      <c r="B226" s="2"/>
      <c r="C226" s="7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customFormat="false" ht="12.75" hidden="false" customHeight="false" outlineLevel="0" collapsed="false">
      <c r="A227" s="2"/>
      <c r="B227" s="2"/>
      <c r="C227" s="7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customFormat="false" ht="12.75" hidden="false" customHeight="false" outlineLevel="0" collapsed="false">
      <c r="A228" s="2"/>
      <c r="B228" s="2"/>
      <c r="C228" s="7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customFormat="false" ht="12.75" hidden="false" customHeight="false" outlineLevel="0" collapsed="false">
      <c r="A229" s="2"/>
      <c r="B229" s="2"/>
      <c r="C229" s="7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customFormat="false" ht="12.75" hidden="false" customHeight="false" outlineLevel="0" collapsed="false">
      <c r="A230" s="2"/>
      <c r="B230" s="2"/>
      <c r="C230" s="7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customFormat="false" ht="12.75" hidden="false" customHeight="false" outlineLevel="0" collapsed="false">
      <c r="A231" s="2"/>
      <c r="B231" s="2"/>
      <c r="C231" s="7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customFormat="false" ht="12.75" hidden="false" customHeight="false" outlineLevel="0" collapsed="false">
      <c r="A232" s="2"/>
      <c r="B232" s="2"/>
      <c r="C232" s="7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customFormat="false" ht="12.75" hidden="false" customHeight="false" outlineLevel="0" collapsed="false">
      <c r="A233" s="2"/>
      <c r="B233" s="2"/>
      <c r="C233" s="7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customFormat="false" ht="12.75" hidden="false" customHeight="false" outlineLevel="0" collapsed="false">
      <c r="A234" s="2"/>
      <c r="B234" s="2"/>
      <c r="C234" s="7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customFormat="false" ht="12.75" hidden="false" customHeight="false" outlineLevel="0" collapsed="false">
      <c r="A235" s="2"/>
      <c r="B235" s="2"/>
      <c r="C235" s="7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customFormat="false" ht="12.75" hidden="false" customHeight="false" outlineLevel="0" collapsed="false">
      <c r="A236" s="2"/>
      <c r="B236" s="2"/>
      <c r="C236" s="7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customFormat="false" ht="12.75" hidden="false" customHeight="false" outlineLevel="0" collapsed="false">
      <c r="A237" s="2"/>
      <c r="B237" s="2"/>
      <c r="C237" s="7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customFormat="false" ht="12.75" hidden="false" customHeight="false" outlineLevel="0" collapsed="false">
      <c r="A238" s="2"/>
      <c r="B238" s="2"/>
      <c r="C238" s="7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customFormat="false" ht="12.75" hidden="false" customHeight="false" outlineLevel="0" collapsed="false">
      <c r="A239" s="2"/>
      <c r="B239" s="2"/>
      <c r="C239" s="7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customFormat="false" ht="12.75" hidden="false" customHeight="false" outlineLevel="0" collapsed="false">
      <c r="A240" s="2"/>
      <c r="B240" s="2"/>
      <c r="C240" s="7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customFormat="false" ht="12.75" hidden="false" customHeight="false" outlineLevel="0" collapsed="false">
      <c r="A241" s="2"/>
      <c r="B241" s="2"/>
      <c r="C241" s="7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customFormat="false" ht="12.75" hidden="false" customHeight="false" outlineLevel="0" collapsed="false">
      <c r="A242" s="2"/>
      <c r="B242" s="2"/>
      <c r="C242" s="7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customFormat="false" ht="12.75" hidden="false" customHeight="false" outlineLevel="0" collapsed="false">
      <c r="A243" s="2"/>
      <c r="B243" s="2"/>
      <c r="C243" s="7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customFormat="false" ht="12.75" hidden="false" customHeight="false" outlineLevel="0" collapsed="false">
      <c r="A244" s="2"/>
      <c r="B244" s="2"/>
      <c r="C244" s="7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customFormat="false" ht="12.75" hidden="false" customHeight="false" outlineLevel="0" collapsed="false">
      <c r="A245" s="2"/>
      <c r="B245" s="2"/>
      <c r="C245" s="7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customFormat="false" ht="12.75" hidden="false" customHeight="false" outlineLevel="0" collapsed="false">
      <c r="A246" s="2"/>
      <c r="B246" s="2"/>
      <c r="C246" s="7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customFormat="false" ht="12.75" hidden="false" customHeight="false" outlineLevel="0" collapsed="false">
      <c r="A247" s="2"/>
      <c r="B247" s="2"/>
      <c r="C247" s="7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customFormat="false" ht="12.75" hidden="false" customHeight="false" outlineLevel="0" collapsed="false">
      <c r="A248" s="2"/>
      <c r="B248" s="2"/>
      <c r="C248" s="7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customFormat="false" ht="12.75" hidden="false" customHeight="false" outlineLevel="0" collapsed="false">
      <c r="A249" s="2"/>
      <c r="B249" s="2"/>
      <c r="C249" s="7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customFormat="false" ht="12.75" hidden="false" customHeight="false" outlineLevel="0" collapsed="false">
      <c r="A250" s="2"/>
      <c r="B250" s="2"/>
      <c r="C250" s="7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customFormat="false" ht="12.75" hidden="false" customHeight="false" outlineLevel="0" collapsed="false">
      <c r="A251" s="2"/>
      <c r="B251" s="2"/>
      <c r="C251" s="7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customFormat="false" ht="12.75" hidden="false" customHeight="false" outlineLevel="0" collapsed="false">
      <c r="A252" s="2"/>
      <c r="B252" s="2"/>
      <c r="C252" s="7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customFormat="false" ht="12.75" hidden="false" customHeight="false" outlineLevel="0" collapsed="false">
      <c r="A253" s="2"/>
      <c r="B253" s="2"/>
      <c r="C253" s="7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customFormat="false" ht="12.75" hidden="false" customHeight="false" outlineLevel="0" collapsed="false">
      <c r="A254" s="2"/>
      <c r="B254" s="2"/>
      <c r="C254" s="7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customFormat="false" ht="12.75" hidden="false" customHeight="false" outlineLevel="0" collapsed="false">
      <c r="A255" s="2"/>
      <c r="B255" s="2"/>
      <c r="C255" s="7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customFormat="false" ht="12.75" hidden="false" customHeight="false" outlineLevel="0" collapsed="false">
      <c r="A256" s="2"/>
      <c r="B256" s="2"/>
      <c r="C256" s="7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customFormat="false" ht="12.75" hidden="false" customHeight="false" outlineLevel="0" collapsed="false">
      <c r="A257" s="2"/>
      <c r="B257" s="2"/>
      <c r="C257" s="7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customFormat="false" ht="12.75" hidden="false" customHeight="false" outlineLevel="0" collapsed="false">
      <c r="A258" s="2"/>
      <c r="B258" s="2"/>
      <c r="C258" s="7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customFormat="false" ht="12.75" hidden="false" customHeight="false" outlineLevel="0" collapsed="false">
      <c r="A259" s="2"/>
      <c r="B259" s="2"/>
      <c r="C259" s="7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customFormat="false" ht="12.75" hidden="false" customHeight="false" outlineLevel="0" collapsed="false">
      <c r="A260" s="2"/>
      <c r="B260" s="2"/>
      <c r="C260" s="7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customFormat="false" ht="12.75" hidden="false" customHeight="false" outlineLevel="0" collapsed="false">
      <c r="A261" s="2"/>
      <c r="B261" s="2"/>
      <c r="C261" s="7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customFormat="false" ht="12.75" hidden="false" customHeight="false" outlineLevel="0" collapsed="false">
      <c r="A262" s="2"/>
      <c r="B262" s="2"/>
      <c r="C262" s="7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customFormat="false" ht="12.75" hidden="false" customHeight="false" outlineLevel="0" collapsed="false">
      <c r="A263" s="2"/>
      <c r="B263" s="2"/>
      <c r="C263" s="7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customFormat="false" ht="12.75" hidden="false" customHeight="false" outlineLevel="0" collapsed="false">
      <c r="A264" s="2"/>
      <c r="B264" s="2"/>
      <c r="C264" s="7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customFormat="false" ht="12.75" hidden="false" customHeight="false" outlineLevel="0" collapsed="false">
      <c r="A265" s="2"/>
      <c r="B265" s="2"/>
      <c r="C265" s="7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customFormat="false" ht="12.75" hidden="false" customHeight="false" outlineLevel="0" collapsed="false">
      <c r="A266" s="2"/>
      <c r="B266" s="2"/>
      <c r="C266" s="7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customFormat="false" ht="12.75" hidden="false" customHeight="false" outlineLevel="0" collapsed="false">
      <c r="A267" s="2"/>
      <c r="B267" s="2"/>
      <c r="C267" s="7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customFormat="false" ht="12.75" hidden="false" customHeight="false" outlineLevel="0" collapsed="false">
      <c r="A268" s="2"/>
      <c r="B268" s="2"/>
      <c r="C268" s="7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customFormat="false" ht="12.75" hidden="false" customHeight="false" outlineLevel="0" collapsed="false">
      <c r="A269" s="2"/>
      <c r="B269" s="2"/>
      <c r="C269" s="7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customFormat="false" ht="12.75" hidden="false" customHeight="false" outlineLevel="0" collapsed="false">
      <c r="A270" s="2"/>
      <c r="B270" s="2"/>
      <c r="C270" s="7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customFormat="false" ht="12.75" hidden="false" customHeight="false" outlineLevel="0" collapsed="false">
      <c r="A271" s="2"/>
      <c r="B271" s="2"/>
      <c r="C271" s="7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customFormat="false" ht="12.75" hidden="false" customHeight="false" outlineLevel="0" collapsed="false">
      <c r="A272" s="2"/>
      <c r="B272" s="2"/>
      <c r="C272" s="7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customFormat="false" ht="12.75" hidden="false" customHeight="false" outlineLevel="0" collapsed="false">
      <c r="A273" s="2"/>
      <c r="B273" s="2"/>
      <c r="C273" s="7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customFormat="false" ht="12.75" hidden="false" customHeight="false" outlineLevel="0" collapsed="false">
      <c r="A274" s="2"/>
      <c r="B274" s="2"/>
      <c r="C274" s="7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customFormat="false" ht="12.75" hidden="false" customHeight="false" outlineLevel="0" collapsed="false">
      <c r="A275" s="2"/>
      <c r="B275" s="2"/>
      <c r="C275" s="7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customFormat="false" ht="12.75" hidden="false" customHeight="false" outlineLevel="0" collapsed="false">
      <c r="A276" s="2"/>
      <c r="B276" s="2"/>
      <c r="C276" s="7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customFormat="false" ht="12.75" hidden="false" customHeight="false" outlineLevel="0" collapsed="false">
      <c r="A277" s="2"/>
      <c r="B277" s="2"/>
      <c r="C277" s="7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customFormat="false" ht="12.75" hidden="false" customHeight="false" outlineLevel="0" collapsed="false">
      <c r="A278" s="2"/>
      <c r="B278" s="2"/>
      <c r="C278" s="7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customFormat="false" ht="12.75" hidden="false" customHeight="false" outlineLevel="0" collapsed="false">
      <c r="A279" s="2"/>
      <c r="B279" s="2"/>
      <c r="C279" s="7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customFormat="false" ht="12.75" hidden="false" customHeight="false" outlineLevel="0" collapsed="false">
      <c r="A280" s="2"/>
      <c r="B280" s="2"/>
      <c r="C280" s="7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customFormat="false" ht="12.75" hidden="false" customHeight="false" outlineLevel="0" collapsed="false">
      <c r="A281" s="2"/>
      <c r="B281" s="2"/>
      <c r="C281" s="7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customFormat="false" ht="12.75" hidden="false" customHeight="false" outlineLevel="0" collapsed="false">
      <c r="A282" s="2"/>
      <c r="B282" s="2"/>
      <c r="C282" s="7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customFormat="false" ht="12.75" hidden="false" customHeight="false" outlineLevel="0" collapsed="false">
      <c r="A283" s="2"/>
      <c r="B283" s="2"/>
      <c r="C283" s="7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customFormat="false" ht="12.75" hidden="false" customHeight="false" outlineLevel="0" collapsed="false">
      <c r="A284" s="2"/>
      <c r="B284" s="2"/>
      <c r="C284" s="7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customFormat="false" ht="12.75" hidden="false" customHeight="false" outlineLevel="0" collapsed="false">
      <c r="A285" s="2"/>
      <c r="B285" s="2"/>
      <c r="C285" s="7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customFormat="false" ht="12.75" hidden="false" customHeight="false" outlineLevel="0" collapsed="false">
      <c r="A286" s="2"/>
      <c r="B286" s="2"/>
      <c r="C286" s="7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customFormat="false" ht="12.75" hidden="false" customHeight="false" outlineLevel="0" collapsed="false">
      <c r="A287" s="2"/>
      <c r="B287" s="2"/>
      <c r="C287" s="7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customFormat="false" ht="12.75" hidden="false" customHeight="false" outlineLevel="0" collapsed="false">
      <c r="A288" s="2"/>
      <c r="B288" s="2"/>
      <c r="C288" s="7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customFormat="false" ht="12.75" hidden="false" customHeight="false" outlineLevel="0" collapsed="false">
      <c r="A289" s="2"/>
      <c r="B289" s="2"/>
      <c r="C289" s="7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customFormat="false" ht="12.75" hidden="false" customHeight="false" outlineLevel="0" collapsed="false">
      <c r="A290" s="2"/>
      <c r="B290" s="2"/>
      <c r="C290" s="7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customFormat="false" ht="12.75" hidden="false" customHeight="false" outlineLevel="0" collapsed="false">
      <c r="A291" s="2"/>
      <c r="B291" s="2"/>
      <c r="C291" s="7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customFormat="false" ht="12.75" hidden="false" customHeight="false" outlineLevel="0" collapsed="false">
      <c r="A292" s="2"/>
      <c r="B292" s="2"/>
      <c r="C292" s="7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customFormat="false" ht="12.75" hidden="false" customHeight="false" outlineLevel="0" collapsed="false">
      <c r="A293" s="2"/>
      <c r="B293" s="2"/>
      <c r="C293" s="7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customFormat="false" ht="12.75" hidden="false" customHeight="false" outlineLevel="0" collapsed="false">
      <c r="A294" s="2"/>
      <c r="B294" s="2"/>
      <c r="C294" s="7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customFormat="false" ht="12.75" hidden="false" customHeight="false" outlineLevel="0" collapsed="false">
      <c r="A295" s="2"/>
      <c r="B295" s="2"/>
      <c r="C295" s="7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customFormat="false" ht="12.75" hidden="false" customHeight="false" outlineLevel="0" collapsed="false">
      <c r="A296" s="2"/>
      <c r="B296" s="2"/>
      <c r="C296" s="7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customFormat="false" ht="12.75" hidden="false" customHeight="false" outlineLevel="0" collapsed="false">
      <c r="A297" s="2"/>
      <c r="B297" s="2"/>
      <c r="C297" s="7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customFormat="false" ht="12.75" hidden="false" customHeight="false" outlineLevel="0" collapsed="false">
      <c r="A298" s="2"/>
      <c r="B298" s="2"/>
      <c r="C298" s="7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customFormat="false" ht="12.75" hidden="false" customHeight="false" outlineLevel="0" collapsed="false">
      <c r="A299" s="2"/>
      <c r="B299" s="2"/>
      <c r="C299" s="7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customFormat="false" ht="12.75" hidden="false" customHeight="false" outlineLevel="0" collapsed="false">
      <c r="A300" s="2"/>
      <c r="B300" s="2"/>
      <c r="C300" s="7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customFormat="false" ht="12.75" hidden="false" customHeight="false" outlineLevel="0" collapsed="false">
      <c r="A301" s="2"/>
      <c r="B301" s="2"/>
      <c r="C301" s="7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customFormat="false" ht="12.75" hidden="false" customHeight="false" outlineLevel="0" collapsed="false">
      <c r="A302" s="2"/>
      <c r="B302" s="2"/>
      <c r="C302" s="7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customFormat="false" ht="12.75" hidden="false" customHeight="false" outlineLevel="0" collapsed="false">
      <c r="A303" s="2"/>
      <c r="B303" s="2"/>
      <c r="C303" s="7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customFormat="false" ht="12.75" hidden="false" customHeight="false" outlineLevel="0" collapsed="false">
      <c r="A304" s="2"/>
      <c r="B304" s="2"/>
      <c r="C304" s="7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customFormat="false" ht="12.75" hidden="false" customHeight="false" outlineLevel="0" collapsed="false">
      <c r="A305" s="2"/>
      <c r="B305" s="2"/>
      <c r="C305" s="7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customFormat="false" ht="12.75" hidden="false" customHeight="false" outlineLevel="0" collapsed="false">
      <c r="A306" s="2"/>
      <c r="B306" s="2"/>
      <c r="C306" s="7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customFormat="false" ht="12.75" hidden="false" customHeight="false" outlineLevel="0" collapsed="false">
      <c r="A307" s="2"/>
      <c r="B307" s="2"/>
      <c r="C307" s="7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customFormat="false" ht="12.75" hidden="false" customHeight="false" outlineLevel="0" collapsed="false">
      <c r="A308" s="2"/>
      <c r="B308" s="2"/>
      <c r="C308" s="7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customFormat="false" ht="12.75" hidden="false" customHeight="false" outlineLevel="0" collapsed="false">
      <c r="A309" s="2"/>
      <c r="B309" s="2"/>
      <c r="C309" s="7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customFormat="false" ht="12.75" hidden="false" customHeight="false" outlineLevel="0" collapsed="false">
      <c r="A310" s="2"/>
      <c r="B310" s="2"/>
      <c r="C310" s="7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customFormat="false" ht="12.75" hidden="false" customHeight="false" outlineLevel="0" collapsed="false">
      <c r="A311" s="2"/>
      <c r="B311" s="2"/>
      <c r="C311" s="7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customFormat="false" ht="12.75" hidden="false" customHeight="false" outlineLevel="0" collapsed="false">
      <c r="A312" s="2"/>
      <c r="B312" s="2"/>
      <c r="C312" s="7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customFormat="false" ht="12.75" hidden="false" customHeight="false" outlineLevel="0" collapsed="false">
      <c r="A313" s="2"/>
      <c r="B313" s="2"/>
      <c r="C313" s="7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customFormat="false" ht="12.75" hidden="false" customHeight="false" outlineLevel="0" collapsed="false">
      <c r="A314" s="2"/>
      <c r="B314" s="2"/>
      <c r="C314" s="7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customFormat="false" ht="12.75" hidden="false" customHeight="false" outlineLevel="0" collapsed="false">
      <c r="A315" s="2"/>
      <c r="B315" s="2"/>
      <c r="C315" s="7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customFormat="false" ht="12.75" hidden="false" customHeight="false" outlineLevel="0" collapsed="false">
      <c r="A316" s="2"/>
      <c r="B316" s="2"/>
      <c r="C316" s="7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customFormat="false" ht="12.75" hidden="false" customHeight="false" outlineLevel="0" collapsed="false">
      <c r="A317" s="2"/>
      <c r="B317" s="2"/>
      <c r="C317" s="7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customFormat="false" ht="12.75" hidden="false" customHeight="false" outlineLevel="0" collapsed="false">
      <c r="A318" s="2"/>
      <c r="B318" s="2"/>
      <c r="C318" s="7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customFormat="false" ht="12.75" hidden="false" customHeight="false" outlineLevel="0" collapsed="false">
      <c r="A319" s="2"/>
      <c r="B319" s="2"/>
      <c r="C319" s="7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customFormat="false" ht="12.75" hidden="false" customHeight="false" outlineLevel="0" collapsed="false">
      <c r="A320" s="2"/>
      <c r="B320" s="2"/>
      <c r="C320" s="7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customFormat="false" ht="12.75" hidden="false" customHeight="false" outlineLevel="0" collapsed="false">
      <c r="A321" s="2"/>
      <c r="B321" s="2"/>
      <c r="C321" s="7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customFormat="false" ht="12.75" hidden="false" customHeight="false" outlineLevel="0" collapsed="false">
      <c r="A322" s="2"/>
      <c r="B322" s="2"/>
      <c r="C322" s="7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customFormat="false" ht="12.75" hidden="false" customHeight="false" outlineLevel="0" collapsed="false">
      <c r="A323" s="2"/>
      <c r="B323" s="2"/>
      <c r="C323" s="7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customFormat="false" ht="12.75" hidden="false" customHeight="false" outlineLevel="0" collapsed="false">
      <c r="A324" s="2"/>
      <c r="B324" s="2"/>
      <c r="C324" s="7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customFormat="false" ht="12.75" hidden="false" customHeight="false" outlineLevel="0" collapsed="false">
      <c r="A325" s="2"/>
      <c r="B325" s="2"/>
      <c r="C325" s="7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customFormat="false" ht="12.75" hidden="false" customHeight="false" outlineLevel="0" collapsed="false">
      <c r="A326" s="2"/>
      <c r="B326" s="2"/>
      <c r="C326" s="7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customFormat="false" ht="12.75" hidden="false" customHeight="false" outlineLevel="0" collapsed="false">
      <c r="A327" s="2"/>
      <c r="B327" s="2"/>
      <c r="C327" s="7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customFormat="false" ht="12.75" hidden="false" customHeight="false" outlineLevel="0" collapsed="false">
      <c r="A328" s="2"/>
      <c r="B328" s="2"/>
      <c r="C328" s="7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customFormat="false" ht="12.75" hidden="false" customHeight="false" outlineLevel="0" collapsed="false">
      <c r="A329" s="2"/>
      <c r="B329" s="2"/>
      <c r="C329" s="7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customFormat="false" ht="12.75" hidden="false" customHeight="false" outlineLevel="0" collapsed="false">
      <c r="A330" s="2"/>
      <c r="B330" s="2"/>
      <c r="C330" s="7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customFormat="false" ht="12.75" hidden="false" customHeight="false" outlineLevel="0" collapsed="false">
      <c r="A331" s="2"/>
      <c r="B331" s="2"/>
      <c r="C331" s="7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customFormat="false" ht="12.75" hidden="false" customHeight="false" outlineLevel="0" collapsed="false">
      <c r="A332" s="2"/>
      <c r="B332" s="2"/>
      <c r="C332" s="7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customFormat="false" ht="12.75" hidden="false" customHeight="false" outlineLevel="0" collapsed="false">
      <c r="A333" s="2"/>
      <c r="B333" s="2"/>
      <c r="C333" s="7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customFormat="false" ht="12.75" hidden="false" customHeight="false" outlineLevel="0" collapsed="false">
      <c r="A334" s="2"/>
      <c r="B334" s="2"/>
      <c r="C334" s="7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customFormat="false" ht="12.75" hidden="false" customHeight="false" outlineLevel="0" collapsed="false">
      <c r="A335" s="2"/>
      <c r="B335" s="2"/>
      <c r="C335" s="7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customFormat="false" ht="12.75" hidden="false" customHeight="false" outlineLevel="0" collapsed="false">
      <c r="A336" s="2"/>
      <c r="B336" s="2"/>
      <c r="C336" s="7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customFormat="false" ht="12.75" hidden="false" customHeight="false" outlineLevel="0" collapsed="false">
      <c r="A337" s="2"/>
      <c r="B337" s="2"/>
      <c r="C337" s="7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customFormat="false" ht="12.75" hidden="false" customHeight="false" outlineLevel="0" collapsed="false">
      <c r="A338" s="2"/>
      <c r="B338" s="2"/>
      <c r="C338" s="7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customFormat="false" ht="12.75" hidden="false" customHeight="false" outlineLevel="0" collapsed="false">
      <c r="A339" s="2"/>
      <c r="B339" s="2"/>
      <c r="C339" s="7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customFormat="false" ht="12.75" hidden="false" customHeight="false" outlineLevel="0" collapsed="false">
      <c r="A340" s="2"/>
      <c r="B340" s="2"/>
      <c r="C340" s="7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customFormat="false" ht="12.75" hidden="false" customHeight="false" outlineLevel="0" collapsed="false">
      <c r="A341" s="2"/>
      <c r="B341" s="2"/>
      <c r="C341" s="7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customFormat="false" ht="12.75" hidden="false" customHeight="false" outlineLevel="0" collapsed="false">
      <c r="A342" s="2"/>
      <c r="B342" s="2"/>
      <c r="C342" s="7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customFormat="false" ht="12.75" hidden="false" customHeight="false" outlineLevel="0" collapsed="false">
      <c r="A343" s="2"/>
      <c r="B343" s="2"/>
      <c r="C343" s="7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customFormat="false" ht="12.75" hidden="false" customHeight="false" outlineLevel="0" collapsed="false">
      <c r="A344" s="2"/>
      <c r="B344" s="2"/>
      <c r="C344" s="7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customFormat="false" ht="12.75" hidden="false" customHeight="false" outlineLevel="0" collapsed="false">
      <c r="A345" s="2"/>
      <c r="B345" s="2"/>
      <c r="C345" s="7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customFormat="false" ht="12.75" hidden="false" customHeight="false" outlineLevel="0" collapsed="false">
      <c r="A346" s="2"/>
      <c r="B346" s="2"/>
      <c r="C346" s="7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customFormat="false" ht="12.75" hidden="false" customHeight="false" outlineLevel="0" collapsed="false">
      <c r="A347" s="2"/>
      <c r="B347" s="2"/>
      <c r="C347" s="7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customFormat="false" ht="12.75" hidden="false" customHeight="false" outlineLevel="0" collapsed="false">
      <c r="A348" s="2"/>
      <c r="B348" s="2"/>
      <c r="C348" s="7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customFormat="false" ht="12.75" hidden="false" customHeight="false" outlineLevel="0" collapsed="false">
      <c r="A349" s="2"/>
      <c r="B349" s="2"/>
      <c r="C349" s="7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customFormat="false" ht="12.75" hidden="false" customHeight="false" outlineLevel="0" collapsed="false">
      <c r="A350" s="2"/>
      <c r="B350" s="2"/>
      <c r="C350" s="7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customFormat="false" ht="12.75" hidden="false" customHeight="false" outlineLevel="0" collapsed="false">
      <c r="A351" s="2"/>
      <c r="B351" s="2"/>
      <c r="C351" s="7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customFormat="false" ht="12.75" hidden="false" customHeight="false" outlineLevel="0" collapsed="false">
      <c r="A352" s="2"/>
      <c r="B352" s="2"/>
      <c r="C352" s="7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customFormat="false" ht="12.75" hidden="false" customHeight="false" outlineLevel="0" collapsed="false">
      <c r="A353" s="2"/>
      <c r="B353" s="2"/>
      <c r="C353" s="7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customFormat="false" ht="12.75" hidden="false" customHeight="false" outlineLevel="0" collapsed="false">
      <c r="A354" s="2"/>
      <c r="B354" s="2"/>
      <c r="C354" s="7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customFormat="false" ht="12.75" hidden="false" customHeight="false" outlineLevel="0" collapsed="false">
      <c r="A355" s="2"/>
      <c r="B355" s="2"/>
      <c r="C355" s="7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customFormat="false" ht="12.75" hidden="false" customHeight="false" outlineLevel="0" collapsed="false">
      <c r="A356" s="2"/>
      <c r="B356" s="2"/>
      <c r="C356" s="7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customFormat="false" ht="12.75" hidden="false" customHeight="false" outlineLevel="0" collapsed="false">
      <c r="A357" s="2"/>
      <c r="B357" s="2"/>
      <c r="C357" s="7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customFormat="false" ht="12.75" hidden="false" customHeight="false" outlineLevel="0" collapsed="false">
      <c r="A358" s="2"/>
      <c r="B358" s="2"/>
      <c r="C358" s="7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customFormat="false" ht="12.75" hidden="false" customHeight="false" outlineLevel="0" collapsed="false">
      <c r="A359" s="2"/>
      <c r="B359" s="2"/>
      <c r="C359" s="7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customFormat="false" ht="12.75" hidden="false" customHeight="false" outlineLevel="0" collapsed="false">
      <c r="A360" s="2"/>
      <c r="B360" s="2"/>
      <c r="C360" s="7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customFormat="false" ht="12.75" hidden="false" customHeight="false" outlineLevel="0" collapsed="false">
      <c r="A361" s="2"/>
      <c r="B361" s="2"/>
      <c r="C361" s="7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customFormat="false" ht="12.75" hidden="false" customHeight="false" outlineLevel="0" collapsed="false">
      <c r="A362" s="2"/>
      <c r="B362" s="2"/>
      <c r="C362" s="7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customFormat="false" ht="12.75" hidden="false" customHeight="false" outlineLevel="0" collapsed="false">
      <c r="A363" s="2"/>
      <c r="B363" s="2"/>
      <c r="C363" s="7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customFormat="false" ht="12.75" hidden="false" customHeight="false" outlineLevel="0" collapsed="false">
      <c r="A364" s="2"/>
      <c r="B364" s="2"/>
      <c r="C364" s="7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customFormat="false" ht="12.75" hidden="false" customHeight="false" outlineLevel="0" collapsed="false">
      <c r="A365" s="2"/>
      <c r="B365" s="2"/>
      <c r="C365" s="7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customFormat="false" ht="12.75" hidden="false" customHeight="false" outlineLevel="0" collapsed="false">
      <c r="A366" s="2"/>
      <c r="B366" s="2"/>
      <c r="C366" s="7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customFormat="false" ht="12.75" hidden="false" customHeight="false" outlineLevel="0" collapsed="false">
      <c r="A367" s="2"/>
      <c r="B367" s="2"/>
      <c r="C367" s="7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customFormat="false" ht="12.75" hidden="false" customHeight="false" outlineLevel="0" collapsed="false">
      <c r="A368" s="2"/>
      <c r="B368" s="2"/>
      <c r="C368" s="7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customFormat="false" ht="12.75" hidden="false" customHeight="false" outlineLevel="0" collapsed="false">
      <c r="A369" s="2"/>
      <c r="B369" s="2"/>
      <c r="C369" s="7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</sheetData>
  <mergeCells count="2">
    <mergeCell ref="A1:C2"/>
    <mergeCell ref="A3:C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68"/>
  <sheetViews>
    <sheetView showFormulas="false" showGridLines="true" showRowColHeaders="true" showZeros="true" rightToLeft="false" tabSelected="false" showOutlineSymbols="true" defaultGridColor="true" view="normal" topLeftCell="A24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56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57" width="9.85"/>
  </cols>
  <sheetData>
    <row r="2" customFormat="false" ht="18" hidden="false" customHeight="false" outlineLevel="0" collapsed="false">
      <c r="A2" s="859" t="str">
        <f aca="false">CONCATENATE('rotation(6B)'!$X$7,"x",'GTDB(6B)'!$B$5," GT Scheduled Maintenance  Cost")</f>
        <v>0xGE-Frame 6B GT Scheduled Maintenance  Cost</v>
      </c>
      <c r="B2" s="11"/>
    </row>
    <row r="4" customFormat="false" ht="12.75" hidden="false" customHeight="false" outlineLevel="0" collapsed="false">
      <c r="A4" s="759" t="s">
        <v>1351</v>
      </c>
      <c r="B4" s="153"/>
      <c r="C4" s="153"/>
      <c r="D4" s="153" t="n">
        <v>1</v>
      </c>
      <c r="E4" s="153" t="n">
        <v>2</v>
      </c>
      <c r="F4" s="153" t="n">
        <v>3</v>
      </c>
      <c r="G4" s="153" t="n">
        <v>4</v>
      </c>
      <c r="H4" s="153" t="n">
        <v>5</v>
      </c>
      <c r="I4" s="153" t="n">
        <v>6</v>
      </c>
      <c r="J4" s="153" t="n">
        <v>7</v>
      </c>
      <c r="K4" s="153" t="n">
        <v>8</v>
      </c>
      <c r="L4" s="153" t="n">
        <v>9</v>
      </c>
      <c r="M4" s="153" t="n">
        <v>10</v>
      </c>
      <c r="N4" s="153" t="n">
        <v>11</v>
      </c>
      <c r="O4" s="153" t="n">
        <v>12</v>
      </c>
      <c r="P4" s="153" t="n">
        <v>13</v>
      </c>
      <c r="Q4" s="153" t="n">
        <v>14</v>
      </c>
      <c r="R4" s="153" t="n">
        <v>15</v>
      </c>
      <c r="S4" s="153" t="n">
        <v>16</v>
      </c>
      <c r="T4" s="153" t="n">
        <v>17</v>
      </c>
      <c r="U4" s="153" t="n">
        <v>18</v>
      </c>
      <c r="V4" s="153" t="n">
        <v>19</v>
      </c>
      <c r="W4" s="153" t="n">
        <v>20</v>
      </c>
      <c r="X4" s="757" t="s">
        <v>1352</v>
      </c>
    </row>
    <row r="5" customFormat="false" ht="12.75" hidden="false" customHeight="false" outlineLevel="0" collapsed="false">
      <c r="A5" s="860" t="str">
        <f aca="false">IF('rotation(6B)'!$X$7&lt;1," ","UNIT 1")</f>
        <v> </v>
      </c>
      <c r="B5" s="153"/>
      <c r="C5" s="153"/>
      <c r="D5" s="742" t="str">
        <f aca="false">CONCATENATE('rotation(6B)'!C$12,'rotation(6B)'!C$13,'rotation(6B)'!C$14)</f>
        <v>   </v>
      </c>
      <c r="E5" s="742" t="str">
        <f aca="false">CONCATENATE('rotation(6B)'!D$12,'rotation(6B)'!D$13,'rotation(6B)'!D$14)</f>
        <v>   </v>
      </c>
      <c r="F5" s="742" t="str">
        <f aca="false">CONCATENATE('rotation(6B)'!E$12,'rotation(6B)'!E$13,'rotation(6B)'!E$14)</f>
        <v>   </v>
      </c>
      <c r="G5" s="742" t="str">
        <f aca="false">CONCATENATE('rotation(6B)'!F$12,'rotation(6B)'!F$13,'rotation(6B)'!F$14)</f>
        <v>   </v>
      </c>
      <c r="H5" s="742" t="str">
        <f aca="false">CONCATENATE('rotation(6B)'!G$12,'rotation(6B)'!G$13,'rotation(6B)'!G$14)</f>
        <v>   </v>
      </c>
      <c r="I5" s="742" t="str">
        <f aca="false">CONCATENATE('rotation(6B)'!H$12,'rotation(6B)'!H$13,'rotation(6B)'!H$14)</f>
        <v>   </v>
      </c>
      <c r="J5" s="742" t="str">
        <f aca="false">CONCATENATE('rotation(6B)'!I$12,'rotation(6B)'!I$13,'rotation(6B)'!I$14)</f>
        <v>   </v>
      </c>
      <c r="K5" s="742" t="str">
        <f aca="false">CONCATENATE('rotation(6B)'!J$12,'rotation(6B)'!J$13,'rotation(6B)'!J$14)</f>
        <v>   </v>
      </c>
      <c r="L5" s="742" t="str">
        <f aca="false">CONCATENATE('rotation(6B)'!K$12,'rotation(6B)'!K$13,'rotation(6B)'!K$14)</f>
        <v>   </v>
      </c>
      <c r="M5" s="742" t="str">
        <f aca="false">CONCATENATE('rotation(6B)'!L$12,'rotation(6B)'!L$13,'rotation(6B)'!L$14)</f>
        <v>   </v>
      </c>
      <c r="N5" s="742" t="str">
        <f aca="false">CONCATENATE('rotation(6B)'!M$12,'rotation(6B)'!M$13,'rotation(6B)'!M$14)</f>
        <v>   </v>
      </c>
      <c r="O5" s="742" t="str">
        <f aca="false">CONCATENATE('rotation(6B)'!N$12,'rotation(6B)'!N$13,'rotation(6B)'!N$14)</f>
        <v>   </v>
      </c>
      <c r="P5" s="742" t="str">
        <f aca="false">CONCATENATE('rotation(6B)'!O$12,'rotation(6B)'!O$13,'rotation(6B)'!O$14)</f>
        <v>   </v>
      </c>
      <c r="Q5" s="742" t="str">
        <f aca="false">CONCATENATE('rotation(6B)'!P$12,'rotation(6B)'!P$13,'rotation(6B)'!P$14)</f>
        <v>   </v>
      </c>
      <c r="R5" s="742" t="str">
        <f aca="false">CONCATENATE('rotation(6B)'!Q$12,'rotation(6B)'!Q$13,'rotation(6B)'!Q$14)</f>
        <v>   </v>
      </c>
      <c r="S5" s="742" t="str">
        <f aca="false">CONCATENATE('rotation(6B)'!R$12,'rotation(6B)'!R$13,'rotation(6B)'!R$14)</f>
        <v>   </v>
      </c>
      <c r="T5" s="742" t="str">
        <f aca="false">CONCATENATE('rotation(6B)'!S$12,'rotation(6B)'!S$13,'rotation(6B)'!S$14)</f>
        <v>   </v>
      </c>
      <c r="U5" s="742" t="str">
        <f aca="false">CONCATENATE('rotation(6B)'!T$12,'rotation(6B)'!T$13,'rotation(6B)'!T$14)</f>
        <v>   </v>
      </c>
      <c r="V5" s="742" t="str">
        <f aca="false">CONCATENATE('rotation(6B)'!U$12,'rotation(6B)'!U$13,'rotation(6B)'!U$14)</f>
        <v>   </v>
      </c>
      <c r="W5" s="742" t="str">
        <f aca="false">CONCATENATE('rotation(6B)'!V$12,'rotation(6B)'!V$13,'rotation(6B)'!V$14)</f>
        <v>   </v>
      </c>
    </row>
    <row r="6" customFormat="false" ht="12.75" hidden="false" customHeight="false" outlineLevel="0" collapsed="false">
      <c r="A6" s="860" t="str">
        <f aca="false">IF('rotation(6B)'!$X$7&lt;2," ","UNIT 2")</f>
        <v> </v>
      </c>
      <c r="B6" s="153"/>
      <c r="C6" s="153"/>
      <c r="D6" s="742" t="str">
        <f aca="false">IF('rotation(6B)'!$X$7&lt;2," ",CONCATENATE('rotation(6B)'!C$12,'rotation(6B)'!C$13,'rotation(6B)'!C$14))</f>
        <v> </v>
      </c>
      <c r="E6" s="742" t="str">
        <f aca="false">IF('rotation(6B)'!$X$7&lt;2," ",CONCATENATE('rotation(6B)'!D$12,'rotation(6B)'!D$13,'rotation(6B)'!D$14))</f>
        <v> </v>
      </c>
      <c r="F6" s="742" t="str">
        <f aca="false">IF('rotation(6B)'!$X$7&lt;2," ",CONCATENATE('rotation(6B)'!E$12,'rotation(6B)'!E$13,'rotation(6B)'!E$14))</f>
        <v> </v>
      </c>
      <c r="G6" s="742" t="str">
        <f aca="false">IF('rotation(6B)'!$X$7&lt;2," ",CONCATENATE('rotation(6B)'!F$12,'rotation(6B)'!F$13,'rotation(6B)'!F$14))</f>
        <v> </v>
      </c>
      <c r="H6" s="742" t="str">
        <f aca="false">IF('rotation(6B)'!$X$7&lt;2," ",CONCATENATE('rotation(6B)'!G$12,'rotation(6B)'!G$13,'rotation(6B)'!G$14))</f>
        <v> </v>
      </c>
      <c r="I6" s="742" t="str">
        <f aca="false">IF('rotation(6B)'!$X$7&lt;2," ",CONCATENATE('rotation(6B)'!H$12,'rotation(6B)'!H$13,'rotation(6B)'!H$14))</f>
        <v> </v>
      </c>
      <c r="J6" s="742" t="str">
        <f aca="false">IF('rotation(6B)'!$X$7&lt;2," ",CONCATENATE('rotation(6B)'!I$12,'rotation(6B)'!I$13,'rotation(6B)'!I$14))</f>
        <v> </v>
      </c>
      <c r="K6" s="742" t="str">
        <f aca="false">IF('rotation(6B)'!$X$7&lt;2," ",CONCATENATE('rotation(6B)'!J$12,'rotation(6B)'!J$13,'rotation(6B)'!J$14))</f>
        <v> </v>
      </c>
      <c r="L6" s="742" t="str">
        <f aca="false">IF('rotation(6B)'!$X$7&lt;2," ",CONCATENATE('rotation(6B)'!K$12,'rotation(6B)'!K$13,'rotation(6B)'!K$14))</f>
        <v> </v>
      </c>
      <c r="M6" s="742" t="str">
        <f aca="false">IF('rotation(6B)'!$X$7&lt;2," ",CONCATENATE('rotation(6B)'!L$12,'rotation(6B)'!L$13,'rotation(6B)'!L$14))</f>
        <v> </v>
      </c>
      <c r="N6" s="742" t="str">
        <f aca="false">IF('rotation(6B)'!$X$7&lt;2," ",CONCATENATE('rotation(6B)'!M$12,'rotation(6B)'!M$13,'rotation(6B)'!M$14))</f>
        <v> </v>
      </c>
      <c r="O6" s="742" t="str">
        <f aca="false">IF('rotation(6B)'!$X$7&lt;2," ",CONCATENATE('rotation(6B)'!N$12,'rotation(6B)'!N$13,'rotation(6B)'!N$14))</f>
        <v> </v>
      </c>
      <c r="P6" s="742" t="str">
        <f aca="false">IF('rotation(6B)'!$X$7&lt;2," ",CONCATENATE('rotation(6B)'!O$12,'rotation(6B)'!O$13,'rotation(6B)'!O$14))</f>
        <v> </v>
      </c>
      <c r="Q6" s="742" t="str">
        <f aca="false">IF('rotation(6B)'!$X$7&lt;2," ",CONCATENATE('rotation(6B)'!P$12,'rotation(6B)'!P$13,'rotation(6B)'!P$14))</f>
        <v> </v>
      </c>
      <c r="R6" s="742" t="str">
        <f aca="false">IF('rotation(6B)'!$X$7&lt;2," ",CONCATENATE('rotation(6B)'!Q$12,'rotation(6B)'!Q$13,'rotation(6B)'!Q$14))</f>
        <v> </v>
      </c>
      <c r="S6" s="742" t="str">
        <f aca="false">IF('rotation(6B)'!$X$7&lt;2," ",CONCATENATE('rotation(6B)'!R$12,'rotation(6B)'!R$13,'rotation(6B)'!R$14))</f>
        <v> </v>
      </c>
      <c r="T6" s="742" t="str">
        <f aca="false">IF('rotation(6B)'!$X$7&lt;2," ",CONCATENATE('rotation(6B)'!S$12,'rotation(6B)'!S$13,'rotation(6B)'!S$14))</f>
        <v> </v>
      </c>
      <c r="U6" s="742" t="str">
        <f aca="false">IF('rotation(6B)'!$X$7&lt;2," ",CONCATENATE('rotation(6B)'!T$12,'rotation(6B)'!T$13,'rotation(6B)'!T$14))</f>
        <v> </v>
      </c>
      <c r="V6" s="742" t="str">
        <f aca="false">IF('rotation(6B)'!$X$7&lt;2," ",CONCATENATE('rotation(6B)'!U$12,'rotation(6B)'!U$13,'rotation(6B)'!U$14))</f>
        <v> </v>
      </c>
      <c r="W6" s="742" t="str">
        <f aca="false">IF('rotation(6B)'!$X$7&lt;2," ",CONCATENATE('rotation(6B)'!V$12,'rotation(6B)'!V$13,'rotation(6B)'!V$14))</f>
        <v> </v>
      </c>
    </row>
    <row r="7" customFormat="false" ht="12.75" hidden="false" customHeight="false" outlineLevel="0" collapsed="false">
      <c r="A7" s="860" t="str">
        <f aca="false">IF('rotation(6B)'!$X$7&lt;3," ","UNIT 3")</f>
        <v> </v>
      </c>
      <c r="B7" s="153"/>
      <c r="C7" s="153"/>
      <c r="D7" s="742" t="str">
        <f aca="false">IF('rotation(6B)'!$X$7&lt;3," ",CONCATENATE('rotation(6B)'!C$12,'rotation(6B)'!C$13,'rotation(6B)'!C$14))</f>
        <v> </v>
      </c>
      <c r="E7" s="742" t="str">
        <f aca="false">IF('rotation(6B)'!$X$7&lt;3," ",CONCATENATE('rotation(6B)'!D$12,'rotation(6B)'!D$13,'rotation(6B)'!D$14))</f>
        <v> </v>
      </c>
      <c r="F7" s="742" t="str">
        <f aca="false">IF('rotation(6B)'!$X$7&lt;3," ",CONCATENATE('rotation(6B)'!E$12,'rotation(6B)'!E$13,'rotation(6B)'!E$14))</f>
        <v> </v>
      </c>
      <c r="G7" s="742" t="str">
        <f aca="false">IF('rotation(6B)'!$X$7&lt;3," ",CONCATENATE('rotation(6B)'!F$12,'rotation(6B)'!F$13,'rotation(6B)'!F$14))</f>
        <v> </v>
      </c>
      <c r="H7" s="742" t="str">
        <f aca="false">IF('rotation(6B)'!$X$7&lt;3," ",CONCATENATE('rotation(6B)'!G$12,'rotation(6B)'!G$13,'rotation(6B)'!G$14))</f>
        <v> </v>
      </c>
      <c r="I7" s="742" t="str">
        <f aca="false">IF('rotation(6B)'!$X$7&lt;3," ",CONCATENATE('rotation(6B)'!H$12,'rotation(6B)'!H$13,'rotation(6B)'!H$14))</f>
        <v> </v>
      </c>
      <c r="J7" s="742" t="str">
        <f aca="false">IF('rotation(6B)'!$X$7&lt;3," ",CONCATENATE('rotation(6B)'!I$12,'rotation(6B)'!I$13,'rotation(6B)'!I$14))</f>
        <v> </v>
      </c>
      <c r="K7" s="742" t="str">
        <f aca="false">IF('rotation(6B)'!$X$7&lt;3," ",CONCATENATE('rotation(6B)'!J$12,'rotation(6B)'!J$13,'rotation(6B)'!J$14))</f>
        <v> </v>
      </c>
      <c r="L7" s="742" t="str">
        <f aca="false">IF('rotation(6B)'!$X$7&lt;3," ",CONCATENATE('rotation(6B)'!K$12,'rotation(6B)'!K$13,'rotation(6B)'!K$14))</f>
        <v> </v>
      </c>
      <c r="M7" s="742" t="str">
        <f aca="false">IF('rotation(6B)'!$X$7&lt;3," ",CONCATENATE('rotation(6B)'!L$12,'rotation(6B)'!L$13,'rotation(6B)'!L$14))</f>
        <v> </v>
      </c>
      <c r="N7" s="742" t="str">
        <f aca="false">IF('rotation(6B)'!$X$7&lt;3," ",CONCATENATE('rotation(6B)'!M$12,'rotation(6B)'!M$13,'rotation(6B)'!M$14))</f>
        <v> </v>
      </c>
      <c r="O7" s="742" t="str">
        <f aca="false">IF('rotation(6B)'!$X$7&lt;3," ",CONCATENATE('rotation(6B)'!N$12,'rotation(6B)'!N$13,'rotation(6B)'!N$14))</f>
        <v> </v>
      </c>
      <c r="P7" s="742" t="str">
        <f aca="false">IF('rotation(6B)'!$X$7&lt;3," ",CONCATENATE('rotation(6B)'!O$12,'rotation(6B)'!O$13,'rotation(6B)'!O$14))</f>
        <v> </v>
      </c>
      <c r="Q7" s="742" t="str">
        <f aca="false">IF('rotation(6B)'!$X$7&lt;3," ",CONCATENATE('rotation(6B)'!P$12,'rotation(6B)'!P$13,'rotation(6B)'!P$14))</f>
        <v> </v>
      </c>
      <c r="R7" s="742" t="str">
        <f aca="false">IF('rotation(6B)'!$X$7&lt;3," ",CONCATENATE('rotation(6B)'!Q$12,'rotation(6B)'!Q$13,'rotation(6B)'!Q$14))</f>
        <v> </v>
      </c>
      <c r="S7" s="742" t="str">
        <f aca="false">IF('rotation(6B)'!$X$7&lt;3," ",CONCATENATE('rotation(6B)'!R$12,'rotation(6B)'!R$13,'rotation(6B)'!R$14))</f>
        <v> </v>
      </c>
      <c r="T7" s="742" t="str">
        <f aca="false">IF('rotation(6B)'!$X$7&lt;3," ",CONCATENATE('rotation(6B)'!S$12,'rotation(6B)'!S$13,'rotation(6B)'!S$14))</f>
        <v> </v>
      </c>
      <c r="U7" s="742" t="str">
        <f aca="false">IF('rotation(6B)'!$X$7&lt;3," ",CONCATENATE('rotation(6B)'!T$12,'rotation(6B)'!T$13,'rotation(6B)'!T$14))</f>
        <v> </v>
      </c>
      <c r="V7" s="742" t="str">
        <f aca="false">IF('rotation(6B)'!$X$7&lt;3," ",CONCATENATE('rotation(6B)'!U$12,'rotation(6B)'!U$13,'rotation(6B)'!U$14))</f>
        <v> </v>
      </c>
      <c r="W7" s="742" t="str">
        <f aca="false">IF('rotation(6B)'!$X$7&lt;3," ",CONCATENATE('rotation(6B)'!V$12,'rotation(6B)'!V$13,'rotation(6B)'!V$14))</f>
        <v> </v>
      </c>
    </row>
    <row r="8" customFormat="false" ht="12.75" hidden="false" customHeight="false" outlineLevel="0" collapsed="false">
      <c r="A8" s="860" t="str">
        <f aca="false">IF('rotation(6B)'!$X$7&lt;4," ","UNIT4")</f>
        <v> </v>
      </c>
      <c r="B8" s="153"/>
      <c r="C8" s="153"/>
      <c r="D8" s="742" t="str">
        <f aca="false">IF('rotation(6B)'!$X$7&lt;4," ",CONCATENATE('rotation(6B)'!C$12,'rotation(6B)'!C$13,'rotation(6B)'!C$14))</f>
        <v> </v>
      </c>
      <c r="E8" s="742" t="str">
        <f aca="false">IF('rotation(6B)'!$X$7&lt;4," ",CONCATENATE('rotation(6B)'!D$12,'rotation(6B)'!D$13,'rotation(6B)'!D$14))</f>
        <v> </v>
      </c>
      <c r="F8" s="742" t="str">
        <f aca="false">IF('rotation(6B)'!$X$7&lt;4," ",CONCATENATE('rotation(6B)'!E$12,'rotation(6B)'!E$13,'rotation(6B)'!E$14))</f>
        <v> </v>
      </c>
      <c r="G8" s="742" t="str">
        <f aca="false">IF('rotation(6B)'!$X$7&lt;4," ",CONCATENATE('rotation(6B)'!F$12,'rotation(6B)'!F$13,'rotation(6B)'!F$14))</f>
        <v> </v>
      </c>
      <c r="H8" s="742" t="str">
        <f aca="false">IF('rotation(6B)'!$X$7&lt;4," ",CONCATENATE('rotation(6B)'!G$12,'rotation(6B)'!G$13,'rotation(6B)'!G$14))</f>
        <v> </v>
      </c>
      <c r="I8" s="742" t="str">
        <f aca="false">IF('rotation(6B)'!$X$7&lt;4," ",CONCATENATE('rotation(6B)'!H$12,'rotation(6B)'!H$13,'rotation(6B)'!H$14))</f>
        <v> </v>
      </c>
      <c r="J8" s="742" t="str">
        <f aca="false">IF('rotation(6B)'!$X$7&lt;4," ",CONCATENATE('rotation(6B)'!I$12,'rotation(6B)'!I$13,'rotation(6B)'!I$14))</f>
        <v> </v>
      </c>
      <c r="K8" s="742" t="str">
        <f aca="false">IF('rotation(6B)'!$X$7&lt;4," ",CONCATENATE('rotation(6B)'!J$12,'rotation(6B)'!J$13,'rotation(6B)'!J$14))</f>
        <v> </v>
      </c>
      <c r="L8" s="742" t="str">
        <f aca="false">IF('rotation(6B)'!$X$7&lt;4," ",CONCATENATE('rotation(6B)'!K$12,'rotation(6B)'!K$13,'rotation(6B)'!K$14))</f>
        <v> </v>
      </c>
      <c r="M8" s="742" t="str">
        <f aca="false">IF('rotation(6B)'!$X$7&lt;4," ",CONCATENATE('rotation(6B)'!L$12,'rotation(6B)'!L$13,'rotation(6B)'!L$14))</f>
        <v> </v>
      </c>
      <c r="N8" s="742" t="str">
        <f aca="false">IF('rotation(6B)'!$X$7&lt;4," ",CONCATENATE('rotation(6B)'!M$12,'rotation(6B)'!M$13,'rotation(6B)'!M$14))</f>
        <v> </v>
      </c>
      <c r="O8" s="742" t="str">
        <f aca="false">IF('rotation(6B)'!$X$7&lt;4," ",CONCATENATE('rotation(6B)'!N$12,'rotation(6B)'!N$13,'rotation(6B)'!N$14))</f>
        <v> </v>
      </c>
      <c r="P8" s="742" t="str">
        <f aca="false">IF('rotation(6B)'!$X$7&lt;4," ",CONCATENATE('rotation(6B)'!O$12,'rotation(6B)'!O$13,'rotation(6B)'!O$14))</f>
        <v> </v>
      </c>
      <c r="Q8" s="742" t="str">
        <f aca="false">IF('rotation(6B)'!$X$7&lt;4," ",CONCATENATE('rotation(6B)'!P$12,'rotation(6B)'!P$13,'rotation(6B)'!P$14))</f>
        <v> </v>
      </c>
      <c r="R8" s="742" t="str">
        <f aca="false">IF('rotation(6B)'!$X$7&lt;4," ",CONCATENATE('rotation(6B)'!Q$12,'rotation(6B)'!Q$13,'rotation(6B)'!Q$14))</f>
        <v> </v>
      </c>
      <c r="S8" s="742" t="str">
        <f aca="false">IF('rotation(6B)'!$X$7&lt;4," ",CONCATENATE('rotation(6B)'!R$12,'rotation(6B)'!R$13,'rotation(6B)'!R$14))</f>
        <v> </v>
      </c>
      <c r="T8" s="742" t="str">
        <f aca="false">IF('rotation(6B)'!$X$7&lt;4," ",CONCATENATE('rotation(6B)'!S$12,'rotation(6B)'!S$13,'rotation(6B)'!S$14))</f>
        <v> </v>
      </c>
      <c r="U8" s="742" t="str">
        <f aca="false">IF('rotation(6B)'!$X$7&lt;4," ",CONCATENATE('rotation(6B)'!T$12,'rotation(6B)'!T$13,'rotation(6B)'!T$14))</f>
        <v> </v>
      </c>
      <c r="V8" s="742" t="str">
        <f aca="false">IF('rotation(6B)'!$X$7&lt;4," ",CONCATENATE('rotation(6B)'!U$12,'rotation(6B)'!U$13,'rotation(6B)'!U$14))</f>
        <v> </v>
      </c>
      <c r="W8" s="742" t="str">
        <f aca="false">IF('rotation(6B)'!$X$7&lt;4," ",CONCATENATE('rotation(6B)'!V$12,'rotation(6B)'!V$13,'rotation(6B)'!V$14))</f>
        <v> </v>
      </c>
    </row>
    <row r="9" customFormat="false" ht="12.75" hidden="false" customHeight="false" outlineLevel="0" collapsed="false">
      <c r="A9" s="860" t="str">
        <f aca="false">IF('rotation(6B)'!$X$7&lt;5," ","UNIT 5")</f>
        <v> </v>
      </c>
      <c r="B9" s="153"/>
      <c r="C9" s="153"/>
      <c r="D9" s="742" t="str">
        <f aca="false">IF('rotation(6B)'!$X$7&lt;5," ",CONCATENATE('rotation(6B)'!C$12,'rotation(6B)'!C$13,'rotation(6B)'!C$14))</f>
        <v> </v>
      </c>
      <c r="E9" s="742" t="str">
        <f aca="false">IF('rotation(6B)'!$X$7&lt;5," ",CONCATENATE('rotation(6B)'!D$12,'rotation(6B)'!D$13,'rotation(6B)'!D$14))</f>
        <v> </v>
      </c>
      <c r="F9" s="742" t="str">
        <f aca="false">IF('rotation(6B)'!$X$7&lt;5," ",CONCATENATE('rotation(6B)'!E$12,'rotation(6B)'!E$13,'rotation(6B)'!E$14))</f>
        <v> </v>
      </c>
      <c r="G9" s="742" t="str">
        <f aca="false">IF('rotation(6B)'!$X$7&lt;5," ",CONCATENATE('rotation(6B)'!F$12,'rotation(6B)'!F$13,'rotation(6B)'!F$14))</f>
        <v> </v>
      </c>
      <c r="H9" s="742" t="str">
        <f aca="false">IF('rotation(6B)'!$X$7&lt;5," ",CONCATENATE('rotation(6B)'!G$12,'rotation(6B)'!G$13,'rotation(6B)'!G$14))</f>
        <v> </v>
      </c>
      <c r="I9" s="742" t="str">
        <f aca="false">IF('rotation(6B)'!$X$7&lt;5," ",CONCATENATE('rotation(6B)'!H$12,'rotation(6B)'!H$13,'rotation(6B)'!H$14))</f>
        <v> </v>
      </c>
      <c r="J9" s="742" t="str">
        <f aca="false">IF('rotation(6B)'!$X$7&lt;5," ",CONCATENATE('rotation(6B)'!I$12,'rotation(6B)'!I$13,'rotation(6B)'!I$14))</f>
        <v> </v>
      </c>
      <c r="K9" s="742" t="str">
        <f aca="false">IF('rotation(6B)'!$X$7&lt;5," ",CONCATENATE('rotation(6B)'!J$12,'rotation(6B)'!J$13,'rotation(6B)'!J$14))</f>
        <v> </v>
      </c>
      <c r="L9" s="742" t="str">
        <f aca="false">IF('rotation(6B)'!$X$7&lt;5," ",CONCATENATE('rotation(6B)'!K$12,'rotation(6B)'!K$13,'rotation(6B)'!K$14))</f>
        <v> </v>
      </c>
      <c r="M9" s="742" t="str">
        <f aca="false">IF('rotation(6B)'!$X$7&lt;5," ",CONCATENATE('rotation(6B)'!L$12,'rotation(6B)'!L$13,'rotation(6B)'!L$14))</f>
        <v> </v>
      </c>
      <c r="N9" s="742" t="str">
        <f aca="false">IF('rotation(6B)'!$X$7&lt;5," ",CONCATENATE('rotation(6B)'!M$12,'rotation(6B)'!M$13,'rotation(6B)'!M$14))</f>
        <v> </v>
      </c>
      <c r="O9" s="742" t="str">
        <f aca="false">IF('rotation(6B)'!$X$7&lt;5," ",CONCATENATE('rotation(6B)'!N$12,'rotation(6B)'!N$13,'rotation(6B)'!N$14))</f>
        <v> </v>
      </c>
      <c r="P9" s="742" t="str">
        <f aca="false">IF('rotation(6B)'!$X$7&lt;5," ",CONCATENATE('rotation(6B)'!O$12,'rotation(6B)'!O$13,'rotation(6B)'!O$14))</f>
        <v> </v>
      </c>
      <c r="Q9" s="742" t="str">
        <f aca="false">IF('rotation(6B)'!$X$7&lt;5," ",CONCATENATE('rotation(6B)'!P$12,'rotation(6B)'!P$13,'rotation(6B)'!P$14))</f>
        <v> </v>
      </c>
      <c r="R9" s="742" t="str">
        <f aca="false">IF('rotation(6B)'!$X$7&lt;5," ",CONCATENATE('rotation(6B)'!Q$12,'rotation(6B)'!Q$13,'rotation(6B)'!Q$14))</f>
        <v> </v>
      </c>
      <c r="S9" s="742" t="str">
        <f aca="false">IF('rotation(6B)'!$X$7&lt;5," ",CONCATENATE('rotation(6B)'!R$12,'rotation(6B)'!R$13,'rotation(6B)'!R$14))</f>
        <v> </v>
      </c>
      <c r="T9" s="742" t="str">
        <f aca="false">IF('rotation(6B)'!$X$7&lt;5," ",CONCATENATE('rotation(6B)'!S$12,'rotation(6B)'!S$13,'rotation(6B)'!S$14))</f>
        <v> </v>
      </c>
      <c r="U9" s="742" t="str">
        <f aca="false">IF('rotation(6B)'!$X$7&lt;5," ",CONCATENATE('rotation(6B)'!T$12,'rotation(6B)'!T$13,'rotation(6B)'!T$14))</f>
        <v> </v>
      </c>
      <c r="V9" s="742" t="str">
        <f aca="false">IF('rotation(6B)'!$X$7&lt;5," ",CONCATENATE('rotation(6B)'!U$12,'rotation(6B)'!U$13,'rotation(6B)'!U$14))</f>
        <v> </v>
      </c>
      <c r="W9" s="742" t="str">
        <f aca="false">IF('rotation(6B)'!$X$7&lt;5," ",CONCATENATE('rotation(6B)'!V$12,'rotation(6B)'!V$13,'rotation(6B)'!V$14))</f>
        <v> </v>
      </c>
    </row>
    <row r="10" customFormat="false" ht="12.75" hidden="false" customHeight="false" outlineLevel="0" collapsed="false">
      <c r="A10" s="759"/>
    </row>
    <row r="11" customFormat="false" ht="12.75" hidden="false" customHeight="false" outlineLevel="0" collapsed="false">
      <c r="A11" s="759" t="s">
        <v>1357</v>
      </c>
      <c r="B11" s="760"/>
      <c r="C11" s="760"/>
      <c r="D11" s="761" t="n">
        <f aca="false">'rotation(6B)'!C8*'GTDB(6B)'!$C12+'rotation(6B)'!C9*'GTDB(6B)'!$C13+'rotation(6B)'!C10*'GTDB(6B)'!$C14</f>
        <v>0</v>
      </c>
      <c r="E11" s="761" t="n">
        <f aca="false">'rotation(6B)'!D8*'GTDB(6B)'!$C12+'rotation(6B)'!D9*'GTDB(6B)'!$C13+'rotation(6B)'!D10*'GTDB(6B)'!$C14</f>
        <v>0</v>
      </c>
      <c r="F11" s="761" t="n">
        <f aca="false">'rotation(6B)'!E8*'GTDB(6B)'!$C12+'rotation(6B)'!E9*'GTDB(6B)'!$C13+'rotation(6B)'!E10*'GTDB(6B)'!$C14</f>
        <v>0</v>
      </c>
      <c r="G11" s="761" t="n">
        <f aca="false">'rotation(6B)'!F8*'GTDB(6B)'!$C12+'rotation(6B)'!F9*'GTDB(6B)'!$C13+'rotation(6B)'!F10*'GTDB(6B)'!$C14</f>
        <v>0</v>
      </c>
      <c r="H11" s="761" t="n">
        <f aca="false">'rotation(6B)'!G8*'GTDB(6B)'!$C12+'rotation(6B)'!G9*'GTDB(6B)'!$C13+'rotation(6B)'!G10*'GTDB(6B)'!$C14</f>
        <v>0</v>
      </c>
      <c r="I11" s="761" t="n">
        <f aca="false">'rotation(6B)'!H8*'GTDB(6B)'!$C12+'rotation(6B)'!H9*'GTDB(6B)'!$C13+'rotation(6B)'!H10*'GTDB(6B)'!$C14</f>
        <v>0</v>
      </c>
      <c r="J11" s="761" t="n">
        <f aca="false">'rotation(6B)'!I8*'GTDB(6B)'!$C12+'rotation(6B)'!I9*'GTDB(6B)'!$C13+'rotation(6B)'!I10*'GTDB(6B)'!$C14</f>
        <v>0</v>
      </c>
      <c r="K11" s="761" t="n">
        <f aca="false">'rotation(6B)'!J8*'GTDB(6B)'!$C12+'rotation(6B)'!J9*'GTDB(6B)'!$C13+'rotation(6B)'!J10*'GTDB(6B)'!$C14</f>
        <v>0</v>
      </c>
      <c r="L11" s="761" t="n">
        <f aca="false">'rotation(6B)'!K8*'GTDB(6B)'!$C12+'rotation(6B)'!K9*'GTDB(6B)'!$C13+'rotation(6B)'!K10*'GTDB(6B)'!$C14</f>
        <v>0</v>
      </c>
      <c r="M11" s="761" t="n">
        <f aca="false">'rotation(6B)'!L8*'GTDB(6B)'!$C12+'rotation(6B)'!L9*'GTDB(6B)'!$C13+'rotation(6B)'!L10*'GTDB(6B)'!$C14</f>
        <v>0</v>
      </c>
      <c r="N11" s="761" t="n">
        <f aca="false">'rotation(6B)'!M8*'GTDB(6B)'!$C12+'rotation(6B)'!M9*'GTDB(6B)'!$C13+'rotation(6B)'!M10*'GTDB(6B)'!$C14</f>
        <v>0</v>
      </c>
      <c r="O11" s="761" t="n">
        <f aca="false">'rotation(6B)'!N8*'GTDB(6B)'!$C12+'rotation(6B)'!N9*'GTDB(6B)'!$C13+'rotation(6B)'!N10*'GTDB(6B)'!$C14</f>
        <v>0</v>
      </c>
      <c r="P11" s="761" t="n">
        <f aca="false">'rotation(6B)'!O8*'GTDB(6B)'!$C12+'rotation(6B)'!O9*'GTDB(6B)'!$C13+'rotation(6B)'!O10*'GTDB(6B)'!$C14</f>
        <v>0</v>
      </c>
      <c r="Q11" s="761" t="n">
        <f aca="false">'rotation(6B)'!P8*'GTDB(6B)'!$C12+'rotation(6B)'!P9*'GTDB(6B)'!$C13+'rotation(6B)'!P10*'GTDB(6B)'!$C14</f>
        <v>0</v>
      </c>
      <c r="R11" s="761" t="n">
        <f aca="false">'rotation(6B)'!Q8*'GTDB(6B)'!$C12+'rotation(6B)'!Q9*'GTDB(6B)'!$C13+'rotation(6B)'!Q10*'GTDB(6B)'!$C14</f>
        <v>0</v>
      </c>
      <c r="S11" s="761" t="n">
        <f aca="false">'rotation(6B)'!R8*'GTDB(6B)'!$C12+'rotation(6B)'!R9*'GTDB(6B)'!$C13+'rotation(6B)'!R10*'GTDB(6B)'!$C14</f>
        <v>0</v>
      </c>
      <c r="T11" s="761" t="n">
        <f aca="false">'rotation(6B)'!S8*'GTDB(6B)'!$C12+'rotation(6B)'!S9*'GTDB(6B)'!$C13+'rotation(6B)'!S10*'GTDB(6B)'!$C14</f>
        <v>0</v>
      </c>
      <c r="U11" s="761" t="n">
        <f aca="false">'rotation(6B)'!T8*'GTDB(6B)'!$C12+'rotation(6B)'!T9*'GTDB(6B)'!$C13+'rotation(6B)'!T10*'GTDB(6B)'!$C14</f>
        <v>0</v>
      </c>
      <c r="V11" s="761" t="n">
        <f aca="false">'rotation(6B)'!U8*'GTDB(6B)'!$C12+'rotation(6B)'!U9*'GTDB(6B)'!$C13+'rotation(6B)'!U10*'GTDB(6B)'!$C14</f>
        <v>0</v>
      </c>
      <c r="W11" s="761" t="n">
        <f aca="false">'rotation(6B)'!V8*'GTDB(6B)'!$C12+'rotation(6B)'!V9*'GTDB(6B)'!$C13+'rotation(6B)'!V10*'GTDB(6B)'!$C14</f>
        <v>0</v>
      </c>
      <c r="X11" s="762" t="n">
        <f aca="false">SUM(D11:W11)</f>
        <v>0</v>
      </c>
    </row>
    <row r="13" customFormat="false" ht="12.75" hidden="false" customHeight="false" outlineLevel="0" collapsed="false">
      <c r="A13" s="756" t="s">
        <v>1358</v>
      </c>
      <c r="D13" s="0" t="n">
        <v>1</v>
      </c>
      <c r="E13" s="0" t="n">
        <v>2</v>
      </c>
      <c r="F13" s="0" t="n">
        <v>3</v>
      </c>
      <c r="G13" s="0" t="n">
        <v>4</v>
      </c>
      <c r="H13" s="0" t="n">
        <v>5</v>
      </c>
      <c r="I13" s="0" t="n">
        <v>6</v>
      </c>
      <c r="J13" s="0" t="n">
        <v>7</v>
      </c>
      <c r="K13" s="0" t="n">
        <v>8</v>
      </c>
      <c r="L13" s="0" t="n">
        <v>9</v>
      </c>
      <c r="M13" s="0" t="n">
        <v>10</v>
      </c>
      <c r="N13" s="0" t="n">
        <v>11</v>
      </c>
      <c r="O13" s="0" t="n">
        <v>12</v>
      </c>
      <c r="P13" s="0" t="n">
        <v>13</v>
      </c>
      <c r="Q13" s="0" t="n">
        <v>14</v>
      </c>
      <c r="R13" s="0" t="n">
        <v>15</v>
      </c>
      <c r="S13" s="0" t="n">
        <v>16</v>
      </c>
      <c r="T13" s="0" t="n">
        <v>17</v>
      </c>
      <c r="U13" s="0" t="n">
        <v>18</v>
      </c>
      <c r="V13" s="0" t="n">
        <v>19</v>
      </c>
      <c r="W13" s="0" t="n">
        <v>20</v>
      </c>
    </row>
    <row r="14" customFormat="false" ht="12.75" hidden="false" customHeight="false" outlineLevel="0" collapsed="false">
      <c r="A14" s="759" t="s">
        <v>1359</v>
      </c>
      <c r="B14" s="153" t="s">
        <v>1360</v>
      </c>
      <c r="C14" s="153" t="s">
        <v>1361</v>
      </c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</row>
    <row r="15" customFormat="false" ht="12.75" hidden="false" customHeight="false" outlineLevel="0" collapsed="false">
      <c r="A15" s="763" t="str">
        <f aca="false">'GTDB(6B)'!A17</f>
        <v>FUEL NOZZLES</v>
      </c>
      <c r="B15" s="763" t="n">
        <f aca="false">'GTDB(6B)'!E17</f>
        <v>13</v>
      </c>
      <c r="C15" s="763" t="str">
        <f aca="false">IF('rotation(6B)'!AA17=0," ",B15*'rotation(6B)'!AA17)</f>
        <v> </v>
      </c>
      <c r="D15" s="764" t="str">
        <f aca="false">IF('rotation(6B)'!C18=0," ",$B15*'rotation(6B)'!C18)</f>
        <v> </v>
      </c>
      <c r="E15" s="764" t="n">
        <f aca="false">IF('rotation(6B)'!D18=0," ",$B15*'rotation(6B)'!D18)</f>
        <v>26</v>
      </c>
      <c r="F15" s="764" t="str">
        <f aca="false">IF('rotation(6B)'!E18=0," ",$B15*'rotation(6B)'!E18)</f>
        <v> </v>
      </c>
      <c r="G15" s="764" t="str">
        <f aca="false">IF('rotation(6B)'!F18=0," ",$B15*'rotation(6B)'!F18)</f>
        <v> </v>
      </c>
      <c r="H15" s="764" t="str">
        <f aca="false">IF('rotation(6B)'!G18=0," ",$B15*'rotation(6B)'!G18)</f>
        <v> </v>
      </c>
      <c r="I15" s="764" t="str">
        <f aca="false">IF('rotation(6B)'!H18=0," ",$B15*'rotation(6B)'!H18)</f>
        <v> </v>
      </c>
      <c r="J15" s="764" t="str">
        <f aca="false">IF('rotation(6B)'!I18=0," ",$B15*'rotation(6B)'!I18)</f>
        <v> </v>
      </c>
      <c r="K15" s="764" t="str">
        <f aca="false">IF('rotation(6B)'!J18=0," ",$B15*'rotation(6B)'!J18)</f>
        <v> </v>
      </c>
      <c r="L15" s="764" t="str">
        <f aca="false">IF('rotation(6B)'!K18=0," ",$B15*'rotation(6B)'!K18)</f>
        <v> </v>
      </c>
      <c r="M15" s="764" t="str">
        <f aca="false">IF('rotation(6B)'!L18=0," ",$B15*'rotation(6B)'!L18)</f>
        <v> </v>
      </c>
      <c r="N15" s="764" t="str">
        <f aca="false">IF('rotation(6B)'!M18=0," ",$B15*'rotation(6B)'!M18)</f>
        <v> </v>
      </c>
      <c r="O15" s="764" t="str">
        <f aca="false">IF('rotation(6B)'!N18=0," ",$B15*'rotation(6B)'!N18)</f>
        <v> </v>
      </c>
      <c r="P15" s="764" t="str">
        <f aca="false">IF('rotation(6B)'!O18=0," ",$B15*'rotation(6B)'!O18)</f>
        <v> </v>
      </c>
      <c r="Q15" s="764" t="str">
        <f aca="false">IF('rotation(6B)'!P18=0," ",$B15*'rotation(6B)'!P18)</f>
        <v> </v>
      </c>
      <c r="R15" s="764" t="str">
        <f aca="false">IF('rotation(6B)'!Q18=0," ",$B15*'rotation(6B)'!Q18)</f>
        <v> </v>
      </c>
      <c r="S15" s="764" t="str">
        <f aca="false">IF('rotation(6B)'!R18=0," ",$B15*'rotation(6B)'!R18)</f>
        <v> </v>
      </c>
      <c r="T15" s="764" t="str">
        <f aca="false">IF('rotation(6B)'!S18=0," ",$B15*'rotation(6B)'!S18)</f>
        <v> </v>
      </c>
      <c r="U15" s="764" t="str">
        <f aca="false">IF('rotation(6B)'!T18=0," ",$B15*'rotation(6B)'!T18)</f>
        <v> </v>
      </c>
      <c r="V15" s="764" t="str">
        <f aca="false">IF('rotation(6B)'!U18=0," ",$B15*'rotation(6B)'!U18)</f>
        <v> </v>
      </c>
      <c r="W15" s="764" t="str">
        <f aca="false">IF('rotation(6B)'!V18=0," ",$B15*'rotation(6B)'!V18)</f>
        <v> </v>
      </c>
      <c r="X15" s="666" t="n">
        <f aca="false">SUM(D15:W15)</f>
        <v>26</v>
      </c>
    </row>
    <row r="16" customFormat="false" ht="12.75" hidden="false" customHeight="false" outlineLevel="0" collapsed="false">
      <c r="A16" s="763" t="str">
        <f aca="false">'GTDB(6B)'!A18</f>
        <v>CROSSFIRE TUBES</v>
      </c>
      <c r="B16" s="763" t="n">
        <f aca="false">'GTDB(6B)'!E18</f>
        <v>10.5</v>
      </c>
      <c r="C16" s="763" t="str">
        <f aca="false">IF('rotation(6B)'!AA21=0," ",B16*'rotation(6B)'!AA21)</f>
        <v> </v>
      </c>
      <c r="D16" s="764" t="str">
        <f aca="false">IF('rotation(6B)'!C22=0," ",$B16*'rotation(6B)'!C22)</f>
        <v> </v>
      </c>
      <c r="E16" s="764" t="n">
        <f aca="false">IF('rotation(6B)'!D22=0," ",$B16*'rotation(6B)'!D22)</f>
        <v>21</v>
      </c>
      <c r="F16" s="764" t="str">
        <f aca="false">IF('rotation(6B)'!E22=0," ",$B16*'rotation(6B)'!E22)</f>
        <v> </v>
      </c>
      <c r="G16" s="764" t="str">
        <f aca="false">IF('rotation(6B)'!F22=0," ",$B16*'rotation(6B)'!F22)</f>
        <v> </v>
      </c>
      <c r="H16" s="764" t="str">
        <f aca="false">IF('rotation(6B)'!G22=0," ",$B16*'rotation(6B)'!G22)</f>
        <v> </v>
      </c>
      <c r="I16" s="764" t="str">
        <f aca="false">IF('rotation(6B)'!H22=0," ",$B16*'rotation(6B)'!H22)</f>
        <v> </v>
      </c>
      <c r="J16" s="764" t="str">
        <f aca="false">IF('rotation(6B)'!I22=0," ",$B16*'rotation(6B)'!I22)</f>
        <v> </v>
      </c>
      <c r="K16" s="764" t="str">
        <f aca="false">IF('rotation(6B)'!J22=0," ",$B16*'rotation(6B)'!J22)</f>
        <v> </v>
      </c>
      <c r="L16" s="764" t="str">
        <f aca="false">IF('rotation(6B)'!K22=0," ",$B16*'rotation(6B)'!K22)</f>
        <v> </v>
      </c>
      <c r="M16" s="764" t="str">
        <f aca="false">IF('rotation(6B)'!L22=0," ",$B16*'rotation(6B)'!L22)</f>
        <v> </v>
      </c>
      <c r="N16" s="764" t="str">
        <f aca="false">IF('rotation(6B)'!M22=0," ",$B16*'rotation(6B)'!M22)</f>
        <v> </v>
      </c>
      <c r="O16" s="764" t="str">
        <f aca="false">IF('rotation(6B)'!N22=0," ",$B16*'rotation(6B)'!N22)</f>
        <v> </v>
      </c>
      <c r="P16" s="764" t="str">
        <f aca="false">IF('rotation(6B)'!O22=0," ",$B16*'rotation(6B)'!O22)</f>
        <v> </v>
      </c>
      <c r="Q16" s="764" t="str">
        <f aca="false">IF('rotation(6B)'!P22=0," ",$B16*'rotation(6B)'!P22)</f>
        <v> </v>
      </c>
      <c r="R16" s="764" t="str">
        <f aca="false">IF('rotation(6B)'!Q22=0," ",$B16*'rotation(6B)'!Q22)</f>
        <v> </v>
      </c>
      <c r="S16" s="764" t="str">
        <f aca="false">IF('rotation(6B)'!R22=0," ",$B16*'rotation(6B)'!R22)</f>
        <v> </v>
      </c>
      <c r="T16" s="764" t="str">
        <f aca="false">IF('rotation(6B)'!S22=0," ",$B16*'rotation(6B)'!S22)</f>
        <v> </v>
      </c>
      <c r="U16" s="764" t="str">
        <f aca="false">IF('rotation(6B)'!T22=0," ",$B16*'rotation(6B)'!T22)</f>
        <v> </v>
      </c>
      <c r="V16" s="764" t="str">
        <f aca="false">IF('rotation(6B)'!U22=0," ",$B16*'rotation(6B)'!U22)</f>
        <v> </v>
      </c>
      <c r="W16" s="764" t="str">
        <f aca="false">IF('rotation(6B)'!V22=0," ",$B16*'rotation(6B)'!V22)</f>
        <v> </v>
      </c>
      <c r="X16" s="666" t="n">
        <f aca="false">SUM(D16:W16)</f>
        <v>21</v>
      </c>
    </row>
    <row r="17" customFormat="false" ht="12.75" hidden="false" customHeight="false" outlineLevel="0" collapsed="false">
      <c r="A17" s="763" t="str">
        <f aca="false">'GTDB(6B)'!A19</f>
        <v>COMBUSTION LINERS</v>
      </c>
      <c r="B17" s="763" t="n">
        <f aca="false">'GTDB(6B)'!E19</f>
        <v>87</v>
      </c>
      <c r="C17" s="763" t="str">
        <f aca="false">IF('rotation(6B)'!AA25=0," ",B17*'rotation(6B)'!AA25)</f>
        <v> </v>
      </c>
      <c r="D17" s="764" t="str">
        <f aca="false">IF('rotation(6B)'!C26=0," ",$B17*'rotation(6B)'!C26)</f>
        <v> </v>
      </c>
      <c r="E17" s="764" t="n">
        <f aca="false">IF('rotation(6B)'!D26=0," ",$B17*'rotation(6B)'!D26)</f>
        <v>87</v>
      </c>
      <c r="F17" s="764" t="str">
        <f aca="false">IF('rotation(6B)'!E26=0," ",$B17*'rotation(6B)'!E26)</f>
        <v> </v>
      </c>
      <c r="G17" s="764" t="str">
        <f aca="false">IF('rotation(6B)'!F26=0," ",$B17*'rotation(6B)'!F26)</f>
        <v> </v>
      </c>
      <c r="H17" s="764" t="str">
        <f aca="false">IF('rotation(6B)'!G26=0," ",$B17*'rotation(6B)'!G26)</f>
        <v> </v>
      </c>
      <c r="I17" s="764" t="str">
        <f aca="false">IF('rotation(6B)'!H26=0," ",$B17*'rotation(6B)'!H26)</f>
        <v> </v>
      </c>
      <c r="J17" s="764" t="str">
        <f aca="false">IF('rotation(6B)'!I26=0," ",$B17*'rotation(6B)'!I26)</f>
        <v> </v>
      </c>
      <c r="K17" s="764" t="str">
        <f aca="false">IF('rotation(6B)'!J26=0," ",$B17*'rotation(6B)'!J26)</f>
        <v> </v>
      </c>
      <c r="L17" s="764" t="str">
        <f aca="false">IF('rotation(6B)'!K26=0," ",$B17*'rotation(6B)'!K26)</f>
        <v> </v>
      </c>
      <c r="M17" s="764" t="str">
        <f aca="false">IF('rotation(6B)'!L26=0," ",$B17*'rotation(6B)'!L26)</f>
        <v> </v>
      </c>
      <c r="N17" s="764" t="str">
        <f aca="false">IF('rotation(6B)'!M26=0," ",$B17*'rotation(6B)'!M26)</f>
        <v> </v>
      </c>
      <c r="O17" s="764" t="str">
        <f aca="false">IF('rotation(6B)'!N26=0," ",$B17*'rotation(6B)'!N26)</f>
        <v> </v>
      </c>
      <c r="P17" s="764" t="str">
        <f aca="false">IF('rotation(6B)'!O26=0," ",$B17*'rotation(6B)'!O26)</f>
        <v> </v>
      </c>
      <c r="Q17" s="764" t="str">
        <f aca="false">IF('rotation(6B)'!P26=0," ",$B17*'rotation(6B)'!P26)</f>
        <v> </v>
      </c>
      <c r="R17" s="764" t="str">
        <f aca="false">IF('rotation(6B)'!Q26=0," ",$B17*'rotation(6B)'!Q26)</f>
        <v> </v>
      </c>
      <c r="S17" s="764" t="str">
        <f aca="false">IF('rotation(6B)'!R26=0," ",$B17*'rotation(6B)'!R26)</f>
        <v> </v>
      </c>
      <c r="T17" s="764" t="str">
        <f aca="false">IF('rotation(6B)'!S26=0," ",$B17*'rotation(6B)'!S26)</f>
        <v> </v>
      </c>
      <c r="U17" s="764" t="str">
        <f aca="false">IF('rotation(6B)'!T26=0," ",$B17*'rotation(6B)'!T26)</f>
        <v> </v>
      </c>
      <c r="V17" s="764" t="str">
        <f aca="false">IF('rotation(6B)'!U26=0," ",$B17*'rotation(6B)'!U26)</f>
        <v> </v>
      </c>
      <c r="W17" s="764" t="str">
        <f aca="false">IF('rotation(6B)'!V26=0," ",$B17*'rotation(6B)'!V26)</f>
        <v> </v>
      </c>
      <c r="X17" s="666" t="n">
        <f aca="false">SUM(D17:W17)</f>
        <v>87</v>
      </c>
    </row>
    <row r="18" customFormat="false" ht="12.75" hidden="false" customHeight="false" outlineLevel="0" collapsed="false">
      <c r="A18" s="763" t="str">
        <f aca="false">'GTDB(6B)'!A20</f>
        <v>TRANSITION PIECES</v>
      </c>
      <c r="B18" s="763" t="n">
        <f aca="false">'GTDB(6B)'!E20</f>
        <v>127</v>
      </c>
      <c r="C18" s="763" t="str">
        <f aca="false">IF('rotation(6B)'!AA29=0," ",B18*'rotation(6B)'!AA29)</f>
        <v> </v>
      </c>
      <c r="D18" s="764" t="str">
        <f aca="false">IF('rotation(6B)'!C30=0," ",$B18*'rotation(6B)'!C30)</f>
        <v> </v>
      </c>
      <c r="E18" s="764" t="n">
        <f aca="false">IF('rotation(6B)'!D30=0," ",$B18*'rotation(6B)'!D30)</f>
        <v>127</v>
      </c>
      <c r="F18" s="764" t="str">
        <f aca="false">IF('rotation(6B)'!E30=0," ",$B18*'rotation(6B)'!E30)</f>
        <v> </v>
      </c>
      <c r="G18" s="764" t="str">
        <f aca="false">IF('rotation(6B)'!F30=0," ",$B18*'rotation(6B)'!F30)</f>
        <v> </v>
      </c>
      <c r="H18" s="764" t="str">
        <f aca="false">IF('rotation(6B)'!G30=0," ",$B18*'rotation(6B)'!G30)</f>
        <v> </v>
      </c>
      <c r="I18" s="764" t="str">
        <f aca="false">IF('rotation(6B)'!H30=0," ",$B18*'rotation(6B)'!H30)</f>
        <v> </v>
      </c>
      <c r="J18" s="764" t="str">
        <f aca="false">IF('rotation(6B)'!I30=0," ",$B18*'rotation(6B)'!I30)</f>
        <v> </v>
      </c>
      <c r="K18" s="764" t="str">
        <f aca="false">IF('rotation(6B)'!J30=0," ",$B18*'rotation(6B)'!J30)</f>
        <v> </v>
      </c>
      <c r="L18" s="764" t="str">
        <f aca="false">IF('rotation(6B)'!K30=0," ",$B18*'rotation(6B)'!K30)</f>
        <v> </v>
      </c>
      <c r="M18" s="764" t="str">
        <f aca="false">IF('rotation(6B)'!L30=0," ",$B18*'rotation(6B)'!L30)</f>
        <v> </v>
      </c>
      <c r="N18" s="764" t="str">
        <f aca="false">IF('rotation(6B)'!M30=0," ",$B18*'rotation(6B)'!M30)</f>
        <v> </v>
      </c>
      <c r="O18" s="764" t="str">
        <f aca="false">IF('rotation(6B)'!N30=0," ",$B18*'rotation(6B)'!N30)</f>
        <v> </v>
      </c>
      <c r="P18" s="764" t="str">
        <f aca="false">IF('rotation(6B)'!O30=0," ",$B18*'rotation(6B)'!O30)</f>
        <v> </v>
      </c>
      <c r="Q18" s="764" t="str">
        <f aca="false">IF('rotation(6B)'!P30=0," ",$B18*'rotation(6B)'!P30)</f>
        <v> </v>
      </c>
      <c r="R18" s="764" t="str">
        <f aca="false">IF('rotation(6B)'!Q30=0," ",$B18*'rotation(6B)'!Q30)</f>
        <v> </v>
      </c>
      <c r="S18" s="764" t="str">
        <f aca="false">IF('rotation(6B)'!R30=0," ",$B18*'rotation(6B)'!R30)</f>
        <v> </v>
      </c>
      <c r="T18" s="764" t="str">
        <f aca="false">IF('rotation(6B)'!S30=0," ",$B18*'rotation(6B)'!S30)</f>
        <v> </v>
      </c>
      <c r="U18" s="764" t="str">
        <f aca="false">IF('rotation(6B)'!T30=0," ",$B18*'rotation(6B)'!T30)</f>
        <v> </v>
      </c>
      <c r="V18" s="764" t="str">
        <f aca="false">IF('rotation(6B)'!U30=0," ",$B18*'rotation(6B)'!U30)</f>
        <v> </v>
      </c>
      <c r="W18" s="764" t="str">
        <f aca="false">IF('rotation(6B)'!V30=0," ",$B18*'rotation(6B)'!V30)</f>
        <v> </v>
      </c>
      <c r="X18" s="666" t="n">
        <f aca="false">SUM(D18:W18)</f>
        <v>127</v>
      </c>
    </row>
    <row r="19" customFormat="false" ht="12.75" hidden="false" customHeight="false" outlineLevel="0" collapsed="false">
      <c r="A19" s="763" t="str">
        <f aca="false">'GTDB(6B)'!A21</f>
        <v>1ST STAGE BUCKETS</v>
      </c>
      <c r="B19" s="763" t="n">
        <f aca="false">'GTDB(6B)'!E21</f>
        <v>375</v>
      </c>
      <c r="C19" s="763" t="str">
        <f aca="false">IF('rotation(6B)'!AA33=0," ",B19*'rotation(6B)'!AA33)</f>
        <v> </v>
      </c>
      <c r="D19" s="764" t="str">
        <f aca="false">IF('rotation(6B)'!C34=0," ",$B19*'rotation(6B)'!C34)</f>
        <v> </v>
      </c>
      <c r="E19" s="764" t="str">
        <f aca="false">IF('rotation(6B)'!D34=0," ",$B19*'rotation(6B)'!D34)</f>
        <v> </v>
      </c>
      <c r="F19" s="764" t="n">
        <f aca="false">IF('rotation(6B)'!E34=0," ",$B19*'rotation(6B)'!E34)</f>
        <v>750</v>
      </c>
      <c r="G19" s="764" t="str">
        <f aca="false">IF('rotation(6B)'!F34=0," ",$B19*'rotation(6B)'!F34)</f>
        <v> </v>
      </c>
      <c r="H19" s="764" t="str">
        <f aca="false">IF('rotation(6B)'!G34=0," ",$B19*'rotation(6B)'!G34)</f>
        <v> </v>
      </c>
      <c r="I19" s="764" t="str">
        <f aca="false">IF('rotation(6B)'!H34=0," ",$B19*'rotation(6B)'!H34)</f>
        <v> </v>
      </c>
      <c r="J19" s="764" t="str">
        <f aca="false">IF('rotation(6B)'!I34=0," ",$B19*'rotation(6B)'!I34)</f>
        <v> </v>
      </c>
      <c r="K19" s="764" t="str">
        <f aca="false">IF('rotation(6B)'!J34=0," ",$B19*'rotation(6B)'!J34)</f>
        <v> </v>
      </c>
      <c r="L19" s="764" t="str">
        <f aca="false">IF('rotation(6B)'!K34=0," ",$B19*'rotation(6B)'!K34)</f>
        <v> </v>
      </c>
      <c r="M19" s="764" t="str">
        <f aca="false">IF('rotation(6B)'!L34=0," ",$B19*'rotation(6B)'!L34)</f>
        <v> </v>
      </c>
      <c r="N19" s="764" t="str">
        <f aca="false">IF('rotation(6B)'!M34=0," ",$B19*'rotation(6B)'!M34)</f>
        <v> </v>
      </c>
      <c r="O19" s="764" t="str">
        <f aca="false">IF('rotation(6B)'!N34=0," ",$B19*'rotation(6B)'!N34)</f>
        <v> </v>
      </c>
      <c r="P19" s="764" t="str">
        <f aca="false">IF('rotation(6B)'!O34=0," ",$B19*'rotation(6B)'!O34)</f>
        <v> </v>
      </c>
      <c r="Q19" s="764" t="str">
        <f aca="false">IF('rotation(6B)'!P34=0," ",$B19*'rotation(6B)'!P34)</f>
        <v> </v>
      </c>
      <c r="R19" s="764" t="str">
        <f aca="false">IF('rotation(6B)'!Q34=0," ",$B19*'rotation(6B)'!Q34)</f>
        <v> </v>
      </c>
      <c r="S19" s="764" t="str">
        <f aca="false">IF('rotation(6B)'!R34=0," ",$B19*'rotation(6B)'!R34)</f>
        <v> </v>
      </c>
      <c r="T19" s="764" t="str">
        <f aca="false">IF('rotation(6B)'!S34=0," ",$B19*'rotation(6B)'!S34)</f>
        <v> </v>
      </c>
      <c r="U19" s="764" t="str">
        <f aca="false">IF('rotation(6B)'!T34=0," ",$B19*'rotation(6B)'!T34)</f>
        <v> </v>
      </c>
      <c r="V19" s="764" t="str">
        <f aca="false">IF('rotation(6B)'!U34=0," ",$B19*'rotation(6B)'!U34)</f>
        <v> </v>
      </c>
      <c r="W19" s="764" t="str">
        <f aca="false">IF('rotation(6B)'!V34=0," ",$B19*'rotation(6B)'!V34)</f>
        <v> </v>
      </c>
      <c r="X19" s="666" t="n">
        <f aca="false">SUM(D19:W19)</f>
        <v>750</v>
      </c>
    </row>
    <row r="20" customFormat="false" ht="12.75" hidden="false" customHeight="false" outlineLevel="0" collapsed="false">
      <c r="A20" s="763" t="str">
        <f aca="false">'GTDB(6B)'!A22</f>
        <v>2ND STAGE BUCKETS</v>
      </c>
      <c r="B20" s="763" t="n">
        <f aca="false">'GTDB(6B)'!E22</f>
        <v>275</v>
      </c>
      <c r="C20" s="763" t="str">
        <f aca="false">IF('rotation(6B)'!AA37=0," ",B20*'rotation(6B)'!AA37)</f>
        <v> </v>
      </c>
      <c r="D20" s="764" t="str">
        <f aca="false">IF('rotation(6B)'!C38=0," ",$B20*'rotation(6B)'!C38)</f>
        <v> </v>
      </c>
      <c r="E20" s="764" t="str">
        <f aca="false">IF('rotation(6B)'!D38=0," ",$B20*'rotation(6B)'!D38)</f>
        <v> </v>
      </c>
      <c r="F20" s="764" t="n">
        <f aca="false">IF('rotation(6B)'!E38=0," ",$B20*'rotation(6B)'!E38)</f>
        <v>275</v>
      </c>
      <c r="G20" s="764" t="str">
        <f aca="false">IF('rotation(6B)'!F38=0," ",$B20*'rotation(6B)'!F38)</f>
        <v> </v>
      </c>
      <c r="H20" s="764" t="str">
        <f aca="false">IF('rotation(6B)'!G38=0," ",$B20*'rotation(6B)'!G38)</f>
        <v> </v>
      </c>
      <c r="I20" s="764" t="str">
        <f aca="false">IF('rotation(6B)'!H38=0," ",$B20*'rotation(6B)'!H38)</f>
        <v> </v>
      </c>
      <c r="J20" s="764" t="str">
        <f aca="false">IF('rotation(6B)'!I38=0," ",$B20*'rotation(6B)'!I38)</f>
        <v> </v>
      </c>
      <c r="K20" s="764" t="str">
        <f aca="false">IF('rotation(6B)'!J38=0," ",$B20*'rotation(6B)'!J38)</f>
        <v> </v>
      </c>
      <c r="L20" s="764" t="str">
        <f aca="false">IF('rotation(6B)'!K38=0," ",$B20*'rotation(6B)'!K38)</f>
        <v> </v>
      </c>
      <c r="M20" s="764" t="str">
        <f aca="false">IF('rotation(6B)'!L38=0," ",$B20*'rotation(6B)'!L38)</f>
        <v> </v>
      </c>
      <c r="N20" s="764" t="str">
        <f aca="false">IF('rotation(6B)'!M38=0," ",$B20*'rotation(6B)'!M38)</f>
        <v> </v>
      </c>
      <c r="O20" s="764" t="str">
        <f aca="false">IF('rotation(6B)'!N38=0," ",$B20*'rotation(6B)'!N38)</f>
        <v> </v>
      </c>
      <c r="P20" s="764" t="str">
        <f aca="false">IF('rotation(6B)'!O38=0," ",$B20*'rotation(6B)'!O38)</f>
        <v> </v>
      </c>
      <c r="Q20" s="764" t="str">
        <f aca="false">IF('rotation(6B)'!P38=0," ",$B20*'rotation(6B)'!P38)</f>
        <v> </v>
      </c>
      <c r="R20" s="764" t="str">
        <f aca="false">IF('rotation(6B)'!Q38=0," ",$B20*'rotation(6B)'!Q38)</f>
        <v> </v>
      </c>
      <c r="S20" s="764" t="str">
        <f aca="false">IF('rotation(6B)'!R38=0," ",$B20*'rotation(6B)'!R38)</f>
        <v> </v>
      </c>
      <c r="T20" s="764" t="str">
        <f aca="false">IF('rotation(6B)'!S38=0," ",$B20*'rotation(6B)'!S38)</f>
        <v> </v>
      </c>
      <c r="U20" s="764" t="str">
        <f aca="false">IF('rotation(6B)'!T38=0," ",$B20*'rotation(6B)'!T38)</f>
        <v> </v>
      </c>
      <c r="V20" s="764" t="str">
        <f aca="false">IF('rotation(6B)'!U38=0," ",$B20*'rotation(6B)'!U38)</f>
        <v> </v>
      </c>
      <c r="W20" s="764" t="str">
        <f aca="false">IF('rotation(6B)'!V38=0," ",$B20*'rotation(6B)'!V38)</f>
        <v> </v>
      </c>
      <c r="X20" s="666" t="n">
        <f aca="false">SUM(D20:W20)</f>
        <v>275</v>
      </c>
    </row>
    <row r="21" customFormat="false" ht="12.75" hidden="false" customHeight="false" outlineLevel="0" collapsed="false">
      <c r="A21" s="763" t="str">
        <f aca="false">'GTDB(6B)'!A23</f>
        <v>3RD STAGE BUCKETS</v>
      </c>
      <c r="B21" s="763" t="n">
        <f aca="false">'GTDB(6B)'!E23</f>
        <v>270</v>
      </c>
      <c r="C21" s="763" t="str">
        <f aca="false">IF('rotation(6B)'!AA41=0," ",B21*'rotation(6B)'!AA41)</f>
        <v> </v>
      </c>
      <c r="D21" s="764" t="str">
        <f aca="false">IF('rotation(6B)'!C42=0," ",$B21*'rotation(6B)'!C42)</f>
        <v> </v>
      </c>
      <c r="E21" s="764" t="str">
        <f aca="false">IF('rotation(6B)'!D42=0," ",$B21*'rotation(6B)'!D42)</f>
        <v> </v>
      </c>
      <c r="F21" s="764" t="n">
        <f aca="false">IF('rotation(6B)'!E42=0," ",$B21*'rotation(6B)'!E42)</f>
        <v>270</v>
      </c>
      <c r="G21" s="764" t="str">
        <f aca="false">IF('rotation(6B)'!F42=0," ",$B21*'rotation(6B)'!F42)</f>
        <v> </v>
      </c>
      <c r="H21" s="764" t="str">
        <f aca="false">IF('rotation(6B)'!G42=0," ",$B21*'rotation(6B)'!G42)</f>
        <v> </v>
      </c>
      <c r="I21" s="764" t="str">
        <f aca="false">IF('rotation(6B)'!H42=0," ",$B21*'rotation(6B)'!H42)</f>
        <v> </v>
      </c>
      <c r="J21" s="764" t="str">
        <f aca="false">IF('rotation(6B)'!I42=0," ",$B21*'rotation(6B)'!I42)</f>
        <v> </v>
      </c>
      <c r="K21" s="764" t="str">
        <f aca="false">IF('rotation(6B)'!J42=0," ",$B21*'rotation(6B)'!J42)</f>
        <v> </v>
      </c>
      <c r="L21" s="764" t="str">
        <f aca="false">IF('rotation(6B)'!K42=0," ",$B21*'rotation(6B)'!K42)</f>
        <v> </v>
      </c>
      <c r="M21" s="764" t="str">
        <f aca="false">IF('rotation(6B)'!L42=0," ",$B21*'rotation(6B)'!L42)</f>
        <v> </v>
      </c>
      <c r="N21" s="764" t="str">
        <f aca="false">IF('rotation(6B)'!M42=0," ",$B21*'rotation(6B)'!M42)</f>
        <v> </v>
      </c>
      <c r="O21" s="764" t="str">
        <f aca="false">IF('rotation(6B)'!N42=0," ",$B21*'rotation(6B)'!N42)</f>
        <v> </v>
      </c>
      <c r="P21" s="764" t="str">
        <f aca="false">IF('rotation(6B)'!O42=0," ",$B21*'rotation(6B)'!O42)</f>
        <v> </v>
      </c>
      <c r="Q21" s="764" t="str">
        <f aca="false">IF('rotation(6B)'!P42=0," ",$B21*'rotation(6B)'!P42)</f>
        <v> </v>
      </c>
      <c r="R21" s="764" t="str">
        <f aca="false">IF('rotation(6B)'!Q42=0," ",$B21*'rotation(6B)'!Q42)</f>
        <v> </v>
      </c>
      <c r="S21" s="764" t="str">
        <f aca="false">IF('rotation(6B)'!R42=0," ",$B21*'rotation(6B)'!R42)</f>
        <v> </v>
      </c>
      <c r="T21" s="764" t="str">
        <f aca="false">IF('rotation(6B)'!S42=0," ",$B21*'rotation(6B)'!S42)</f>
        <v> </v>
      </c>
      <c r="U21" s="764" t="str">
        <f aca="false">IF('rotation(6B)'!T42=0," ",$B21*'rotation(6B)'!T42)</f>
        <v> </v>
      </c>
      <c r="V21" s="764" t="str">
        <f aca="false">IF('rotation(6B)'!U42=0," ",$B21*'rotation(6B)'!U42)</f>
        <v> </v>
      </c>
      <c r="W21" s="764" t="str">
        <f aca="false">IF('rotation(6B)'!V42=0," ",$B21*'rotation(6B)'!V42)</f>
        <v> </v>
      </c>
      <c r="X21" s="666" t="n">
        <f aca="false">SUM(D21:W21)</f>
        <v>270</v>
      </c>
    </row>
    <row r="22" customFormat="false" ht="12.75" hidden="false" customHeight="false" outlineLevel="0" collapsed="false">
      <c r="A22" s="763" t="str">
        <f aca="false">'GTDB(6B)'!A24</f>
        <v>1ST STAGE SHROUDS</v>
      </c>
      <c r="B22" s="763" t="n">
        <f aca="false">'GTDB(6B)'!E24</f>
        <v>75</v>
      </c>
      <c r="C22" s="763" t="str">
        <f aca="false">IF('rotation(6B)'!AA45=0," ",B22*'rotation(6B)'!AA45)</f>
        <v> </v>
      </c>
      <c r="D22" s="764" t="str">
        <f aca="false">IF('rotation(6B)'!C46=0," ",$B22*'rotation(6B)'!C46)</f>
        <v> </v>
      </c>
      <c r="E22" s="764" t="str">
        <f aca="false">IF('rotation(6B)'!D46=0," ",$B22*'rotation(6B)'!D46)</f>
        <v> </v>
      </c>
      <c r="F22" s="764" t="n">
        <f aca="false">IF('rotation(6B)'!E46=0," ",$B22*'rotation(6B)'!E46)</f>
        <v>75</v>
      </c>
      <c r="G22" s="764" t="str">
        <f aca="false">IF('rotation(6B)'!F46=0," ",$B22*'rotation(6B)'!F46)</f>
        <v> </v>
      </c>
      <c r="H22" s="764" t="str">
        <f aca="false">IF('rotation(6B)'!G46=0," ",$B22*'rotation(6B)'!G46)</f>
        <v> </v>
      </c>
      <c r="I22" s="764" t="str">
        <f aca="false">IF('rotation(6B)'!H46=0," ",$B22*'rotation(6B)'!H46)</f>
        <v> </v>
      </c>
      <c r="J22" s="764" t="str">
        <f aca="false">IF('rotation(6B)'!I46=0," ",$B22*'rotation(6B)'!I46)</f>
        <v> </v>
      </c>
      <c r="K22" s="764" t="str">
        <f aca="false">IF('rotation(6B)'!J46=0," ",$B22*'rotation(6B)'!J46)</f>
        <v> </v>
      </c>
      <c r="L22" s="764" t="str">
        <f aca="false">IF('rotation(6B)'!K46=0," ",$B22*'rotation(6B)'!K46)</f>
        <v> </v>
      </c>
      <c r="M22" s="764" t="str">
        <f aca="false">IF('rotation(6B)'!L46=0," ",$B22*'rotation(6B)'!L46)</f>
        <v> </v>
      </c>
      <c r="N22" s="764" t="str">
        <f aca="false">IF('rotation(6B)'!M46=0," ",$B22*'rotation(6B)'!M46)</f>
        <v> </v>
      </c>
      <c r="O22" s="764" t="str">
        <f aca="false">IF('rotation(6B)'!N46=0," ",$B22*'rotation(6B)'!N46)</f>
        <v> </v>
      </c>
      <c r="P22" s="764" t="str">
        <f aca="false">IF('rotation(6B)'!O46=0," ",$B22*'rotation(6B)'!O46)</f>
        <v> </v>
      </c>
      <c r="Q22" s="764" t="str">
        <f aca="false">IF('rotation(6B)'!P46=0," ",$B22*'rotation(6B)'!P46)</f>
        <v> </v>
      </c>
      <c r="R22" s="764" t="str">
        <f aca="false">IF('rotation(6B)'!Q46=0," ",$B22*'rotation(6B)'!Q46)</f>
        <v> </v>
      </c>
      <c r="S22" s="764" t="str">
        <f aca="false">IF('rotation(6B)'!R46=0," ",$B22*'rotation(6B)'!R46)</f>
        <v> </v>
      </c>
      <c r="T22" s="764" t="str">
        <f aca="false">IF('rotation(6B)'!S46=0," ",$B22*'rotation(6B)'!S46)</f>
        <v> </v>
      </c>
      <c r="U22" s="764" t="str">
        <f aca="false">IF('rotation(6B)'!T46=0," ",$B22*'rotation(6B)'!T46)</f>
        <v> </v>
      </c>
      <c r="V22" s="764" t="str">
        <f aca="false">IF('rotation(6B)'!U46=0," ",$B22*'rotation(6B)'!U46)</f>
        <v> </v>
      </c>
      <c r="W22" s="764" t="str">
        <f aca="false">IF('rotation(6B)'!V46=0," ",$B22*'rotation(6B)'!V46)</f>
        <v> </v>
      </c>
      <c r="X22" s="666" t="n">
        <f aca="false">SUM(D22:W22)</f>
        <v>75</v>
      </c>
    </row>
    <row r="23" customFormat="false" ht="12.75" hidden="false" customHeight="false" outlineLevel="0" collapsed="false">
      <c r="A23" s="763" t="str">
        <f aca="false">'GTDB(6B)'!A25</f>
        <v>2ND STAGE SHROUDS</v>
      </c>
      <c r="B23" s="763" t="n">
        <f aca="false">'GTDB(6B)'!E25</f>
        <v>65</v>
      </c>
      <c r="C23" s="763" t="str">
        <f aca="false">IF('rotation(6B)'!AA49=0," ",B23*'rotation(6B)'!AA49)</f>
        <v> </v>
      </c>
      <c r="D23" s="764" t="str">
        <f aca="false">IF('rotation(6B)'!C50=0," ",$B23*'rotation(6B)'!C50)</f>
        <v> </v>
      </c>
      <c r="E23" s="764" t="str">
        <f aca="false">IF('rotation(6B)'!D50=0," ",$B23*'rotation(6B)'!D50)</f>
        <v> </v>
      </c>
      <c r="F23" s="764" t="n">
        <f aca="false">IF('rotation(6B)'!E50=0," ",$B23*'rotation(6B)'!E50)</f>
        <v>130</v>
      </c>
      <c r="G23" s="764" t="str">
        <f aca="false">IF('rotation(6B)'!F50=0," ",$B23*'rotation(6B)'!F50)</f>
        <v> </v>
      </c>
      <c r="H23" s="764" t="str">
        <f aca="false">IF('rotation(6B)'!G50=0," ",$B23*'rotation(6B)'!G50)</f>
        <v> </v>
      </c>
      <c r="I23" s="764" t="str">
        <f aca="false">IF('rotation(6B)'!H50=0," ",$B23*'rotation(6B)'!H50)</f>
        <v> </v>
      </c>
      <c r="J23" s="764" t="str">
        <f aca="false">IF('rotation(6B)'!I50=0," ",$B23*'rotation(6B)'!I50)</f>
        <v> </v>
      </c>
      <c r="K23" s="764" t="str">
        <f aca="false">IF('rotation(6B)'!J50=0," ",$B23*'rotation(6B)'!J50)</f>
        <v> </v>
      </c>
      <c r="L23" s="764" t="str">
        <f aca="false">IF('rotation(6B)'!K50=0," ",$B23*'rotation(6B)'!K50)</f>
        <v> </v>
      </c>
      <c r="M23" s="764" t="str">
        <f aca="false">IF('rotation(6B)'!L50=0," ",$B23*'rotation(6B)'!L50)</f>
        <v> </v>
      </c>
      <c r="N23" s="764" t="str">
        <f aca="false">IF('rotation(6B)'!M50=0," ",$B23*'rotation(6B)'!M50)</f>
        <v> </v>
      </c>
      <c r="O23" s="764" t="str">
        <f aca="false">IF('rotation(6B)'!N50=0," ",$B23*'rotation(6B)'!N50)</f>
        <v> </v>
      </c>
      <c r="P23" s="764" t="str">
        <f aca="false">IF('rotation(6B)'!O50=0," ",$B23*'rotation(6B)'!O50)</f>
        <v> </v>
      </c>
      <c r="Q23" s="764" t="str">
        <f aca="false">IF('rotation(6B)'!P50=0," ",$B23*'rotation(6B)'!P50)</f>
        <v> </v>
      </c>
      <c r="R23" s="764" t="str">
        <f aca="false">IF('rotation(6B)'!Q50=0," ",$B23*'rotation(6B)'!Q50)</f>
        <v> </v>
      </c>
      <c r="S23" s="764" t="str">
        <f aca="false">IF('rotation(6B)'!R50=0," ",$B23*'rotation(6B)'!R50)</f>
        <v> </v>
      </c>
      <c r="T23" s="764" t="str">
        <f aca="false">IF('rotation(6B)'!S50=0," ",$B23*'rotation(6B)'!S50)</f>
        <v> </v>
      </c>
      <c r="U23" s="764" t="str">
        <f aca="false">IF('rotation(6B)'!T50=0," ",$B23*'rotation(6B)'!T50)</f>
        <v> </v>
      </c>
      <c r="V23" s="764" t="str">
        <f aca="false">IF('rotation(6B)'!U50=0," ",$B23*'rotation(6B)'!U50)</f>
        <v> </v>
      </c>
      <c r="W23" s="764" t="str">
        <f aca="false">IF('rotation(6B)'!V50=0," ",$B23*'rotation(6B)'!V50)</f>
        <v> </v>
      </c>
      <c r="X23" s="666" t="n">
        <f aca="false">SUM(D23:W23)</f>
        <v>130</v>
      </c>
    </row>
    <row r="24" customFormat="false" ht="12.75" hidden="false" customHeight="false" outlineLevel="0" collapsed="false">
      <c r="A24" s="763" t="str">
        <f aca="false">'GTDB(6B)'!A26</f>
        <v>3RD STAGE SHROUDS</v>
      </c>
      <c r="B24" s="763" t="n">
        <f aca="false">'GTDB(6B)'!E26</f>
        <v>40</v>
      </c>
      <c r="C24" s="763" t="str">
        <f aca="false">IF('rotation(6B)'!AA53=0," ",B24*'rotation(6B)'!AA53)</f>
        <v> </v>
      </c>
      <c r="D24" s="764" t="str">
        <f aca="false">IF('rotation(6B)'!C54=0," ",$B24*'rotation(6B)'!C54)</f>
        <v> </v>
      </c>
      <c r="E24" s="764" t="str">
        <f aca="false">IF('rotation(6B)'!D54=0," ",$B24*'rotation(6B)'!D54)</f>
        <v> </v>
      </c>
      <c r="F24" s="764" t="n">
        <f aca="false">IF('rotation(6B)'!E54=0," ",$B24*'rotation(6B)'!E54)</f>
        <v>40</v>
      </c>
      <c r="G24" s="764" t="str">
        <f aca="false">IF('rotation(6B)'!F54=0," ",$B24*'rotation(6B)'!F54)</f>
        <v> </v>
      </c>
      <c r="H24" s="764" t="str">
        <f aca="false">IF('rotation(6B)'!G54=0," ",$B24*'rotation(6B)'!G54)</f>
        <v> </v>
      </c>
      <c r="I24" s="764" t="str">
        <f aca="false">IF('rotation(6B)'!H54=0," ",$B24*'rotation(6B)'!H54)</f>
        <v> </v>
      </c>
      <c r="J24" s="764" t="str">
        <f aca="false">IF('rotation(6B)'!I54=0," ",$B24*'rotation(6B)'!I54)</f>
        <v> </v>
      </c>
      <c r="K24" s="764" t="str">
        <f aca="false">IF('rotation(6B)'!J54=0," ",$B24*'rotation(6B)'!J54)</f>
        <v> </v>
      </c>
      <c r="L24" s="764" t="str">
        <f aca="false">IF('rotation(6B)'!K54=0," ",$B24*'rotation(6B)'!K54)</f>
        <v> </v>
      </c>
      <c r="M24" s="764" t="str">
        <f aca="false">IF('rotation(6B)'!L54=0," ",$B24*'rotation(6B)'!L54)</f>
        <v> </v>
      </c>
      <c r="N24" s="764" t="str">
        <f aca="false">IF('rotation(6B)'!M54=0," ",$B24*'rotation(6B)'!M54)</f>
        <v> </v>
      </c>
      <c r="O24" s="764" t="str">
        <f aca="false">IF('rotation(6B)'!N54=0," ",$B24*'rotation(6B)'!N54)</f>
        <v> </v>
      </c>
      <c r="P24" s="764" t="str">
        <f aca="false">IF('rotation(6B)'!O54=0," ",$B24*'rotation(6B)'!O54)</f>
        <v> </v>
      </c>
      <c r="Q24" s="764" t="str">
        <f aca="false">IF('rotation(6B)'!P54=0," ",$B24*'rotation(6B)'!P54)</f>
        <v> </v>
      </c>
      <c r="R24" s="764" t="str">
        <f aca="false">IF('rotation(6B)'!Q54=0," ",$B24*'rotation(6B)'!Q54)</f>
        <v> </v>
      </c>
      <c r="S24" s="764" t="str">
        <f aca="false">IF('rotation(6B)'!R54=0," ",$B24*'rotation(6B)'!R54)</f>
        <v> </v>
      </c>
      <c r="T24" s="764" t="str">
        <f aca="false">IF('rotation(6B)'!S54=0," ",$B24*'rotation(6B)'!S54)</f>
        <v> </v>
      </c>
      <c r="U24" s="764" t="str">
        <f aca="false">IF('rotation(6B)'!T54=0," ",$B24*'rotation(6B)'!T54)</f>
        <v> </v>
      </c>
      <c r="V24" s="764" t="str">
        <f aca="false">IF('rotation(6B)'!U54=0," ",$B24*'rotation(6B)'!U54)</f>
        <v> </v>
      </c>
      <c r="W24" s="764" t="str">
        <f aca="false">IF('rotation(6B)'!V54=0," ",$B24*'rotation(6B)'!V54)</f>
        <v> </v>
      </c>
      <c r="X24" s="666" t="n">
        <f aca="false">SUM(D24:W24)</f>
        <v>40</v>
      </c>
    </row>
    <row r="25" customFormat="false" ht="12.75" hidden="false" customHeight="false" outlineLevel="0" collapsed="false">
      <c r="A25" s="763" t="str">
        <f aca="false">'GTDB(6B)'!A27</f>
        <v>1ST STAGE NOZZLES</v>
      </c>
      <c r="B25" s="763" t="n">
        <f aca="false">'GTDB(6B)'!E27</f>
        <v>315</v>
      </c>
      <c r="C25" s="763" t="str">
        <f aca="false">IF('rotation(6B)'!AA57=0," ",B25*'rotation(6B)'!AA57)</f>
        <v> </v>
      </c>
      <c r="D25" s="764" t="str">
        <f aca="false">IF('rotation(6B)'!C58=0," ",$B25*'rotation(6B)'!C58)</f>
        <v> </v>
      </c>
      <c r="E25" s="764" t="str">
        <f aca="false">IF('rotation(6B)'!D58=0," ",$B25*'rotation(6B)'!D58)</f>
        <v> </v>
      </c>
      <c r="F25" s="764" t="n">
        <f aca="false">IF('rotation(6B)'!E58=0," ",$B25*'rotation(6B)'!E58)</f>
        <v>315</v>
      </c>
      <c r="G25" s="764" t="str">
        <f aca="false">IF('rotation(6B)'!F58=0," ",$B25*'rotation(6B)'!F58)</f>
        <v> </v>
      </c>
      <c r="H25" s="764" t="str">
        <f aca="false">IF('rotation(6B)'!G58=0," ",$B25*'rotation(6B)'!G58)</f>
        <v> </v>
      </c>
      <c r="I25" s="764" t="str">
        <f aca="false">IF('rotation(6B)'!H58=0," ",$B25*'rotation(6B)'!H58)</f>
        <v> </v>
      </c>
      <c r="J25" s="764" t="str">
        <f aca="false">IF('rotation(6B)'!I58=0," ",$B25*'rotation(6B)'!I58)</f>
        <v> </v>
      </c>
      <c r="K25" s="764" t="str">
        <f aca="false">IF('rotation(6B)'!J58=0," ",$B25*'rotation(6B)'!J58)</f>
        <v> </v>
      </c>
      <c r="L25" s="764" t="str">
        <f aca="false">IF('rotation(6B)'!K58=0," ",$B25*'rotation(6B)'!K58)</f>
        <v> </v>
      </c>
      <c r="M25" s="764" t="str">
        <f aca="false">IF('rotation(6B)'!L58=0," ",$B25*'rotation(6B)'!L58)</f>
        <v> </v>
      </c>
      <c r="N25" s="764" t="str">
        <f aca="false">IF('rotation(6B)'!M58=0," ",$B25*'rotation(6B)'!M58)</f>
        <v> </v>
      </c>
      <c r="O25" s="764" t="str">
        <f aca="false">IF('rotation(6B)'!N58=0," ",$B25*'rotation(6B)'!N58)</f>
        <v> </v>
      </c>
      <c r="P25" s="764" t="str">
        <f aca="false">IF('rotation(6B)'!O58=0," ",$B25*'rotation(6B)'!O58)</f>
        <v> </v>
      </c>
      <c r="Q25" s="764" t="str">
        <f aca="false">IF('rotation(6B)'!P58=0," ",$B25*'rotation(6B)'!P58)</f>
        <v> </v>
      </c>
      <c r="R25" s="764" t="str">
        <f aca="false">IF('rotation(6B)'!Q58=0," ",$B25*'rotation(6B)'!Q58)</f>
        <v> </v>
      </c>
      <c r="S25" s="764" t="str">
        <f aca="false">IF('rotation(6B)'!R58=0," ",$B25*'rotation(6B)'!R58)</f>
        <v> </v>
      </c>
      <c r="T25" s="764" t="str">
        <f aca="false">IF('rotation(6B)'!S58=0," ",$B25*'rotation(6B)'!S58)</f>
        <v> </v>
      </c>
      <c r="U25" s="764" t="str">
        <f aca="false">IF('rotation(6B)'!T58=0," ",$B25*'rotation(6B)'!T58)</f>
        <v> </v>
      </c>
      <c r="V25" s="764" t="str">
        <f aca="false">IF('rotation(6B)'!U58=0," ",$B25*'rotation(6B)'!U58)</f>
        <v> </v>
      </c>
      <c r="W25" s="764" t="str">
        <f aca="false">IF('rotation(6B)'!V58=0," ",$B25*'rotation(6B)'!V58)</f>
        <v> </v>
      </c>
      <c r="X25" s="666" t="n">
        <f aca="false">SUM(D25:W25)</f>
        <v>315</v>
      </c>
    </row>
    <row r="26" customFormat="false" ht="12.75" hidden="false" customHeight="false" outlineLevel="0" collapsed="false">
      <c r="A26" s="763" t="str">
        <f aca="false">'GTDB(6B)'!A28</f>
        <v>2ND STAGE NOZZLES</v>
      </c>
      <c r="B26" s="763" t="n">
        <f aca="false">'GTDB(6B)'!E28</f>
        <v>370</v>
      </c>
      <c r="C26" s="763" t="str">
        <f aca="false">IF('rotation(6B)'!AA61=0," ",B26*'rotation(6B)'!AA61)</f>
        <v> </v>
      </c>
      <c r="D26" s="763" t="str">
        <f aca="false">IF('rotation(6B)'!C61=0," ",$B26*'rotation(6B)'!C61)</f>
        <v> </v>
      </c>
      <c r="E26" s="763" t="str">
        <f aca="false">IF('rotation(6B)'!D61=0," ",$B26*'rotation(6B)'!D61)</f>
        <v> </v>
      </c>
      <c r="F26" s="763" t="str">
        <f aca="false">IF('rotation(6B)'!E61=0," ",$B26*'rotation(6B)'!E61)</f>
        <v> </v>
      </c>
      <c r="G26" s="763" t="str">
        <f aca="false">IF('rotation(6B)'!F61=0," ",$B26*'rotation(6B)'!F61)</f>
        <v> </v>
      </c>
      <c r="H26" s="763" t="str">
        <f aca="false">IF('rotation(6B)'!G61=0," ",$B26*'rotation(6B)'!G61)</f>
        <v> </v>
      </c>
      <c r="I26" s="763" t="str">
        <f aca="false">IF('rotation(6B)'!H61=0," ",$B26*'rotation(6B)'!H61)</f>
        <v> </v>
      </c>
      <c r="J26" s="763" t="str">
        <f aca="false">IF('rotation(6B)'!I61=0," ",$B26*'rotation(6B)'!I61)</f>
        <v> </v>
      </c>
      <c r="K26" s="763" t="str">
        <f aca="false">IF('rotation(6B)'!J61=0," ",$B26*'rotation(6B)'!J61)</f>
        <v> </v>
      </c>
      <c r="L26" s="763" t="str">
        <f aca="false">IF('rotation(6B)'!K61=0," ",$B26*'rotation(6B)'!K61)</f>
        <v> </v>
      </c>
      <c r="M26" s="763" t="str">
        <f aca="false">IF('rotation(6B)'!L61=0," ",$B26*'rotation(6B)'!L61)</f>
        <v> </v>
      </c>
      <c r="N26" s="763" t="str">
        <f aca="false">IF('rotation(6B)'!M61=0," ",$B26*'rotation(6B)'!M61)</f>
        <v> </v>
      </c>
      <c r="O26" s="763" t="str">
        <f aca="false">IF('rotation(6B)'!N61=0," ",$B26*'rotation(6B)'!N61)</f>
        <v> </v>
      </c>
      <c r="P26" s="763" t="str">
        <f aca="false">IF('rotation(6B)'!O61=0," ",$B26*'rotation(6B)'!O61)</f>
        <v> </v>
      </c>
      <c r="Q26" s="763" t="str">
        <f aca="false">IF('rotation(6B)'!P61=0," ",$B26*'rotation(6B)'!P61)</f>
        <v> </v>
      </c>
      <c r="R26" s="763" t="str">
        <f aca="false">IF('rotation(6B)'!Q61=0," ",$B26*'rotation(6B)'!Q61)</f>
        <v> </v>
      </c>
      <c r="S26" s="763" t="str">
        <f aca="false">IF('rotation(6B)'!R61=0," ",$B26*'rotation(6B)'!R61)</f>
        <v> </v>
      </c>
      <c r="T26" s="763" t="str">
        <f aca="false">IF('rotation(6B)'!S61=0," ",$B26*'rotation(6B)'!S61)</f>
        <v> </v>
      </c>
      <c r="U26" s="763" t="str">
        <f aca="false">IF('rotation(6B)'!T61=0," ",$B26*'rotation(6B)'!T61)</f>
        <v> </v>
      </c>
      <c r="V26" s="763" t="str">
        <f aca="false">IF('rotation(6B)'!U61=0," ",$B26*'rotation(6B)'!U61)</f>
        <v> </v>
      </c>
      <c r="W26" s="763" t="str">
        <f aca="false">IF('rotation(6B)'!V61=0," ",$B26*'rotation(6B)'!V61)</f>
        <v> </v>
      </c>
      <c r="X26" s="666" t="n">
        <f aca="false">SUM(D26:W26)</f>
        <v>0</v>
      </c>
    </row>
    <row r="27" customFormat="false" ht="12.75" hidden="false" customHeight="false" outlineLevel="0" collapsed="false">
      <c r="A27" s="763" t="str">
        <f aca="false">'GTDB(6B)'!A29</f>
        <v>3RD STAGE NOZZLES</v>
      </c>
      <c r="B27" s="763" t="n">
        <f aca="false">'GTDB(6B)'!E29</f>
        <v>325</v>
      </c>
      <c r="C27" s="763" t="str">
        <f aca="false">IF('rotation(6B)'!AA65=0," ",B27*'rotation(6B)'!AA65)</f>
        <v> </v>
      </c>
      <c r="D27" s="763" t="str">
        <f aca="false">IF('rotation(6B)'!C65=0," ",$B27*'rotation(6B)'!C65)</f>
        <v> </v>
      </c>
      <c r="E27" s="763" t="str">
        <f aca="false">IF('rotation(6B)'!D65=0," ",$B27*'rotation(6B)'!D65)</f>
        <v> </v>
      </c>
      <c r="F27" s="763" t="str">
        <f aca="false">IF('rotation(6B)'!E65=0," ",$B27*'rotation(6B)'!E65)</f>
        <v> </v>
      </c>
      <c r="G27" s="763" t="str">
        <f aca="false">IF('rotation(6B)'!F65=0," ",$B27*'rotation(6B)'!F65)</f>
        <v> </v>
      </c>
      <c r="H27" s="763" t="str">
        <f aca="false">IF('rotation(6B)'!G65=0," ",$B27*'rotation(6B)'!G65)</f>
        <v> </v>
      </c>
      <c r="I27" s="763" t="str">
        <f aca="false">IF('rotation(6B)'!H65=0," ",$B27*'rotation(6B)'!H65)</f>
        <v> </v>
      </c>
      <c r="J27" s="763" t="str">
        <f aca="false">IF('rotation(6B)'!I65=0," ",$B27*'rotation(6B)'!I65)</f>
        <v> </v>
      </c>
      <c r="K27" s="763" t="str">
        <f aca="false">IF('rotation(6B)'!J65=0," ",$B27*'rotation(6B)'!J65)</f>
        <v> </v>
      </c>
      <c r="L27" s="763" t="str">
        <f aca="false">IF('rotation(6B)'!K65=0," ",$B27*'rotation(6B)'!K65)</f>
        <v> </v>
      </c>
      <c r="M27" s="763" t="str">
        <f aca="false">IF('rotation(6B)'!L65=0," ",$B27*'rotation(6B)'!L65)</f>
        <v> </v>
      </c>
      <c r="N27" s="763" t="str">
        <f aca="false">IF('rotation(6B)'!M65=0," ",$B27*'rotation(6B)'!M65)</f>
        <v> </v>
      </c>
      <c r="O27" s="763" t="str">
        <f aca="false">IF('rotation(6B)'!N65=0," ",$B27*'rotation(6B)'!N65)</f>
        <v> </v>
      </c>
      <c r="P27" s="763" t="str">
        <f aca="false">IF('rotation(6B)'!O65=0," ",$B27*'rotation(6B)'!O65)</f>
        <v> </v>
      </c>
      <c r="Q27" s="763" t="str">
        <f aca="false">IF('rotation(6B)'!P65=0," ",$B27*'rotation(6B)'!P65)</f>
        <v> </v>
      </c>
      <c r="R27" s="763" t="str">
        <f aca="false">IF('rotation(6B)'!Q65=0," ",$B27*'rotation(6B)'!Q65)</f>
        <v> </v>
      </c>
      <c r="S27" s="763" t="str">
        <f aca="false">IF('rotation(6B)'!R65=0," ",$B27*'rotation(6B)'!R65)</f>
        <v> </v>
      </c>
      <c r="T27" s="763" t="str">
        <f aca="false">IF('rotation(6B)'!S65=0," ",$B27*'rotation(6B)'!S65)</f>
        <v> </v>
      </c>
      <c r="U27" s="763" t="str">
        <f aca="false">IF('rotation(6B)'!T65=0," ",$B27*'rotation(6B)'!T65)</f>
        <v> </v>
      </c>
      <c r="V27" s="763" t="str">
        <f aca="false">IF('rotation(6B)'!U65=0," ",$B27*'rotation(6B)'!U65)</f>
        <v> </v>
      </c>
      <c r="W27" s="763" t="str">
        <f aca="false">IF('rotation(6B)'!V65=0," ",$B27*'rotation(6B)'!V65)</f>
        <v> </v>
      </c>
      <c r="X27" s="666" t="n">
        <f aca="false">SUM(D27:W27)</f>
        <v>0</v>
      </c>
    </row>
    <row r="28" customFormat="false" ht="12.75" hidden="false" customHeight="false" outlineLevel="0" collapsed="false">
      <c r="A28" s="759" t="s">
        <v>1362</v>
      </c>
      <c r="B28" s="763" t="n">
        <f aca="false">'GTDB(6B)'!D12</f>
        <v>34</v>
      </c>
      <c r="C28" s="763"/>
      <c r="D28" s="764" t="str">
        <f aca="false">IF('rotation(6B)'!C8=0," ",$B28*'rotation(6B)'!C8)</f>
        <v> </v>
      </c>
      <c r="E28" s="764" t="str">
        <f aca="false">IF('rotation(6B)'!D8=0," ",$B28*'rotation(6B)'!D8)</f>
        <v> </v>
      </c>
      <c r="F28" s="764" t="str">
        <f aca="false">IF('rotation(6B)'!E8=0," ",$B28*'rotation(6B)'!E8)</f>
        <v> </v>
      </c>
      <c r="G28" s="764" t="str">
        <f aca="false">IF('rotation(6B)'!F8=0," ",$B28*'rotation(6B)'!F8)</f>
        <v> </v>
      </c>
      <c r="H28" s="764" t="str">
        <f aca="false">IF('rotation(6B)'!G8=0," ",$B28*'rotation(6B)'!G8)</f>
        <v> </v>
      </c>
      <c r="I28" s="764" t="str">
        <f aca="false">IF('rotation(6B)'!H8=0," ",$B28*'rotation(6B)'!H8)</f>
        <v> </v>
      </c>
      <c r="J28" s="764" t="str">
        <f aca="false">IF('rotation(6B)'!I8=0," ",$B28*'rotation(6B)'!I8)</f>
        <v> </v>
      </c>
      <c r="K28" s="764" t="str">
        <f aca="false">IF('rotation(6B)'!J8=0," ",$B28*'rotation(6B)'!J8)</f>
        <v> </v>
      </c>
      <c r="L28" s="764" t="str">
        <f aca="false">IF('rotation(6B)'!K8=0," ",$B28*'rotation(6B)'!K8)</f>
        <v> </v>
      </c>
      <c r="M28" s="764" t="str">
        <f aca="false">IF('rotation(6B)'!L8=0," ",$B28*'rotation(6B)'!L8)</f>
        <v> </v>
      </c>
      <c r="N28" s="764" t="str">
        <f aca="false">IF('rotation(6B)'!M8=0," ",$B28*'rotation(6B)'!M8)</f>
        <v> </v>
      </c>
      <c r="O28" s="764" t="str">
        <f aca="false">IF('rotation(6B)'!N8=0," ",$B28*'rotation(6B)'!N8)</f>
        <v> </v>
      </c>
      <c r="P28" s="764" t="str">
        <f aca="false">IF('rotation(6B)'!O8=0," ",$B28*'rotation(6B)'!O8)</f>
        <v> </v>
      </c>
      <c r="Q28" s="764" t="str">
        <f aca="false">IF('rotation(6B)'!P8=0," ",$B28*'rotation(6B)'!P8)</f>
        <v> </v>
      </c>
      <c r="R28" s="764" t="str">
        <f aca="false">IF('rotation(6B)'!Q8=0," ",$B28*'rotation(6B)'!Q8)</f>
        <v> </v>
      </c>
      <c r="S28" s="764" t="str">
        <f aca="false">IF('rotation(6B)'!R8=0," ",$B28*'rotation(6B)'!R8)</f>
        <v> </v>
      </c>
      <c r="T28" s="764" t="str">
        <f aca="false">IF('rotation(6B)'!S8=0," ",$B28*'rotation(6B)'!S8)</f>
        <v> </v>
      </c>
      <c r="U28" s="764" t="str">
        <f aca="false">IF('rotation(6B)'!T8=0," ",$B28*'rotation(6B)'!T8)</f>
        <v> </v>
      </c>
      <c r="V28" s="764" t="str">
        <f aca="false">IF('rotation(6B)'!U8=0," ",$B28*'rotation(6B)'!U8)</f>
        <v> </v>
      </c>
      <c r="W28" s="764" t="str">
        <f aca="false">IF('rotation(6B)'!V8=0," ",$B28*'rotation(6B)'!V8)</f>
        <v> </v>
      </c>
      <c r="X28" s="666" t="n">
        <f aca="false">SUM(D28:W28)</f>
        <v>0</v>
      </c>
    </row>
    <row r="29" customFormat="false" ht="12.75" hidden="false" customHeight="false" outlineLevel="0" collapsed="false">
      <c r="A29" s="759" t="s">
        <v>1363</v>
      </c>
      <c r="B29" s="763" t="n">
        <f aca="false">'GTDB(6B)'!D13</f>
        <v>44</v>
      </c>
      <c r="C29" s="763"/>
      <c r="D29" s="764" t="str">
        <f aca="false">IF('rotation(6B)'!C9=0," ",$B29*'rotation(6B)'!C9)</f>
        <v> </v>
      </c>
      <c r="E29" s="764" t="str">
        <f aca="false">IF('rotation(6B)'!D9=0," ",$B29*'rotation(6B)'!D9)</f>
        <v> </v>
      </c>
      <c r="F29" s="764" t="str">
        <f aca="false">IF('rotation(6B)'!E9=0," ",$B29*'rotation(6B)'!E9)</f>
        <v> </v>
      </c>
      <c r="G29" s="764" t="str">
        <f aca="false">IF('rotation(6B)'!F9=0," ",$B29*'rotation(6B)'!F9)</f>
        <v> </v>
      </c>
      <c r="H29" s="764" t="str">
        <f aca="false">IF('rotation(6B)'!G9=0," ",$B29*'rotation(6B)'!G9)</f>
        <v> </v>
      </c>
      <c r="I29" s="764" t="str">
        <f aca="false">IF('rotation(6B)'!H9=0," ",$B29*'rotation(6B)'!H9)</f>
        <v> </v>
      </c>
      <c r="J29" s="764" t="str">
        <f aca="false">IF('rotation(6B)'!I9=0," ",$B29*'rotation(6B)'!I9)</f>
        <v> </v>
      </c>
      <c r="K29" s="764" t="str">
        <f aca="false">IF('rotation(6B)'!J9=0," ",$B29*'rotation(6B)'!J9)</f>
        <v> </v>
      </c>
      <c r="L29" s="764" t="str">
        <f aca="false">IF('rotation(6B)'!K9=0," ",$B29*'rotation(6B)'!K9)</f>
        <v> </v>
      </c>
      <c r="M29" s="764" t="str">
        <f aca="false">IF('rotation(6B)'!L9=0," ",$B29*'rotation(6B)'!L9)</f>
        <v> </v>
      </c>
      <c r="N29" s="764" t="str">
        <f aca="false">IF('rotation(6B)'!M9=0," ",$B29*'rotation(6B)'!M9)</f>
        <v> </v>
      </c>
      <c r="O29" s="764" t="str">
        <f aca="false">IF('rotation(6B)'!N9=0," ",$B29*'rotation(6B)'!N9)</f>
        <v> </v>
      </c>
      <c r="P29" s="764" t="str">
        <f aca="false">IF('rotation(6B)'!O9=0," ",$B29*'rotation(6B)'!O9)</f>
        <v> </v>
      </c>
      <c r="Q29" s="764" t="str">
        <f aca="false">IF('rotation(6B)'!P9=0," ",$B29*'rotation(6B)'!P9)</f>
        <v> </v>
      </c>
      <c r="R29" s="764" t="str">
        <f aca="false">IF('rotation(6B)'!Q9=0," ",$B29*'rotation(6B)'!Q9)</f>
        <v> </v>
      </c>
      <c r="S29" s="764" t="str">
        <f aca="false">IF('rotation(6B)'!R9=0," ",$B29*'rotation(6B)'!R9)</f>
        <v> </v>
      </c>
      <c r="T29" s="764" t="str">
        <f aca="false">IF('rotation(6B)'!S9=0," ",$B29*'rotation(6B)'!S9)</f>
        <v> </v>
      </c>
      <c r="U29" s="764" t="str">
        <f aca="false">IF('rotation(6B)'!T9=0," ",$B29*'rotation(6B)'!T9)</f>
        <v> </v>
      </c>
      <c r="V29" s="764" t="str">
        <f aca="false">IF('rotation(6B)'!U9=0," ",$B29*'rotation(6B)'!U9)</f>
        <v> </v>
      </c>
      <c r="W29" s="764" t="str">
        <f aca="false">IF('rotation(6B)'!V9=0," ",$B29*'rotation(6B)'!V9)</f>
        <v> </v>
      </c>
      <c r="X29" s="666" t="n">
        <f aca="false">SUM(D29:W29)</f>
        <v>0</v>
      </c>
    </row>
    <row r="30" customFormat="false" ht="12.75" hidden="false" customHeight="false" outlineLevel="0" collapsed="false">
      <c r="A30" s="759" t="s">
        <v>1364</v>
      </c>
      <c r="B30" s="763" t="n">
        <f aca="false">'GTDB(6B)'!D14</f>
        <v>162</v>
      </c>
      <c r="C30" s="763"/>
      <c r="D30" s="764" t="str">
        <f aca="false">IF('rotation(6B)'!C10=0," ",$B30*'rotation(6B)'!C10)</f>
        <v> </v>
      </c>
      <c r="E30" s="764" t="str">
        <f aca="false">IF('rotation(6B)'!D10=0," ",$B30*'rotation(6B)'!D10)</f>
        <v> </v>
      </c>
      <c r="F30" s="764" t="str">
        <f aca="false">IF('rotation(6B)'!E10=0," ",$B30*'rotation(6B)'!E10)</f>
        <v> </v>
      </c>
      <c r="G30" s="764" t="str">
        <f aca="false">IF('rotation(6B)'!F10=0," ",$B30*'rotation(6B)'!F10)</f>
        <v> </v>
      </c>
      <c r="H30" s="764" t="str">
        <f aca="false">IF('rotation(6B)'!G10=0," ",$B30*'rotation(6B)'!G10)</f>
        <v> </v>
      </c>
      <c r="I30" s="764" t="str">
        <f aca="false">IF('rotation(6B)'!H10=0," ",$B30*'rotation(6B)'!H10)</f>
        <v> </v>
      </c>
      <c r="J30" s="764" t="str">
        <f aca="false">IF('rotation(6B)'!I10=0," ",$B30*'rotation(6B)'!I10)</f>
        <v> </v>
      </c>
      <c r="K30" s="764" t="str">
        <f aca="false">IF('rotation(6B)'!J10=0," ",$B30*'rotation(6B)'!J10)</f>
        <v> </v>
      </c>
      <c r="L30" s="764" t="str">
        <f aca="false">IF('rotation(6B)'!K10=0," ",$B30*'rotation(6B)'!K10)</f>
        <v> </v>
      </c>
      <c r="M30" s="764" t="str">
        <f aca="false">IF('rotation(6B)'!L10=0," ",$B30*'rotation(6B)'!L10)</f>
        <v> </v>
      </c>
      <c r="N30" s="764" t="str">
        <f aca="false">IF('rotation(6B)'!M10=0," ",$B30*'rotation(6B)'!M10)</f>
        <v> </v>
      </c>
      <c r="O30" s="764" t="str">
        <f aca="false">IF('rotation(6B)'!N10=0," ",$B30*'rotation(6B)'!N10)</f>
        <v> </v>
      </c>
      <c r="P30" s="764" t="str">
        <f aca="false">IF('rotation(6B)'!O10=0," ",$B30*'rotation(6B)'!O10)</f>
        <v> </v>
      </c>
      <c r="Q30" s="764" t="str">
        <f aca="false">IF('rotation(6B)'!P10=0," ",$B30*'rotation(6B)'!P10)</f>
        <v> </v>
      </c>
      <c r="R30" s="764" t="str">
        <f aca="false">IF('rotation(6B)'!Q10=0," ",$B30*'rotation(6B)'!Q10)</f>
        <v> </v>
      </c>
      <c r="S30" s="764" t="str">
        <f aca="false">IF('rotation(6B)'!R10=0," ",$B30*'rotation(6B)'!R10)</f>
        <v> </v>
      </c>
      <c r="T30" s="764" t="str">
        <f aca="false">IF('rotation(6B)'!S10=0," ",$B30*'rotation(6B)'!S10)</f>
        <v> </v>
      </c>
      <c r="U30" s="764" t="str">
        <f aca="false">IF('rotation(6B)'!T10=0," ",$B30*'rotation(6B)'!T10)</f>
        <v> </v>
      </c>
      <c r="V30" s="764" t="str">
        <f aca="false">IF('rotation(6B)'!U10=0," ",$B30*'rotation(6B)'!U10)</f>
        <v> </v>
      </c>
      <c r="W30" s="764" t="str">
        <f aca="false">IF('rotation(6B)'!V10=0," ",$B30*'rotation(6B)'!V10)</f>
        <v> </v>
      </c>
      <c r="X30" s="666" t="n">
        <f aca="false">SUM(D30:W30)</f>
        <v>0</v>
      </c>
    </row>
    <row r="31" customFormat="false" ht="15.75" hidden="false" customHeight="true" outlineLevel="0" collapsed="false">
      <c r="A31" s="756" t="s">
        <v>1365</v>
      </c>
      <c r="B31" s="666"/>
      <c r="C31" s="666" t="n">
        <f aca="false">SUM(C15:C30)</f>
        <v>0</v>
      </c>
      <c r="D31" s="666" t="n">
        <f aca="false">SUM(D15:D30)</f>
        <v>0</v>
      </c>
      <c r="E31" s="666" t="n">
        <f aca="false">SUM(E15:E30)</f>
        <v>261</v>
      </c>
      <c r="F31" s="666" t="n">
        <f aca="false">SUM(F15:F30)</f>
        <v>1855</v>
      </c>
      <c r="G31" s="666" t="n">
        <f aca="false">SUM(G15:G30)</f>
        <v>0</v>
      </c>
      <c r="H31" s="666" t="n">
        <f aca="false">SUM(H15:H30)</f>
        <v>0</v>
      </c>
      <c r="I31" s="666" t="n">
        <f aca="false">SUM(I15:I30)</f>
        <v>0</v>
      </c>
      <c r="J31" s="666" t="n">
        <f aca="false">SUM(J15:J30)</f>
        <v>0</v>
      </c>
      <c r="K31" s="666" t="n">
        <f aca="false">SUM(K15:K30)</f>
        <v>0</v>
      </c>
      <c r="L31" s="666" t="n">
        <f aca="false">SUM(L15:L30)</f>
        <v>0</v>
      </c>
      <c r="M31" s="666" t="n">
        <f aca="false">SUM(M15:M30)</f>
        <v>0</v>
      </c>
      <c r="N31" s="666" t="n">
        <f aca="false">SUM(N15:N30)</f>
        <v>0</v>
      </c>
      <c r="O31" s="666" t="n">
        <f aca="false">SUM(O15:O30)</f>
        <v>0</v>
      </c>
      <c r="P31" s="666" t="n">
        <f aca="false">SUM(P15:P30)</f>
        <v>0</v>
      </c>
      <c r="Q31" s="666" t="n">
        <f aca="false">SUM(Q15:Q30)</f>
        <v>0</v>
      </c>
      <c r="R31" s="666" t="n">
        <f aca="false">SUM(R15:R30)</f>
        <v>0</v>
      </c>
      <c r="S31" s="666" t="n">
        <f aca="false">SUM(S15:S30)</f>
        <v>0</v>
      </c>
      <c r="T31" s="666" t="n">
        <f aca="false">SUM(T15:T30)</f>
        <v>0</v>
      </c>
      <c r="U31" s="666" t="n">
        <f aca="false">SUM(U15:U30)</f>
        <v>0</v>
      </c>
      <c r="V31" s="666" t="n">
        <f aca="false">SUM(V15:V30)</f>
        <v>0</v>
      </c>
      <c r="W31" s="666" t="n">
        <f aca="false">SUM(W15:W30)</f>
        <v>0</v>
      </c>
      <c r="X31" s="666" t="n">
        <f aca="false">SUM(D31:W31)</f>
        <v>2116</v>
      </c>
    </row>
    <row r="32" customFormat="false" ht="16.5" hidden="false" customHeight="true" outlineLevel="0" collapsed="false">
      <c r="A32" s="756" t="s">
        <v>1366</v>
      </c>
      <c r="B32" s="765" t="n">
        <v>0.1</v>
      </c>
      <c r="C32" s="666" t="n">
        <f aca="false">C31*(1-$B32)</f>
        <v>0</v>
      </c>
      <c r="D32" s="666" t="n">
        <f aca="false">D31*(1-$B32)</f>
        <v>0</v>
      </c>
      <c r="E32" s="666" t="n">
        <f aca="false">E31*(1-$B32)</f>
        <v>234.9</v>
      </c>
      <c r="F32" s="666" t="n">
        <f aca="false">F31*(1-$B32)</f>
        <v>1669.5</v>
      </c>
      <c r="G32" s="666" t="n">
        <f aca="false">G31*(1-$B32)</f>
        <v>0</v>
      </c>
      <c r="H32" s="666" t="n">
        <f aca="false">H31*(1-$B32)</f>
        <v>0</v>
      </c>
      <c r="I32" s="666" t="n">
        <f aca="false">I31*(1-$B32)</f>
        <v>0</v>
      </c>
      <c r="J32" s="666" t="n">
        <f aca="false">J31*(1-$B32)</f>
        <v>0</v>
      </c>
      <c r="K32" s="666" t="n">
        <f aca="false">K31*(1-$B32)</f>
        <v>0</v>
      </c>
      <c r="L32" s="666" t="n">
        <f aca="false">L31*(1-$B32)</f>
        <v>0</v>
      </c>
      <c r="M32" s="666" t="n">
        <f aca="false">M31*(1-$B32)</f>
        <v>0</v>
      </c>
      <c r="N32" s="666" t="n">
        <f aca="false">N31*(1-$B32)</f>
        <v>0</v>
      </c>
      <c r="O32" s="666" t="n">
        <f aca="false">O31*(1-$B32)</f>
        <v>0</v>
      </c>
      <c r="P32" s="666" t="n">
        <f aca="false">P31*(1-$B32)</f>
        <v>0</v>
      </c>
      <c r="Q32" s="666" t="n">
        <f aca="false">Q31*(1-$B32)</f>
        <v>0</v>
      </c>
      <c r="R32" s="666" t="n">
        <f aca="false">R31*(1-$B32)</f>
        <v>0</v>
      </c>
      <c r="S32" s="666" t="n">
        <f aca="false">S31*(1-$B32)</f>
        <v>0</v>
      </c>
      <c r="T32" s="666" t="n">
        <f aca="false">T31*(1-$B32)</f>
        <v>0</v>
      </c>
      <c r="U32" s="666" t="n">
        <f aca="false">U31*(1-$B32)</f>
        <v>0</v>
      </c>
      <c r="V32" s="666" t="n">
        <f aca="false">V31*(1-$B32)</f>
        <v>0</v>
      </c>
      <c r="W32" s="666" t="n">
        <f aca="false">W31*(1-$B32)</f>
        <v>0</v>
      </c>
      <c r="X32" s="666" t="n">
        <f aca="false">SUM(D32:W32)</f>
        <v>1904.4</v>
      </c>
    </row>
    <row r="33" customFormat="false" ht="12.75" hidden="false" customHeight="true" outlineLevel="0" collapsed="false">
      <c r="A33" s="756" t="s">
        <v>1367</v>
      </c>
      <c r="B33" s="765" t="n">
        <v>0.03</v>
      </c>
      <c r="C33" s="666" t="n">
        <f aca="false">C32*(1+$B33)</f>
        <v>0</v>
      </c>
      <c r="D33" s="666" t="n">
        <f aca="false">D32*(1+$B33)</f>
        <v>0</v>
      </c>
      <c r="E33" s="666" t="n">
        <f aca="false">E32*(1+$B33)</f>
        <v>241.947</v>
      </c>
      <c r="F33" s="666" t="n">
        <f aca="false">F32*(1+$B33)</f>
        <v>1719.585</v>
      </c>
      <c r="G33" s="666" t="n">
        <f aca="false">G32*(1+$B33)</f>
        <v>0</v>
      </c>
      <c r="H33" s="666" t="n">
        <f aca="false">H32*(1+$B33)</f>
        <v>0</v>
      </c>
      <c r="I33" s="666" t="n">
        <f aca="false">I32*(1+$B33)</f>
        <v>0</v>
      </c>
      <c r="J33" s="666" t="n">
        <f aca="false">J32*(1+$B33)</f>
        <v>0</v>
      </c>
      <c r="K33" s="666" t="n">
        <f aca="false">K32*(1+$B33)</f>
        <v>0</v>
      </c>
      <c r="L33" s="666" t="n">
        <f aca="false">L32*(1+$B33)</f>
        <v>0</v>
      </c>
      <c r="M33" s="666" t="n">
        <f aca="false">M32*(1+$B33)</f>
        <v>0</v>
      </c>
      <c r="N33" s="666" t="n">
        <f aca="false">N32*(1+$B33)</f>
        <v>0</v>
      </c>
      <c r="O33" s="666" t="n">
        <f aca="false">O32*(1+$B33)</f>
        <v>0</v>
      </c>
      <c r="P33" s="666" t="n">
        <f aca="false">P32*(1+$B33)</f>
        <v>0</v>
      </c>
      <c r="Q33" s="666" t="n">
        <f aca="false">Q32*(1+$B33)</f>
        <v>0</v>
      </c>
      <c r="R33" s="666" t="n">
        <f aca="false">R32*(1+$B33)</f>
        <v>0</v>
      </c>
      <c r="S33" s="666" t="n">
        <f aca="false">S32*(1+$B33)</f>
        <v>0</v>
      </c>
      <c r="T33" s="666" t="n">
        <f aca="false">T32*(1+$B33)</f>
        <v>0</v>
      </c>
      <c r="U33" s="666" t="n">
        <f aca="false">U32*(1+$B33)</f>
        <v>0</v>
      </c>
      <c r="V33" s="666" t="n">
        <f aca="false">V32*(1+$B33)</f>
        <v>0</v>
      </c>
      <c r="W33" s="666" t="n">
        <f aca="false">W32*(1+$B33)</f>
        <v>0</v>
      </c>
      <c r="X33" s="766" t="n">
        <f aca="false">SUM(D33:W33)</f>
        <v>1961.532</v>
      </c>
    </row>
    <row r="34" customFormat="false" ht="12.75" hidden="false" customHeight="false" outlineLevel="0" collapsed="false">
      <c r="B34" s="666"/>
      <c r="C34" s="666"/>
      <c r="D34" s="666"/>
      <c r="E34" s="666"/>
      <c r="F34" s="666"/>
      <c r="G34" s="666"/>
      <c r="H34" s="666"/>
      <c r="I34" s="666"/>
      <c r="J34" s="666"/>
      <c r="K34" s="666"/>
      <c r="L34" s="666"/>
      <c r="M34" s="666"/>
      <c r="N34" s="666"/>
      <c r="O34" s="666"/>
      <c r="P34" s="666"/>
      <c r="Q34" s="666"/>
      <c r="R34" s="666"/>
      <c r="S34" s="666"/>
      <c r="T34" s="666"/>
      <c r="U34" s="666"/>
      <c r="V34" s="666"/>
      <c r="W34" s="666"/>
      <c r="X34" s="666"/>
    </row>
    <row r="35" customFormat="false" ht="12.75" hidden="false" customHeight="false" outlineLevel="0" collapsed="false"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</row>
    <row r="36" customFormat="false" ht="12.75" hidden="false" customHeight="false" outlineLevel="0" collapsed="false">
      <c r="A36" s="767" t="s">
        <v>1368</v>
      </c>
      <c r="B36" s="666"/>
      <c r="C36" s="666"/>
      <c r="D36" s="666" t="n">
        <v>1</v>
      </c>
      <c r="E36" s="666" t="n">
        <v>2</v>
      </c>
      <c r="F36" s="666" t="n">
        <v>3</v>
      </c>
      <c r="G36" s="666" t="n">
        <v>4</v>
      </c>
      <c r="H36" s="666" t="n">
        <v>5</v>
      </c>
      <c r="I36" s="666" t="n">
        <v>6</v>
      </c>
      <c r="J36" s="666" t="n">
        <v>7</v>
      </c>
      <c r="K36" s="666" t="n">
        <v>8</v>
      </c>
      <c r="L36" s="666" t="n">
        <v>9</v>
      </c>
      <c r="M36" s="666" t="n">
        <v>10</v>
      </c>
      <c r="N36" s="666" t="n">
        <v>11</v>
      </c>
      <c r="O36" s="666" t="n">
        <v>12</v>
      </c>
      <c r="P36" s="666" t="n">
        <v>13</v>
      </c>
      <c r="Q36" s="666" t="n">
        <v>14</v>
      </c>
      <c r="R36" s="666" t="n">
        <v>15</v>
      </c>
      <c r="S36" s="666" t="n">
        <v>16</v>
      </c>
      <c r="T36" s="666" t="n">
        <v>17</v>
      </c>
      <c r="U36" s="666" t="n">
        <v>18</v>
      </c>
      <c r="V36" s="666" t="n">
        <v>19</v>
      </c>
      <c r="W36" s="666" t="n">
        <v>20</v>
      </c>
      <c r="X36" s="666"/>
    </row>
    <row r="37" customFormat="false" ht="12.75" hidden="false" customHeight="false" outlineLevel="0" collapsed="false">
      <c r="A37" s="768" t="s">
        <v>1359</v>
      </c>
      <c r="B37" s="769" t="s">
        <v>1369</v>
      </c>
      <c r="C37" s="764"/>
      <c r="D37" s="764"/>
      <c r="E37" s="764"/>
      <c r="F37" s="764"/>
      <c r="G37" s="764"/>
      <c r="H37" s="764"/>
      <c r="I37" s="764"/>
      <c r="J37" s="764"/>
      <c r="K37" s="764"/>
      <c r="L37" s="764"/>
      <c r="M37" s="764"/>
      <c r="N37" s="764"/>
      <c r="O37" s="764"/>
      <c r="P37" s="764"/>
      <c r="Q37" s="764"/>
      <c r="R37" s="764"/>
      <c r="S37" s="764"/>
      <c r="T37" s="764"/>
      <c r="U37" s="764"/>
      <c r="V37" s="764"/>
      <c r="W37" s="764"/>
      <c r="X37" s="666"/>
    </row>
    <row r="38" customFormat="false" ht="12.75" hidden="false" customHeight="false" outlineLevel="0" collapsed="false">
      <c r="A38" s="770" t="str">
        <f aca="false">'GTDB(6B)'!A17</f>
        <v>FUEL NOZZLES</v>
      </c>
      <c r="B38" s="763" t="n">
        <f aca="false">'GTDB(6B)'!D17</f>
        <v>8</v>
      </c>
      <c r="C38" s="764" t="n">
        <v>0</v>
      </c>
      <c r="D38" s="764" t="str">
        <f aca="false">IF('rotation(6B)'!C17=0," ",$B38*'rotation(6B)'!C17)</f>
        <v> </v>
      </c>
      <c r="E38" s="764" t="str">
        <f aca="false">IF('rotation(6B)'!D17=0," ",$B38*'rotation(6B)'!D17)</f>
        <v> </v>
      </c>
      <c r="F38" s="764" t="str">
        <f aca="false">IF('rotation(6B)'!E17=0," ",$B38*'rotation(6B)'!E17)</f>
        <v> </v>
      </c>
      <c r="G38" s="764" t="str">
        <f aca="false">IF('rotation(6B)'!F17=0," ",$B38*'rotation(6B)'!F17)</f>
        <v> </v>
      </c>
      <c r="H38" s="764" t="str">
        <f aca="false">IF('rotation(6B)'!G17=0," ",$B38*'rotation(6B)'!G17)</f>
        <v> </v>
      </c>
      <c r="I38" s="764" t="str">
        <f aca="false">IF('rotation(6B)'!H17=0," ",$B38*'rotation(6B)'!H17)</f>
        <v> </v>
      </c>
      <c r="J38" s="764" t="str">
        <f aca="false">IF('rotation(6B)'!I17=0," ",$B38*'rotation(6B)'!I17)</f>
        <v> </v>
      </c>
      <c r="K38" s="764" t="str">
        <f aca="false">IF('rotation(6B)'!J17=0," ",$B38*'rotation(6B)'!J17)</f>
        <v> </v>
      </c>
      <c r="L38" s="764" t="str">
        <f aca="false">IF('rotation(6B)'!K17=0," ",$B38*'rotation(6B)'!K17)</f>
        <v> </v>
      </c>
      <c r="M38" s="764" t="str">
        <f aca="false">IF('rotation(6B)'!L17=0," ",$B38*'rotation(6B)'!L17)</f>
        <v> </v>
      </c>
      <c r="N38" s="764" t="str">
        <f aca="false">IF('rotation(6B)'!M17=0," ",$B38*'rotation(6B)'!M17)</f>
        <v> </v>
      </c>
      <c r="O38" s="764" t="str">
        <f aca="false">IF('rotation(6B)'!N17=0," ",$B38*'rotation(6B)'!N17)</f>
        <v> </v>
      </c>
      <c r="P38" s="764" t="str">
        <f aca="false">IF('rotation(6B)'!O17=0," ",$B38*'rotation(6B)'!O17)</f>
        <v> </v>
      </c>
      <c r="Q38" s="764" t="str">
        <f aca="false">IF('rotation(6B)'!P17=0," ",$B38*'rotation(6B)'!P17)</f>
        <v> </v>
      </c>
      <c r="R38" s="764" t="str">
        <f aca="false">IF('rotation(6B)'!Q17=0," ",$B38*'rotation(6B)'!Q17)</f>
        <v> </v>
      </c>
      <c r="S38" s="764" t="str">
        <f aca="false">IF('rotation(6B)'!R17=0," ",$B38*'rotation(6B)'!R17)</f>
        <v> </v>
      </c>
      <c r="T38" s="764" t="str">
        <f aca="false">IF('rotation(6B)'!S17=0," ",$B38*'rotation(6B)'!S17)</f>
        <v> </v>
      </c>
      <c r="U38" s="764" t="str">
        <f aca="false">IF('rotation(6B)'!T17=0," ",$B38*'rotation(6B)'!T17)</f>
        <v> </v>
      </c>
      <c r="V38" s="764" t="str">
        <f aca="false">IF('rotation(6B)'!U17=0," ",$B38*'rotation(6B)'!U17)</f>
        <v> </v>
      </c>
      <c r="W38" s="764" t="str">
        <f aca="false">IF('rotation(6B)'!V17=0," ",$B38*'rotation(6B)'!V17)</f>
        <v> </v>
      </c>
      <c r="X38" s="666" t="n">
        <f aca="false">SUM(D38:W38)</f>
        <v>0</v>
      </c>
    </row>
    <row r="39" customFormat="false" ht="12.75" hidden="false" customHeight="false" outlineLevel="0" collapsed="false">
      <c r="A39" s="770" t="str">
        <f aca="false">'GTDB(6B)'!A18</f>
        <v>CROSSFIRE TUBES</v>
      </c>
      <c r="B39" s="763" t="n">
        <f aca="false">'GTDB(6B)'!D18</f>
        <v>2</v>
      </c>
      <c r="C39" s="764"/>
      <c r="D39" s="764" t="str">
        <f aca="false">IF('rotation(6B)'!C21=0," ",$B39*'rotation(6B)'!C21)</f>
        <v> </v>
      </c>
      <c r="E39" s="764" t="str">
        <f aca="false">IF('rotation(6B)'!D21=0," ",$B39*'rotation(6B)'!D21)</f>
        <v> </v>
      </c>
      <c r="F39" s="764" t="str">
        <f aca="false">IF('rotation(6B)'!E21=0," ",$B39*'rotation(6B)'!E21)</f>
        <v> </v>
      </c>
      <c r="G39" s="764" t="str">
        <f aca="false">IF('rotation(6B)'!F21=0," ",$B39*'rotation(6B)'!F21)</f>
        <v> </v>
      </c>
      <c r="H39" s="764" t="str">
        <f aca="false">IF('rotation(6B)'!G21=0," ",$B39*'rotation(6B)'!G21)</f>
        <v> </v>
      </c>
      <c r="I39" s="764" t="str">
        <f aca="false">IF('rotation(6B)'!H21=0," ",$B39*'rotation(6B)'!H21)</f>
        <v> </v>
      </c>
      <c r="J39" s="764" t="str">
        <f aca="false">IF('rotation(6B)'!I21=0," ",$B39*'rotation(6B)'!I21)</f>
        <v> </v>
      </c>
      <c r="K39" s="764" t="str">
        <f aca="false">IF('rotation(6B)'!J21=0," ",$B39*'rotation(6B)'!J21)</f>
        <v> </v>
      </c>
      <c r="L39" s="764" t="str">
        <f aca="false">IF('rotation(6B)'!K21=0," ",$B39*'rotation(6B)'!K21)</f>
        <v> </v>
      </c>
      <c r="M39" s="764" t="str">
        <f aca="false">IF('rotation(6B)'!L21=0," ",$B39*'rotation(6B)'!L21)</f>
        <v> </v>
      </c>
      <c r="N39" s="764" t="str">
        <f aca="false">IF('rotation(6B)'!M21=0," ",$B39*'rotation(6B)'!M21)</f>
        <v> </v>
      </c>
      <c r="O39" s="764" t="str">
        <f aca="false">IF('rotation(6B)'!N21=0," ",$B39*'rotation(6B)'!N21)</f>
        <v> </v>
      </c>
      <c r="P39" s="764" t="str">
        <f aca="false">IF('rotation(6B)'!O21=0," ",$B39*'rotation(6B)'!O21)</f>
        <v> </v>
      </c>
      <c r="Q39" s="764" t="str">
        <f aca="false">IF('rotation(6B)'!P21=0," ",$B39*'rotation(6B)'!P21)</f>
        <v> </v>
      </c>
      <c r="R39" s="764" t="str">
        <f aca="false">IF('rotation(6B)'!Q21=0," ",$B39*'rotation(6B)'!Q21)</f>
        <v> </v>
      </c>
      <c r="S39" s="764" t="str">
        <f aca="false">IF('rotation(6B)'!R21=0," ",$B39*'rotation(6B)'!R21)</f>
        <v> </v>
      </c>
      <c r="T39" s="764" t="str">
        <f aca="false">IF('rotation(6B)'!S21=0," ",$B39*'rotation(6B)'!S21)</f>
        <v> </v>
      </c>
      <c r="U39" s="764" t="str">
        <f aca="false">IF('rotation(6B)'!T21=0," ",$B39*'rotation(6B)'!T21)</f>
        <v> </v>
      </c>
      <c r="V39" s="764" t="str">
        <f aca="false">IF('rotation(6B)'!U21=0," ",$B39*'rotation(6B)'!U21)</f>
        <v> </v>
      </c>
      <c r="W39" s="764" t="str">
        <f aca="false">IF('rotation(6B)'!V21=0," ",$B39*'rotation(6B)'!V21)</f>
        <v> </v>
      </c>
      <c r="X39" s="666" t="n">
        <f aca="false">SUM(D39:W39)</f>
        <v>0</v>
      </c>
    </row>
    <row r="40" customFormat="false" ht="12.75" hidden="false" customHeight="false" outlineLevel="0" collapsed="false">
      <c r="A40" s="770" t="str">
        <f aca="false">'GTDB(6B)'!A19</f>
        <v>COMBUSTION LINERS</v>
      </c>
      <c r="B40" s="763" t="n">
        <f aca="false">'GTDB(6B)'!D19</f>
        <v>14.575</v>
      </c>
      <c r="C40" s="764"/>
      <c r="D40" s="764" t="str">
        <f aca="false">IF('rotation(6B)'!C25=0," ",$B40*'rotation(6B)'!C25)</f>
        <v> </v>
      </c>
      <c r="E40" s="764" t="str">
        <f aca="false">IF('rotation(6B)'!D25=0," ",$B40*'rotation(6B)'!D25)</f>
        <v> </v>
      </c>
      <c r="F40" s="764" t="str">
        <f aca="false">IF('rotation(6B)'!E25=0," ",$B40*'rotation(6B)'!E25)</f>
        <v> </v>
      </c>
      <c r="G40" s="764" t="str">
        <f aca="false">IF('rotation(6B)'!F25=0," ",$B40*'rotation(6B)'!F25)</f>
        <v> </v>
      </c>
      <c r="H40" s="764" t="str">
        <f aca="false">IF('rotation(6B)'!G25=0," ",$B40*'rotation(6B)'!G25)</f>
        <v> </v>
      </c>
      <c r="I40" s="764" t="str">
        <f aca="false">IF('rotation(6B)'!H25=0," ",$B40*'rotation(6B)'!H25)</f>
        <v> </v>
      </c>
      <c r="J40" s="764" t="str">
        <f aca="false">IF('rotation(6B)'!I25=0," ",$B40*'rotation(6B)'!I25)</f>
        <v> </v>
      </c>
      <c r="K40" s="764" t="str">
        <f aca="false">IF('rotation(6B)'!J25=0," ",$B40*'rotation(6B)'!J25)</f>
        <v> </v>
      </c>
      <c r="L40" s="764" t="str">
        <f aca="false">IF('rotation(6B)'!K25=0," ",$B40*'rotation(6B)'!K25)</f>
        <v> </v>
      </c>
      <c r="M40" s="764" t="str">
        <f aca="false">IF('rotation(6B)'!L25=0," ",$B40*'rotation(6B)'!L25)</f>
        <v> </v>
      </c>
      <c r="N40" s="764" t="str">
        <f aca="false">IF('rotation(6B)'!M25=0," ",$B40*'rotation(6B)'!M25)</f>
        <v> </v>
      </c>
      <c r="O40" s="764" t="str">
        <f aca="false">IF('rotation(6B)'!N25=0," ",$B40*'rotation(6B)'!N25)</f>
        <v> </v>
      </c>
      <c r="P40" s="764" t="str">
        <f aca="false">IF('rotation(6B)'!O25=0," ",$B40*'rotation(6B)'!O25)</f>
        <v> </v>
      </c>
      <c r="Q40" s="764" t="str">
        <f aca="false">IF('rotation(6B)'!P25=0," ",$B40*'rotation(6B)'!P25)</f>
        <v> </v>
      </c>
      <c r="R40" s="764" t="str">
        <f aca="false">IF('rotation(6B)'!Q25=0," ",$B40*'rotation(6B)'!Q25)</f>
        <v> </v>
      </c>
      <c r="S40" s="764" t="str">
        <f aca="false">IF('rotation(6B)'!R25=0," ",$B40*'rotation(6B)'!R25)</f>
        <v> </v>
      </c>
      <c r="T40" s="764" t="str">
        <f aca="false">IF('rotation(6B)'!S25=0," ",$B40*'rotation(6B)'!S25)</f>
        <v> </v>
      </c>
      <c r="U40" s="764" t="str">
        <f aca="false">IF('rotation(6B)'!T25=0," ",$B40*'rotation(6B)'!T25)</f>
        <v> </v>
      </c>
      <c r="V40" s="764" t="str">
        <f aca="false">IF('rotation(6B)'!U25=0," ",$B40*'rotation(6B)'!U25)</f>
        <v> </v>
      </c>
      <c r="W40" s="764" t="str">
        <f aca="false">IF('rotation(6B)'!V25=0," ",$B40*'rotation(6B)'!V25)</f>
        <v> </v>
      </c>
      <c r="X40" s="666" t="n">
        <f aca="false">SUM(D40:W40)</f>
        <v>0</v>
      </c>
    </row>
    <row r="41" customFormat="false" ht="12.75" hidden="false" customHeight="false" outlineLevel="0" collapsed="false">
      <c r="A41" s="770" t="str">
        <f aca="false">'GTDB(6B)'!A20</f>
        <v>TRANSITION PIECES</v>
      </c>
      <c r="B41" s="763" t="n">
        <f aca="false">'GTDB(6B)'!D20</f>
        <v>20.4</v>
      </c>
      <c r="C41" s="764"/>
      <c r="D41" s="764" t="str">
        <f aca="false">IF('rotation(6B)'!C29=0," ",$B41*'rotation(6B)'!C29)</f>
        <v> </v>
      </c>
      <c r="E41" s="764" t="str">
        <f aca="false">IF('rotation(6B)'!D29=0," ",$B41*'rotation(6B)'!D29)</f>
        <v> </v>
      </c>
      <c r="F41" s="764" t="str">
        <f aca="false">IF('rotation(6B)'!E29=0," ",$B41*'rotation(6B)'!E29)</f>
        <v> </v>
      </c>
      <c r="G41" s="764" t="str">
        <f aca="false">IF('rotation(6B)'!F29=0," ",$B41*'rotation(6B)'!F29)</f>
        <v> </v>
      </c>
      <c r="H41" s="764" t="str">
        <f aca="false">IF('rotation(6B)'!G29=0," ",$B41*'rotation(6B)'!G29)</f>
        <v> </v>
      </c>
      <c r="I41" s="764" t="str">
        <f aca="false">IF('rotation(6B)'!H29=0," ",$B41*'rotation(6B)'!H29)</f>
        <v> </v>
      </c>
      <c r="J41" s="764" t="str">
        <f aca="false">IF('rotation(6B)'!I29=0," ",$B41*'rotation(6B)'!I29)</f>
        <v> </v>
      </c>
      <c r="K41" s="764" t="str">
        <f aca="false">IF('rotation(6B)'!J29=0," ",$B41*'rotation(6B)'!J29)</f>
        <v> </v>
      </c>
      <c r="L41" s="764" t="str">
        <f aca="false">IF('rotation(6B)'!K29=0," ",$B41*'rotation(6B)'!K29)</f>
        <v> </v>
      </c>
      <c r="M41" s="764" t="str">
        <f aca="false">IF('rotation(6B)'!L29=0," ",$B41*'rotation(6B)'!L29)</f>
        <v> </v>
      </c>
      <c r="N41" s="764" t="str">
        <f aca="false">IF('rotation(6B)'!M29=0," ",$B41*'rotation(6B)'!M29)</f>
        <v> </v>
      </c>
      <c r="O41" s="764" t="str">
        <f aca="false">IF('rotation(6B)'!N29=0," ",$B41*'rotation(6B)'!N29)</f>
        <v> </v>
      </c>
      <c r="P41" s="764" t="str">
        <f aca="false">IF('rotation(6B)'!O29=0," ",$B41*'rotation(6B)'!O29)</f>
        <v> </v>
      </c>
      <c r="Q41" s="764" t="str">
        <f aca="false">IF('rotation(6B)'!P29=0," ",$B41*'rotation(6B)'!P29)</f>
        <v> </v>
      </c>
      <c r="R41" s="764" t="str">
        <f aca="false">IF('rotation(6B)'!Q29=0," ",$B41*'rotation(6B)'!Q29)</f>
        <v> </v>
      </c>
      <c r="S41" s="764" t="str">
        <f aca="false">IF('rotation(6B)'!R29=0," ",$B41*'rotation(6B)'!R29)</f>
        <v> </v>
      </c>
      <c r="T41" s="764" t="str">
        <f aca="false">IF('rotation(6B)'!S29=0," ",$B41*'rotation(6B)'!S29)</f>
        <v> </v>
      </c>
      <c r="U41" s="764" t="str">
        <f aca="false">IF('rotation(6B)'!T29=0," ",$B41*'rotation(6B)'!T29)</f>
        <v> </v>
      </c>
      <c r="V41" s="764" t="str">
        <f aca="false">IF('rotation(6B)'!U29=0," ",$B41*'rotation(6B)'!U29)</f>
        <v> </v>
      </c>
      <c r="W41" s="764" t="str">
        <f aca="false">IF('rotation(6B)'!V29=0," ",$B41*'rotation(6B)'!V29)</f>
        <v> </v>
      </c>
      <c r="X41" s="666" t="n">
        <f aca="false">SUM(D41:W41)</f>
        <v>0</v>
      </c>
    </row>
    <row r="42" customFormat="false" ht="12.75" hidden="false" customHeight="false" outlineLevel="0" collapsed="false">
      <c r="A42" s="770" t="str">
        <f aca="false">'GTDB(6B)'!A21</f>
        <v>1ST STAGE BUCKETS</v>
      </c>
      <c r="B42" s="763" t="n">
        <f aca="false">'GTDB(6B)'!D21</f>
        <v>86.4</v>
      </c>
      <c r="C42" s="764"/>
      <c r="D42" s="764" t="str">
        <f aca="false">IF('rotation(6B)'!C33=0," ",$B42*'rotation(6B)'!C33)</f>
        <v> </v>
      </c>
      <c r="E42" s="764" t="str">
        <f aca="false">IF('rotation(6B)'!D33=0," ",$B42*'rotation(6B)'!D33)</f>
        <v> </v>
      </c>
      <c r="F42" s="764" t="str">
        <f aca="false">IF('rotation(6B)'!E33=0," ",$B42*'rotation(6B)'!E33)</f>
        <v> </v>
      </c>
      <c r="G42" s="764" t="str">
        <f aca="false">IF('rotation(6B)'!F33=0," ",$B42*'rotation(6B)'!F33)</f>
        <v> </v>
      </c>
      <c r="H42" s="764" t="str">
        <f aca="false">IF('rotation(6B)'!G33=0," ",$B42*'rotation(6B)'!G33)</f>
        <v> </v>
      </c>
      <c r="I42" s="764" t="str">
        <f aca="false">IF('rotation(6B)'!H33=0," ",$B42*'rotation(6B)'!H33)</f>
        <v> </v>
      </c>
      <c r="J42" s="764" t="str">
        <f aca="false">IF('rotation(6B)'!I33=0," ",$B42*'rotation(6B)'!I33)</f>
        <v> </v>
      </c>
      <c r="K42" s="764" t="str">
        <f aca="false">IF('rotation(6B)'!J33=0," ",$B42*'rotation(6B)'!J33)</f>
        <v> </v>
      </c>
      <c r="L42" s="764" t="str">
        <f aca="false">IF('rotation(6B)'!K33=0," ",$B42*'rotation(6B)'!K33)</f>
        <v> </v>
      </c>
      <c r="M42" s="764" t="str">
        <f aca="false">IF('rotation(6B)'!L33=0," ",$B42*'rotation(6B)'!L33)</f>
        <v> </v>
      </c>
      <c r="N42" s="764" t="str">
        <f aca="false">IF('rotation(6B)'!M33=0," ",$B42*'rotation(6B)'!M33)</f>
        <v> </v>
      </c>
      <c r="O42" s="764" t="str">
        <f aca="false">IF('rotation(6B)'!N33=0," ",$B42*'rotation(6B)'!N33)</f>
        <v> </v>
      </c>
      <c r="P42" s="764" t="str">
        <f aca="false">IF('rotation(6B)'!O33=0," ",$B42*'rotation(6B)'!O33)</f>
        <v> </v>
      </c>
      <c r="Q42" s="764" t="str">
        <f aca="false">IF('rotation(6B)'!P33=0," ",$B42*'rotation(6B)'!P33)</f>
        <v> </v>
      </c>
      <c r="R42" s="764" t="str">
        <f aca="false">IF('rotation(6B)'!Q33=0," ",$B42*'rotation(6B)'!Q33)</f>
        <v> </v>
      </c>
      <c r="S42" s="764" t="str">
        <f aca="false">IF('rotation(6B)'!R33=0," ",$B42*'rotation(6B)'!R33)</f>
        <v> </v>
      </c>
      <c r="T42" s="764" t="str">
        <f aca="false">IF('rotation(6B)'!S33=0," ",$B42*'rotation(6B)'!S33)</f>
        <v> </v>
      </c>
      <c r="U42" s="764" t="str">
        <f aca="false">IF('rotation(6B)'!T33=0," ",$B42*'rotation(6B)'!T33)</f>
        <v> </v>
      </c>
      <c r="V42" s="764" t="str">
        <f aca="false">IF('rotation(6B)'!U33=0," ",$B42*'rotation(6B)'!U33)</f>
        <v> </v>
      </c>
      <c r="W42" s="764" t="str">
        <f aca="false">IF('rotation(6B)'!V33=0," ",$B42*'rotation(6B)'!V33)</f>
        <v> </v>
      </c>
      <c r="X42" s="666" t="n">
        <f aca="false">SUM(D42:W42)</f>
        <v>0</v>
      </c>
    </row>
    <row r="43" customFormat="false" ht="12.75" hidden="false" customHeight="false" outlineLevel="0" collapsed="false">
      <c r="A43" s="770" t="str">
        <f aca="false">'GTDB(6B)'!A22</f>
        <v>2ND STAGE BUCKETS</v>
      </c>
      <c r="B43" s="763" t="n">
        <f aca="false">'GTDB(6B)'!D22</f>
        <v>39.84</v>
      </c>
      <c r="C43" s="764"/>
      <c r="D43" s="764" t="str">
        <f aca="false">IF('rotation(6B)'!C37=0," ",$B43*'rotation(6B)'!C37)</f>
        <v> </v>
      </c>
      <c r="E43" s="764" t="str">
        <f aca="false">IF('rotation(6B)'!D37=0," ",$B43*'rotation(6B)'!D37)</f>
        <v> </v>
      </c>
      <c r="F43" s="764" t="str">
        <f aca="false">IF('rotation(6B)'!E37=0," ",$B43*'rotation(6B)'!E37)</f>
        <v> </v>
      </c>
      <c r="G43" s="764" t="str">
        <f aca="false">IF('rotation(6B)'!F37=0," ",$B43*'rotation(6B)'!F37)</f>
        <v> </v>
      </c>
      <c r="H43" s="764" t="str">
        <f aca="false">IF('rotation(6B)'!G37=0," ",$B43*'rotation(6B)'!G37)</f>
        <v> </v>
      </c>
      <c r="I43" s="764" t="str">
        <f aca="false">IF('rotation(6B)'!H37=0," ",$B43*'rotation(6B)'!H37)</f>
        <v> </v>
      </c>
      <c r="J43" s="764" t="str">
        <f aca="false">IF('rotation(6B)'!I37=0," ",$B43*'rotation(6B)'!I37)</f>
        <v> </v>
      </c>
      <c r="K43" s="764" t="str">
        <f aca="false">IF('rotation(6B)'!J37=0," ",$B43*'rotation(6B)'!J37)</f>
        <v> </v>
      </c>
      <c r="L43" s="764" t="str">
        <f aca="false">IF('rotation(6B)'!K37=0," ",$B43*'rotation(6B)'!K37)</f>
        <v> </v>
      </c>
      <c r="M43" s="764" t="str">
        <f aca="false">IF('rotation(6B)'!L37=0," ",$B43*'rotation(6B)'!L37)</f>
        <v> </v>
      </c>
      <c r="N43" s="764" t="str">
        <f aca="false">IF('rotation(6B)'!M37=0," ",$B43*'rotation(6B)'!M37)</f>
        <v> </v>
      </c>
      <c r="O43" s="764" t="str">
        <f aca="false">IF('rotation(6B)'!N37=0," ",$B43*'rotation(6B)'!N37)</f>
        <v> </v>
      </c>
      <c r="P43" s="764" t="str">
        <f aca="false">IF('rotation(6B)'!O37=0," ",$B43*'rotation(6B)'!O37)</f>
        <v> </v>
      </c>
      <c r="Q43" s="764" t="str">
        <f aca="false">IF('rotation(6B)'!P37=0," ",$B43*'rotation(6B)'!P37)</f>
        <v> </v>
      </c>
      <c r="R43" s="764" t="str">
        <f aca="false">IF('rotation(6B)'!Q37=0," ",$B43*'rotation(6B)'!Q37)</f>
        <v> </v>
      </c>
      <c r="S43" s="764" t="str">
        <f aca="false">IF('rotation(6B)'!R37=0," ",$B43*'rotation(6B)'!R37)</f>
        <v> </v>
      </c>
      <c r="T43" s="764" t="str">
        <f aca="false">IF('rotation(6B)'!S37=0," ",$B43*'rotation(6B)'!S37)</f>
        <v> </v>
      </c>
      <c r="U43" s="764" t="str">
        <f aca="false">IF('rotation(6B)'!T37=0," ",$B43*'rotation(6B)'!T37)</f>
        <v> </v>
      </c>
      <c r="V43" s="764" t="str">
        <f aca="false">IF('rotation(6B)'!U37=0," ",$B43*'rotation(6B)'!U37)</f>
        <v> </v>
      </c>
      <c r="W43" s="764" t="str">
        <f aca="false">IF('rotation(6B)'!V37=0," ",$B43*'rotation(6B)'!V37)</f>
        <v> </v>
      </c>
      <c r="X43" s="666" t="n">
        <f aca="false">SUM(D43:W43)</f>
        <v>0</v>
      </c>
    </row>
    <row r="44" customFormat="false" ht="12.75" hidden="false" customHeight="false" outlineLevel="0" collapsed="false">
      <c r="A44" s="770" t="str">
        <f aca="false">'GTDB(6B)'!A23</f>
        <v>3RD STAGE BUCKETS</v>
      </c>
      <c r="B44" s="763" t="n">
        <f aca="false">'GTDB(6B)'!D23</f>
        <v>42.13</v>
      </c>
      <c r="C44" s="764"/>
      <c r="D44" s="764" t="str">
        <f aca="false">IF('rotation(6B)'!C41=0," ",$B44*'rotation(6B)'!C41)</f>
        <v> </v>
      </c>
      <c r="E44" s="764" t="str">
        <f aca="false">IF('rotation(6B)'!D41=0," ",$B44*'rotation(6B)'!D41)</f>
        <v> </v>
      </c>
      <c r="F44" s="764" t="str">
        <f aca="false">IF('rotation(6B)'!E41=0," ",$B44*'rotation(6B)'!E41)</f>
        <v> </v>
      </c>
      <c r="G44" s="764" t="str">
        <f aca="false">IF('rotation(6B)'!F41=0," ",$B44*'rotation(6B)'!F41)</f>
        <v> </v>
      </c>
      <c r="H44" s="764" t="str">
        <f aca="false">IF('rotation(6B)'!G41=0," ",$B44*'rotation(6B)'!G41)</f>
        <v> </v>
      </c>
      <c r="I44" s="764" t="str">
        <f aca="false">IF('rotation(6B)'!H41=0," ",$B44*'rotation(6B)'!H41)</f>
        <v> </v>
      </c>
      <c r="J44" s="764" t="str">
        <f aca="false">IF('rotation(6B)'!I41=0," ",$B44*'rotation(6B)'!I41)</f>
        <v> </v>
      </c>
      <c r="K44" s="764" t="str">
        <f aca="false">IF('rotation(6B)'!J41=0," ",$B44*'rotation(6B)'!J41)</f>
        <v> </v>
      </c>
      <c r="L44" s="764" t="str">
        <f aca="false">IF('rotation(6B)'!K41=0," ",$B44*'rotation(6B)'!K41)</f>
        <v> </v>
      </c>
      <c r="M44" s="764" t="str">
        <f aca="false">IF('rotation(6B)'!L41=0," ",$B44*'rotation(6B)'!L41)</f>
        <v> </v>
      </c>
      <c r="N44" s="764" t="str">
        <f aca="false">IF('rotation(6B)'!M41=0," ",$B44*'rotation(6B)'!M41)</f>
        <v> </v>
      </c>
      <c r="O44" s="764" t="str">
        <f aca="false">IF('rotation(6B)'!N41=0," ",$B44*'rotation(6B)'!N41)</f>
        <v> </v>
      </c>
      <c r="P44" s="764" t="str">
        <f aca="false">IF('rotation(6B)'!O41=0," ",$B44*'rotation(6B)'!O41)</f>
        <v> </v>
      </c>
      <c r="Q44" s="764" t="str">
        <f aca="false">IF('rotation(6B)'!P41=0," ",$B44*'rotation(6B)'!P41)</f>
        <v> </v>
      </c>
      <c r="R44" s="764" t="str">
        <f aca="false">IF('rotation(6B)'!Q41=0," ",$B44*'rotation(6B)'!Q41)</f>
        <v> </v>
      </c>
      <c r="S44" s="764" t="str">
        <f aca="false">IF('rotation(6B)'!R41=0," ",$B44*'rotation(6B)'!R41)</f>
        <v> </v>
      </c>
      <c r="T44" s="764" t="str">
        <f aca="false">IF('rotation(6B)'!S41=0," ",$B44*'rotation(6B)'!S41)</f>
        <v> </v>
      </c>
      <c r="U44" s="764" t="str">
        <f aca="false">IF('rotation(6B)'!T41=0," ",$B44*'rotation(6B)'!T41)</f>
        <v> </v>
      </c>
      <c r="V44" s="764" t="str">
        <f aca="false">IF('rotation(6B)'!U41=0," ",$B44*'rotation(6B)'!U41)</f>
        <v> </v>
      </c>
      <c r="W44" s="764" t="str">
        <f aca="false">IF('rotation(6B)'!V41=0," ",$B44*'rotation(6B)'!V41)</f>
        <v> </v>
      </c>
      <c r="X44" s="666" t="n">
        <f aca="false">SUM(D44:W44)</f>
        <v>0</v>
      </c>
    </row>
    <row r="45" customFormat="false" ht="12.75" hidden="false" customHeight="false" outlineLevel="0" collapsed="false">
      <c r="A45" s="770" t="str">
        <f aca="false">'GTDB(6B)'!A24</f>
        <v>1ST STAGE SHROUDS</v>
      </c>
      <c r="B45" s="763" t="n">
        <f aca="false">'GTDB(6B)'!D24</f>
        <v>15.6</v>
      </c>
      <c r="C45" s="764"/>
      <c r="D45" s="764" t="str">
        <f aca="false">IF('rotation(6B)'!C45=0," ",$B45*'rotation(6B)'!C45)</f>
        <v> </v>
      </c>
      <c r="E45" s="764" t="str">
        <f aca="false">IF('rotation(6B)'!D45=0," ",$B45*'rotation(6B)'!D45)</f>
        <v> </v>
      </c>
      <c r="F45" s="764" t="str">
        <f aca="false">IF('rotation(6B)'!E45=0," ",$B45*'rotation(6B)'!E45)</f>
        <v> </v>
      </c>
      <c r="G45" s="764" t="str">
        <f aca="false">IF('rotation(6B)'!F45=0," ",$B45*'rotation(6B)'!F45)</f>
        <v> </v>
      </c>
      <c r="H45" s="764" t="str">
        <f aca="false">IF('rotation(6B)'!G45=0," ",$B45*'rotation(6B)'!G45)</f>
        <v> </v>
      </c>
      <c r="I45" s="764" t="str">
        <f aca="false">IF('rotation(6B)'!H45=0," ",$B45*'rotation(6B)'!H45)</f>
        <v> </v>
      </c>
      <c r="J45" s="764" t="str">
        <f aca="false">IF('rotation(6B)'!I45=0," ",$B45*'rotation(6B)'!I45)</f>
        <v> </v>
      </c>
      <c r="K45" s="764" t="str">
        <f aca="false">IF('rotation(6B)'!J45=0," ",$B45*'rotation(6B)'!J45)</f>
        <v> </v>
      </c>
      <c r="L45" s="764" t="str">
        <f aca="false">IF('rotation(6B)'!K45=0," ",$B45*'rotation(6B)'!K45)</f>
        <v> </v>
      </c>
      <c r="M45" s="764" t="str">
        <f aca="false">IF('rotation(6B)'!L45=0," ",$B45*'rotation(6B)'!L45)</f>
        <v> </v>
      </c>
      <c r="N45" s="764" t="str">
        <f aca="false">IF('rotation(6B)'!M45=0," ",$B45*'rotation(6B)'!M45)</f>
        <v> </v>
      </c>
      <c r="O45" s="764" t="str">
        <f aca="false">IF('rotation(6B)'!N45=0," ",$B45*'rotation(6B)'!N45)</f>
        <v> </v>
      </c>
      <c r="P45" s="764" t="str">
        <f aca="false">IF('rotation(6B)'!O45=0," ",$B45*'rotation(6B)'!O45)</f>
        <v> </v>
      </c>
      <c r="Q45" s="764" t="str">
        <f aca="false">IF('rotation(6B)'!P45=0," ",$B45*'rotation(6B)'!P45)</f>
        <v> </v>
      </c>
      <c r="R45" s="764" t="str">
        <f aca="false">IF('rotation(6B)'!Q45=0," ",$B45*'rotation(6B)'!Q45)</f>
        <v> </v>
      </c>
      <c r="S45" s="764" t="str">
        <f aca="false">IF('rotation(6B)'!R45=0," ",$B45*'rotation(6B)'!R45)</f>
        <v> </v>
      </c>
      <c r="T45" s="764" t="str">
        <f aca="false">IF('rotation(6B)'!S45=0," ",$B45*'rotation(6B)'!S45)</f>
        <v> </v>
      </c>
      <c r="U45" s="764" t="str">
        <f aca="false">IF('rotation(6B)'!T45=0," ",$B45*'rotation(6B)'!T45)</f>
        <v> </v>
      </c>
      <c r="V45" s="764" t="str">
        <f aca="false">IF('rotation(6B)'!U45=0," ",$B45*'rotation(6B)'!U45)</f>
        <v> </v>
      </c>
      <c r="W45" s="764" t="str">
        <f aca="false">IF('rotation(6B)'!V45=0," ",$B45*'rotation(6B)'!V45)</f>
        <v> </v>
      </c>
      <c r="X45" s="666" t="n">
        <f aca="false">SUM(D45:W45)</f>
        <v>0</v>
      </c>
    </row>
    <row r="46" customFormat="false" ht="12.75" hidden="false" customHeight="false" outlineLevel="0" collapsed="false">
      <c r="A46" s="770" t="str">
        <f aca="false">'GTDB(6B)'!A25</f>
        <v>2ND STAGE SHROUDS</v>
      </c>
      <c r="B46" s="763" t="n">
        <f aca="false">'GTDB(6B)'!D25</f>
        <v>11</v>
      </c>
      <c r="C46" s="764"/>
      <c r="D46" s="764" t="str">
        <f aca="false">IF('rotation(6B)'!C49=0," ",$B46*'rotation(6B)'!C49)</f>
        <v> </v>
      </c>
      <c r="E46" s="764" t="str">
        <f aca="false">IF('rotation(6B)'!D49=0," ",$B46*'rotation(6B)'!D49)</f>
        <v> </v>
      </c>
      <c r="F46" s="764" t="str">
        <f aca="false">IF('rotation(6B)'!E49=0," ",$B46*'rotation(6B)'!E49)</f>
        <v> </v>
      </c>
      <c r="G46" s="764" t="str">
        <f aca="false">IF('rotation(6B)'!F49=0," ",$B46*'rotation(6B)'!F49)</f>
        <v> </v>
      </c>
      <c r="H46" s="764" t="str">
        <f aca="false">IF('rotation(6B)'!G49=0," ",$B46*'rotation(6B)'!G49)</f>
        <v> </v>
      </c>
      <c r="I46" s="764" t="str">
        <f aca="false">IF('rotation(6B)'!H49=0," ",$B46*'rotation(6B)'!H49)</f>
        <v> </v>
      </c>
      <c r="J46" s="764" t="str">
        <f aca="false">IF('rotation(6B)'!I49=0," ",$B46*'rotation(6B)'!I49)</f>
        <v> </v>
      </c>
      <c r="K46" s="764" t="str">
        <f aca="false">IF('rotation(6B)'!J49=0," ",$B46*'rotation(6B)'!J49)</f>
        <v> </v>
      </c>
      <c r="L46" s="764" t="str">
        <f aca="false">IF('rotation(6B)'!K49=0," ",$B46*'rotation(6B)'!K49)</f>
        <v> </v>
      </c>
      <c r="M46" s="764" t="str">
        <f aca="false">IF('rotation(6B)'!L49=0," ",$B46*'rotation(6B)'!L49)</f>
        <v> </v>
      </c>
      <c r="N46" s="764" t="str">
        <f aca="false">IF('rotation(6B)'!M49=0," ",$B46*'rotation(6B)'!M49)</f>
        <v> </v>
      </c>
      <c r="O46" s="764" t="str">
        <f aca="false">IF('rotation(6B)'!N49=0," ",$B46*'rotation(6B)'!N49)</f>
        <v> </v>
      </c>
      <c r="P46" s="764" t="str">
        <f aca="false">IF('rotation(6B)'!O49=0," ",$B46*'rotation(6B)'!O49)</f>
        <v> </v>
      </c>
      <c r="Q46" s="764" t="str">
        <f aca="false">IF('rotation(6B)'!P49=0," ",$B46*'rotation(6B)'!P49)</f>
        <v> </v>
      </c>
      <c r="R46" s="764" t="str">
        <f aca="false">IF('rotation(6B)'!Q49=0," ",$B46*'rotation(6B)'!Q49)</f>
        <v> </v>
      </c>
      <c r="S46" s="764" t="str">
        <f aca="false">IF('rotation(6B)'!R49=0," ",$B46*'rotation(6B)'!R49)</f>
        <v> </v>
      </c>
      <c r="T46" s="764" t="str">
        <f aca="false">IF('rotation(6B)'!S49=0," ",$B46*'rotation(6B)'!S49)</f>
        <v> </v>
      </c>
      <c r="U46" s="764" t="str">
        <f aca="false">IF('rotation(6B)'!T49=0," ",$B46*'rotation(6B)'!T49)</f>
        <v> </v>
      </c>
      <c r="V46" s="764" t="str">
        <f aca="false">IF('rotation(6B)'!U49=0," ",$B46*'rotation(6B)'!U49)</f>
        <v> </v>
      </c>
      <c r="W46" s="764" t="str">
        <f aca="false">IF('rotation(6B)'!V49=0," ",$B46*'rotation(6B)'!V49)</f>
        <v> </v>
      </c>
      <c r="X46" s="666" t="n">
        <f aca="false">SUM(D46:W46)</f>
        <v>0</v>
      </c>
    </row>
    <row r="47" customFormat="false" ht="12.75" hidden="false" customHeight="false" outlineLevel="0" collapsed="false">
      <c r="A47" s="770" t="str">
        <f aca="false">'GTDB(6B)'!A26</f>
        <v>3RD STAGE SHROUDS</v>
      </c>
      <c r="B47" s="763" t="n">
        <f aca="false">'GTDB(6B)'!D26</f>
        <v>12.9</v>
      </c>
      <c r="C47" s="764"/>
      <c r="D47" s="764" t="str">
        <f aca="false">IF('rotation(6B)'!C53=0," ",$B47*'rotation(6B)'!C53)</f>
        <v> </v>
      </c>
      <c r="E47" s="764" t="str">
        <f aca="false">IF('rotation(6B)'!D53=0," ",$B47*'rotation(6B)'!D53)</f>
        <v> </v>
      </c>
      <c r="F47" s="764" t="str">
        <f aca="false">IF('rotation(6B)'!E53=0," ",$B47*'rotation(6B)'!E53)</f>
        <v> </v>
      </c>
      <c r="G47" s="764" t="str">
        <f aca="false">IF('rotation(6B)'!F53=0," ",$B47*'rotation(6B)'!F53)</f>
        <v> </v>
      </c>
      <c r="H47" s="764" t="str">
        <f aca="false">IF('rotation(6B)'!G53=0," ",$B47*'rotation(6B)'!G53)</f>
        <v> </v>
      </c>
      <c r="I47" s="764" t="str">
        <f aca="false">IF('rotation(6B)'!H53=0," ",$B47*'rotation(6B)'!H53)</f>
        <v> </v>
      </c>
      <c r="J47" s="764" t="str">
        <f aca="false">IF('rotation(6B)'!I53=0," ",$B47*'rotation(6B)'!I53)</f>
        <v> </v>
      </c>
      <c r="K47" s="764" t="str">
        <f aca="false">IF('rotation(6B)'!J53=0," ",$B47*'rotation(6B)'!J53)</f>
        <v> </v>
      </c>
      <c r="L47" s="764" t="str">
        <f aca="false">IF('rotation(6B)'!K53=0," ",$B47*'rotation(6B)'!K53)</f>
        <v> </v>
      </c>
      <c r="M47" s="764" t="str">
        <f aca="false">IF('rotation(6B)'!L53=0," ",$B47*'rotation(6B)'!L53)</f>
        <v> </v>
      </c>
      <c r="N47" s="764" t="str">
        <f aca="false">IF('rotation(6B)'!M53=0," ",$B47*'rotation(6B)'!M53)</f>
        <v> </v>
      </c>
      <c r="O47" s="764" t="str">
        <f aca="false">IF('rotation(6B)'!N53=0," ",$B47*'rotation(6B)'!N53)</f>
        <v> </v>
      </c>
      <c r="P47" s="764" t="str">
        <f aca="false">IF('rotation(6B)'!O53=0," ",$B47*'rotation(6B)'!O53)</f>
        <v> </v>
      </c>
      <c r="Q47" s="764" t="str">
        <f aca="false">IF('rotation(6B)'!P53=0," ",$B47*'rotation(6B)'!P53)</f>
        <v> </v>
      </c>
      <c r="R47" s="764" t="str">
        <f aca="false">IF('rotation(6B)'!Q53=0," ",$B47*'rotation(6B)'!Q53)</f>
        <v> </v>
      </c>
      <c r="S47" s="764" t="str">
        <f aca="false">IF('rotation(6B)'!R53=0," ",$B47*'rotation(6B)'!R53)</f>
        <v> </v>
      </c>
      <c r="T47" s="764" t="str">
        <f aca="false">IF('rotation(6B)'!S53=0," ",$B47*'rotation(6B)'!S53)</f>
        <v> </v>
      </c>
      <c r="U47" s="764" t="str">
        <f aca="false">IF('rotation(6B)'!T53=0," ",$B47*'rotation(6B)'!T53)</f>
        <v> </v>
      </c>
      <c r="V47" s="764" t="str">
        <f aca="false">IF('rotation(6B)'!U53=0," ",$B47*'rotation(6B)'!U53)</f>
        <v> </v>
      </c>
      <c r="W47" s="764" t="str">
        <f aca="false">IF('rotation(6B)'!V53=0," ",$B47*'rotation(6B)'!V53)</f>
        <v> </v>
      </c>
      <c r="X47" s="666" t="n">
        <f aca="false">SUM(D47:W47)</f>
        <v>0</v>
      </c>
    </row>
    <row r="48" customFormat="false" ht="12.75" hidden="false" customHeight="false" outlineLevel="0" collapsed="false">
      <c r="A48" s="770" t="str">
        <f aca="false">'GTDB(6B)'!A27</f>
        <v>1ST STAGE NOZZLES</v>
      </c>
      <c r="B48" s="763" t="n">
        <f aca="false">'GTDB(6B)'!D27</f>
        <v>65.5</v>
      </c>
      <c r="C48" s="764"/>
      <c r="D48" s="764" t="str">
        <f aca="false">IF('rotation(6B)'!C57=0," ",$B48*'rotation(6B)'!C57)</f>
        <v> </v>
      </c>
      <c r="E48" s="764" t="str">
        <f aca="false">IF('rotation(6B)'!D57=0," ",$B48*'rotation(6B)'!D57)</f>
        <v> </v>
      </c>
      <c r="F48" s="764" t="str">
        <f aca="false">IF('rotation(6B)'!E57=0," ",$B48*'rotation(6B)'!E57)</f>
        <v> </v>
      </c>
      <c r="G48" s="764" t="str">
        <f aca="false">IF('rotation(6B)'!F57=0," ",$B48*'rotation(6B)'!F57)</f>
        <v> </v>
      </c>
      <c r="H48" s="764" t="str">
        <f aca="false">IF('rotation(6B)'!G57=0," ",$B48*'rotation(6B)'!G57)</f>
        <v> </v>
      </c>
      <c r="I48" s="764" t="str">
        <f aca="false">IF('rotation(6B)'!H57=0," ",$B48*'rotation(6B)'!H57)</f>
        <v> </v>
      </c>
      <c r="J48" s="764" t="str">
        <f aca="false">IF('rotation(6B)'!I57=0," ",$B48*'rotation(6B)'!I57)</f>
        <v> </v>
      </c>
      <c r="K48" s="764" t="str">
        <f aca="false">IF('rotation(6B)'!J57=0," ",$B48*'rotation(6B)'!J57)</f>
        <v> </v>
      </c>
      <c r="L48" s="764" t="str">
        <f aca="false">IF('rotation(6B)'!K57=0," ",$B48*'rotation(6B)'!K57)</f>
        <v> </v>
      </c>
      <c r="M48" s="764" t="str">
        <f aca="false">IF('rotation(6B)'!L57=0," ",$B48*'rotation(6B)'!L57)</f>
        <v> </v>
      </c>
      <c r="N48" s="764" t="str">
        <f aca="false">IF('rotation(6B)'!M57=0," ",$B48*'rotation(6B)'!M57)</f>
        <v> </v>
      </c>
      <c r="O48" s="764" t="str">
        <f aca="false">IF('rotation(6B)'!N57=0," ",$B48*'rotation(6B)'!N57)</f>
        <v> </v>
      </c>
      <c r="P48" s="764" t="str">
        <f aca="false">IF('rotation(6B)'!O57=0," ",$B48*'rotation(6B)'!O57)</f>
        <v> </v>
      </c>
      <c r="Q48" s="764" t="str">
        <f aca="false">IF('rotation(6B)'!P57=0," ",$B48*'rotation(6B)'!P57)</f>
        <v> </v>
      </c>
      <c r="R48" s="764" t="str">
        <f aca="false">IF('rotation(6B)'!Q57=0," ",$B48*'rotation(6B)'!Q57)</f>
        <v> </v>
      </c>
      <c r="S48" s="764" t="str">
        <f aca="false">IF('rotation(6B)'!R57=0," ",$B48*'rotation(6B)'!R57)</f>
        <v> </v>
      </c>
      <c r="T48" s="764" t="str">
        <f aca="false">IF('rotation(6B)'!S57=0," ",$B48*'rotation(6B)'!S57)</f>
        <v> </v>
      </c>
      <c r="U48" s="764" t="str">
        <f aca="false">IF('rotation(6B)'!T57=0," ",$B48*'rotation(6B)'!T57)</f>
        <v> </v>
      </c>
      <c r="V48" s="764" t="str">
        <f aca="false">IF('rotation(6B)'!U57=0," ",$B48*'rotation(6B)'!U57)</f>
        <v> </v>
      </c>
      <c r="W48" s="764" t="str">
        <f aca="false">IF('rotation(6B)'!V57=0," ",$B48*'rotation(6B)'!V57)</f>
        <v> </v>
      </c>
      <c r="X48" s="666" t="n">
        <f aca="false">SUM(D48:W48)</f>
        <v>0</v>
      </c>
    </row>
    <row r="49" customFormat="false" ht="12.75" hidden="false" customHeight="false" outlineLevel="0" collapsed="false">
      <c r="A49" s="770" t="str">
        <f aca="false">'GTDB(6B)'!A28</f>
        <v>2ND STAGE NOZZLES</v>
      </c>
      <c r="B49" s="763" t="n">
        <f aca="false">'GTDB(6B)'!D28</f>
        <v>33</v>
      </c>
      <c r="C49" s="764"/>
      <c r="D49" s="764" t="str">
        <f aca="false">IF('rotation(6B)'!C62=0," ",$B49*'rotation(6B)'!C62)</f>
        <v> </v>
      </c>
      <c r="E49" s="764" t="str">
        <f aca="false">IF('rotation(6B)'!D62=0," ",$B49*'rotation(6B)'!D62)</f>
        <v> </v>
      </c>
      <c r="F49" s="764" t="n">
        <f aca="false">IF('rotation(6B)'!E62=0," ",$B49*'rotation(6B)'!E62)</f>
        <v>33</v>
      </c>
      <c r="G49" s="764" t="str">
        <f aca="false">IF('rotation(6B)'!F62=0," ",$B49*'rotation(6B)'!F62)</f>
        <v> </v>
      </c>
      <c r="H49" s="764" t="str">
        <f aca="false">IF('rotation(6B)'!G62=0," ",$B49*'rotation(6B)'!G62)</f>
        <v> </v>
      </c>
      <c r="I49" s="764" t="str">
        <f aca="false">IF('rotation(6B)'!H62=0," ",$B49*'rotation(6B)'!H62)</f>
        <v> </v>
      </c>
      <c r="J49" s="764" t="str">
        <f aca="false">IF('rotation(6B)'!I62=0," ",$B49*'rotation(6B)'!I62)</f>
        <v> </v>
      </c>
      <c r="K49" s="764" t="str">
        <f aca="false">IF('rotation(6B)'!J62=0," ",$B49*'rotation(6B)'!J62)</f>
        <v> </v>
      </c>
      <c r="L49" s="764" t="str">
        <f aca="false">IF('rotation(6B)'!K62=0," ",$B49*'rotation(6B)'!K62)</f>
        <v> </v>
      </c>
      <c r="M49" s="764" t="str">
        <f aca="false">IF('rotation(6B)'!L62=0," ",$B49*'rotation(6B)'!L62)</f>
        <v> </v>
      </c>
      <c r="N49" s="764" t="str">
        <f aca="false">IF('rotation(6B)'!M62=0," ",$B49*'rotation(6B)'!M62)</f>
        <v> </v>
      </c>
      <c r="O49" s="764" t="str">
        <f aca="false">IF('rotation(6B)'!N62=0," ",$B49*'rotation(6B)'!N62)</f>
        <v> </v>
      </c>
      <c r="P49" s="764" t="str">
        <f aca="false">IF('rotation(6B)'!O62=0," ",$B49*'rotation(6B)'!O62)</f>
        <v> </v>
      </c>
      <c r="Q49" s="764" t="str">
        <f aca="false">IF('rotation(6B)'!P62=0," ",$B49*'rotation(6B)'!P62)</f>
        <v> </v>
      </c>
      <c r="R49" s="764" t="str">
        <f aca="false">IF('rotation(6B)'!Q62=0," ",$B49*'rotation(6B)'!Q62)</f>
        <v> </v>
      </c>
      <c r="S49" s="764" t="str">
        <f aca="false">IF('rotation(6B)'!R62=0," ",$B49*'rotation(6B)'!R62)</f>
        <v> </v>
      </c>
      <c r="T49" s="764" t="str">
        <f aca="false">IF('rotation(6B)'!S62=0," ",$B49*'rotation(6B)'!S62)</f>
        <v> </v>
      </c>
      <c r="U49" s="764" t="str">
        <f aca="false">IF('rotation(6B)'!T62=0," ",$B49*'rotation(6B)'!T62)</f>
        <v> </v>
      </c>
      <c r="V49" s="764" t="str">
        <f aca="false">IF('rotation(6B)'!U62=0," ",$B49*'rotation(6B)'!U62)</f>
        <v> </v>
      </c>
      <c r="W49" s="764" t="str">
        <f aca="false">IF('rotation(6B)'!V62=0," ",$B49*'rotation(6B)'!V62)</f>
        <v> </v>
      </c>
      <c r="X49" s="666" t="n">
        <f aca="false">SUM(D49:W49)</f>
        <v>33</v>
      </c>
    </row>
    <row r="50" customFormat="false" ht="12.75" hidden="false" customHeight="false" outlineLevel="0" collapsed="false">
      <c r="A50" s="770" t="str">
        <f aca="false">'GTDB(6B)'!A29</f>
        <v>3RD STAGE NOZZLES</v>
      </c>
      <c r="B50" s="763" t="n">
        <f aca="false">'GTDB(6B)'!D29</f>
        <v>25.07</v>
      </c>
      <c r="C50" s="764"/>
      <c r="D50" s="764" t="str">
        <f aca="false">IF('rotation(6B)'!C67=0," ",$B50*'rotation(6B)'!C67)</f>
        <v> </v>
      </c>
      <c r="E50" s="764" t="str">
        <f aca="false">IF('rotation(6B)'!D67=0," ",$B50*'rotation(6B)'!D67)</f>
        <v> </v>
      </c>
      <c r="F50" s="764" t="str">
        <f aca="false">IF('rotation(6B)'!E67=0," ",$B50*'rotation(6B)'!E67)</f>
        <v> </v>
      </c>
      <c r="G50" s="764" t="str">
        <f aca="false">IF('rotation(6B)'!F67=0," ",$B50*'rotation(6B)'!F67)</f>
        <v> </v>
      </c>
      <c r="H50" s="764" t="str">
        <f aca="false">IF('rotation(6B)'!G67=0," ",$B50*'rotation(6B)'!G67)</f>
        <v> </v>
      </c>
      <c r="I50" s="764" t="str">
        <f aca="false">IF('rotation(6B)'!H67=0," ",$B50*'rotation(6B)'!H67)</f>
        <v> </v>
      </c>
      <c r="J50" s="764" t="str">
        <f aca="false">IF('rotation(6B)'!I67=0," ",$B50*'rotation(6B)'!I67)</f>
        <v> </v>
      </c>
      <c r="K50" s="764" t="str">
        <f aca="false">IF('rotation(6B)'!J67=0," ",$B50*'rotation(6B)'!J67)</f>
        <v> </v>
      </c>
      <c r="L50" s="764" t="str">
        <f aca="false">IF('rotation(6B)'!K67=0," ",$B50*'rotation(6B)'!K67)</f>
        <v> </v>
      </c>
      <c r="M50" s="764" t="str">
        <f aca="false">IF('rotation(6B)'!L67=0," ",$B50*'rotation(6B)'!L67)</f>
        <v> </v>
      </c>
      <c r="N50" s="764" t="str">
        <f aca="false">IF('rotation(6B)'!M67=0," ",$B50*'rotation(6B)'!M67)</f>
        <v> </v>
      </c>
      <c r="O50" s="764" t="str">
        <f aca="false">IF('rotation(6B)'!N67=0," ",$B50*'rotation(6B)'!N67)</f>
        <v> </v>
      </c>
      <c r="P50" s="764" t="str">
        <f aca="false">IF('rotation(6B)'!O67=0," ",$B50*'rotation(6B)'!O67)</f>
        <v> </v>
      </c>
      <c r="Q50" s="764" t="str">
        <f aca="false">IF('rotation(6B)'!P67=0," ",$B50*'rotation(6B)'!P67)</f>
        <v> </v>
      </c>
      <c r="R50" s="764" t="str">
        <f aca="false">IF('rotation(6B)'!Q67=0," ",$B50*'rotation(6B)'!Q67)</f>
        <v> </v>
      </c>
      <c r="S50" s="764" t="str">
        <f aca="false">IF('rotation(6B)'!R67=0," ",$B50*'rotation(6B)'!R67)</f>
        <v> </v>
      </c>
      <c r="T50" s="764" t="str">
        <f aca="false">IF('rotation(6B)'!S67=0," ",$B50*'rotation(6B)'!S67)</f>
        <v> </v>
      </c>
      <c r="U50" s="764" t="str">
        <f aca="false">IF('rotation(6B)'!T67=0," ",$B50*'rotation(6B)'!T67)</f>
        <v> </v>
      </c>
      <c r="V50" s="764" t="str">
        <f aca="false">IF('rotation(6B)'!U67=0," ",$B50*'rotation(6B)'!U67)</f>
        <v> </v>
      </c>
      <c r="W50" s="764" t="str">
        <f aca="false">IF('rotation(6B)'!V67=0," ",$B50*'rotation(6B)'!V67)</f>
        <v> </v>
      </c>
      <c r="X50" s="666" t="n">
        <f aca="false">SUM(D50:W50)</f>
        <v>0</v>
      </c>
    </row>
    <row r="51" customFormat="false" ht="12.75" hidden="false" customHeight="false" outlineLevel="0" collapsed="false">
      <c r="A51" s="771"/>
      <c r="B51" s="681"/>
      <c r="C51" s="681"/>
      <c r="D51" s="681"/>
      <c r="E51" s="681"/>
      <c r="F51" s="681"/>
      <c r="G51" s="681"/>
      <c r="H51" s="681"/>
      <c r="I51" s="681"/>
      <c r="J51" s="681"/>
      <c r="K51" s="681"/>
      <c r="L51" s="681"/>
      <c r="M51" s="681"/>
      <c r="N51" s="681"/>
      <c r="O51" s="681"/>
      <c r="P51" s="681"/>
      <c r="Q51" s="681"/>
      <c r="R51" s="681"/>
      <c r="S51" s="681"/>
      <c r="T51" s="681"/>
      <c r="U51" s="681"/>
      <c r="V51" s="681"/>
      <c r="W51" s="681"/>
      <c r="X51" s="666"/>
    </row>
    <row r="52" customFormat="false" ht="12.75" hidden="false" customHeight="false" outlineLevel="0" collapsed="false">
      <c r="A52" s="772" t="s">
        <v>1370</v>
      </c>
      <c r="B52" s="765" t="n">
        <v>0.02</v>
      </c>
      <c r="C52" s="681"/>
      <c r="D52" s="681" t="n">
        <f aca="false">SUM(D38:D48)*(1-$B52)</f>
        <v>0</v>
      </c>
      <c r="E52" s="681" t="n">
        <f aca="false">SUM(E38:E48)*(1-$B52)</f>
        <v>0</v>
      </c>
      <c r="F52" s="681" t="n">
        <f aca="false">SUM(F38:F48)*(1-$B52)</f>
        <v>0</v>
      </c>
      <c r="G52" s="681" t="n">
        <f aca="false">SUM(G38:G48)*(1-$B52)</f>
        <v>0</v>
      </c>
      <c r="H52" s="681" t="n">
        <f aca="false">SUM(H38:H48)*(1-$B52)</f>
        <v>0</v>
      </c>
      <c r="I52" s="681" t="n">
        <f aca="false">SUM(I38:I48)*(1-$B52)</f>
        <v>0</v>
      </c>
      <c r="J52" s="681" t="n">
        <f aca="false">SUM(J38:J48)*(1-$B52)</f>
        <v>0</v>
      </c>
      <c r="K52" s="681" t="n">
        <f aca="false">SUM(K38:K48)*(1-$B52)</f>
        <v>0</v>
      </c>
      <c r="L52" s="681" t="n">
        <f aca="false">SUM(L38:L48)*(1-$B52)</f>
        <v>0</v>
      </c>
      <c r="M52" s="681" t="n">
        <f aca="false">SUM(M38:M48)*(1-$B52)</f>
        <v>0</v>
      </c>
      <c r="N52" s="681" t="n">
        <f aca="false">SUM(N38:N48)*(1-$B52)</f>
        <v>0</v>
      </c>
      <c r="O52" s="681" t="n">
        <f aca="false">SUM(O38:O48)*(1-$B52)</f>
        <v>0</v>
      </c>
      <c r="P52" s="681" t="n">
        <f aca="false">SUM(P38:P48)*(1-$B52)</f>
        <v>0</v>
      </c>
      <c r="Q52" s="681" t="n">
        <f aca="false">SUM(Q38:Q48)*(1-$B52)</f>
        <v>0</v>
      </c>
      <c r="R52" s="681" t="n">
        <f aca="false">SUM(R38:R48)*(1-$B52)</f>
        <v>0</v>
      </c>
      <c r="S52" s="681" t="n">
        <f aca="false">SUM(S38:S48)*(1-$B52)</f>
        <v>0</v>
      </c>
      <c r="T52" s="681" t="n">
        <f aca="false">SUM(T38:T48)*(1-$B52)</f>
        <v>0</v>
      </c>
      <c r="U52" s="681" t="n">
        <f aca="false">SUM(U38:U48)*(1-$B52)</f>
        <v>0</v>
      </c>
      <c r="V52" s="681" t="n">
        <f aca="false">SUM(V38:V48)*(1-$B52)</f>
        <v>0</v>
      </c>
      <c r="W52" s="681" t="n">
        <f aca="false">SUM(W38:W48)*(1-$B52)</f>
        <v>0</v>
      </c>
      <c r="X52" s="666" t="n">
        <f aca="false">SUM(D52:W52)</f>
        <v>0</v>
      </c>
    </row>
    <row r="53" customFormat="false" ht="12.75" hidden="false" customHeight="false" outlineLevel="0" collapsed="false">
      <c r="A53" s="772" t="s">
        <v>1371</v>
      </c>
      <c r="B53" s="765" t="n">
        <v>0.01</v>
      </c>
      <c r="C53" s="681"/>
      <c r="D53" s="681" t="n">
        <f aca="false">D52*(1+$B53)</f>
        <v>0</v>
      </c>
      <c r="E53" s="681" t="n">
        <f aca="false">E52*(1+$B53)</f>
        <v>0</v>
      </c>
      <c r="F53" s="681" t="n">
        <f aca="false">F52*(1+$B53)</f>
        <v>0</v>
      </c>
      <c r="G53" s="681" t="n">
        <f aca="false">G52*(1+$B53)</f>
        <v>0</v>
      </c>
      <c r="H53" s="681" t="n">
        <f aca="false">H52*(1+$B53)</f>
        <v>0</v>
      </c>
      <c r="I53" s="681" t="n">
        <f aca="false">I52*(1+$B53)</f>
        <v>0</v>
      </c>
      <c r="J53" s="681" t="n">
        <f aca="false">J52*(1+$B53)</f>
        <v>0</v>
      </c>
      <c r="K53" s="681" t="n">
        <f aca="false">K52*(1+$B53)</f>
        <v>0</v>
      </c>
      <c r="L53" s="681" t="n">
        <f aca="false">L52*(1+$B53)</f>
        <v>0</v>
      </c>
      <c r="M53" s="681" t="n">
        <f aca="false">M52*(1+$B53)</f>
        <v>0</v>
      </c>
      <c r="N53" s="681" t="n">
        <f aca="false">N52*(1+$B53)</f>
        <v>0</v>
      </c>
      <c r="O53" s="681" t="n">
        <f aca="false">O52*(1+$B53)</f>
        <v>0</v>
      </c>
      <c r="P53" s="681" t="n">
        <f aca="false">P52*(1+$B53)</f>
        <v>0</v>
      </c>
      <c r="Q53" s="681" t="n">
        <f aca="false">Q52*(1+$B53)</f>
        <v>0</v>
      </c>
      <c r="R53" s="681" t="n">
        <f aca="false">R52*(1+$B53)</f>
        <v>0</v>
      </c>
      <c r="S53" s="681" t="n">
        <f aca="false">S52*(1+$B53)</f>
        <v>0</v>
      </c>
      <c r="T53" s="681" t="n">
        <f aca="false">T52*(1+$B53)</f>
        <v>0</v>
      </c>
      <c r="U53" s="681" t="n">
        <f aca="false">U52*(1+$B53)</f>
        <v>0</v>
      </c>
      <c r="V53" s="681" t="n">
        <f aca="false">V52*(1+$B53)</f>
        <v>0</v>
      </c>
      <c r="W53" s="681" t="n">
        <f aca="false">W52*(1+$B53)</f>
        <v>0</v>
      </c>
      <c r="X53" s="766" t="n">
        <f aca="false">SUM(D53:W53)</f>
        <v>0</v>
      </c>
    </row>
    <row r="54" customFormat="false" ht="12.75" hidden="false" customHeight="false" outlineLevel="0" collapsed="false">
      <c r="B54" s="666"/>
      <c r="C54" s="666"/>
      <c r="D54" s="666"/>
      <c r="E54" s="666"/>
      <c r="F54" s="666"/>
      <c r="G54" s="666"/>
      <c r="H54" s="666"/>
      <c r="I54" s="666"/>
      <c r="J54" s="666"/>
      <c r="K54" s="666"/>
      <c r="L54" s="666"/>
      <c r="M54" s="666"/>
      <c r="N54" s="666"/>
      <c r="O54" s="666"/>
      <c r="P54" s="666"/>
      <c r="Q54" s="666"/>
      <c r="R54" s="666"/>
      <c r="S54" s="666"/>
      <c r="T54" s="666"/>
      <c r="U54" s="666"/>
      <c r="V54" s="666"/>
      <c r="W54" s="666"/>
      <c r="X54" s="666"/>
    </row>
    <row r="55" customFormat="false" ht="12.75" hidden="false" customHeight="false" outlineLevel="0" collapsed="false">
      <c r="A55" s="756" t="s">
        <v>1372</v>
      </c>
      <c r="B55" s="666"/>
      <c r="C55" s="666"/>
      <c r="D55" s="666" t="n">
        <f aca="false">D11+D33+D53</f>
        <v>0</v>
      </c>
      <c r="E55" s="666" t="n">
        <f aca="false">E11+E33+E53</f>
        <v>241.947</v>
      </c>
      <c r="F55" s="666" t="n">
        <f aca="false">F11+F33+F53</f>
        <v>1719.585</v>
      </c>
      <c r="G55" s="666" t="n">
        <f aca="false">G11+G33+G53</f>
        <v>0</v>
      </c>
      <c r="H55" s="666" t="n">
        <f aca="false">H11+H33+H53</f>
        <v>0</v>
      </c>
      <c r="I55" s="666" t="n">
        <f aca="false">I11+I33+I53</f>
        <v>0</v>
      </c>
      <c r="J55" s="666" t="n">
        <f aca="false">J11+J33+J53</f>
        <v>0</v>
      </c>
      <c r="K55" s="666" t="n">
        <f aca="false">K11+K33+K53</f>
        <v>0</v>
      </c>
      <c r="L55" s="666" t="n">
        <f aca="false">L11+L33+L53</f>
        <v>0</v>
      </c>
      <c r="M55" s="666" t="n">
        <f aca="false">M11+M33+M53</f>
        <v>0</v>
      </c>
      <c r="N55" s="666" t="n">
        <f aca="false">N11+N33+N53</f>
        <v>0</v>
      </c>
      <c r="O55" s="666" t="n">
        <f aca="false">O11+O33+O53</f>
        <v>0</v>
      </c>
      <c r="P55" s="666" t="n">
        <f aca="false">P11+P33+P53</f>
        <v>0</v>
      </c>
      <c r="Q55" s="666" t="n">
        <f aca="false">Q11+Q33+Q53</f>
        <v>0</v>
      </c>
      <c r="R55" s="666" t="n">
        <f aca="false">R11+R33+R53</f>
        <v>0</v>
      </c>
      <c r="S55" s="666" t="n">
        <f aca="false">S11+S33+S53</f>
        <v>0</v>
      </c>
      <c r="T55" s="666" t="n">
        <f aca="false">T11+T33+T53</f>
        <v>0</v>
      </c>
      <c r="U55" s="666" t="n">
        <f aca="false">U11+U33+U53</f>
        <v>0</v>
      </c>
      <c r="V55" s="666" t="n">
        <f aca="false">V11+V33+V53</f>
        <v>0</v>
      </c>
      <c r="W55" s="666" t="n">
        <f aca="false">W11+W33+W53</f>
        <v>0</v>
      </c>
      <c r="X55" s="773" t="n">
        <f aca="false">SUM(D55:W55)</f>
        <v>1961.532</v>
      </c>
    </row>
    <row r="56" customFormat="false" ht="12.75" hidden="false" customHeight="false" outlineLevel="0" collapsed="false">
      <c r="B56" s="666"/>
      <c r="C56" s="666"/>
      <c r="D56" s="666"/>
      <c r="E56" s="666"/>
      <c r="F56" s="666"/>
      <c r="G56" s="666"/>
      <c r="H56" s="666"/>
      <c r="I56" s="666"/>
      <c r="J56" s="666"/>
      <c r="K56" s="666"/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</row>
    <row r="57" customFormat="false" ht="12.75" hidden="false" customHeight="false" outlineLevel="0" collapsed="false">
      <c r="B57" s="666"/>
      <c r="C57" s="666"/>
      <c r="D57" s="666"/>
      <c r="E57" s="666"/>
      <c r="F57" s="666"/>
      <c r="G57" s="666"/>
      <c r="H57" s="666"/>
      <c r="I57" s="666"/>
      <c r="J57" s="666"/>
      <c r="K57" s="666"/>
      <c r="L57" s="666"/>
      <c r="M57" s="666"/>
      <c r="N57" s="666"/>
      <c r="O57" s="666"/>
      <c r="P57" s="666"/>
      <c r="Q57" s="666"/>
      <c r="R57" s="666"/>
      <c r="S57" s="666"/>
      <c r="T57" s="666"/>
      <c r="U57" s="666"/>
      <c r="V57" s="666"/>
      <c r="W57" s="666"/>
      <c r="X57" s="666"/>
    </row>
    <row r="58" customFormat="false" ht="12.75" hidden="false" customHeight="false" outlineLevel="0" collapsed="false">
      <c r="B58" s="666"/>
      <c r="C58" s="666"/>
      <c r="D58" s="666"/>
      <c r="E58" s="666"/>
      <c r="F58" s="666"/>
      <c r="G58" s="666"/>
      <c r="H58" s="666"/>
      <c r="I58" s="666"/>
      <c r="J58" s="666"/>
      <c r="K58" s="666"/>
      <c r="L58" s="666"/>
      <c r="M58" s="666"/>
      <c r="N58" s="666"/>
      <c r="O58" s="666"/>
      <c r="P58" s="666"/>
      <c r="Q58" s="666"/>
      <c r="R58" s="666"/>
      <c r="S58" s="666"/>
      <c r="T58" s="666"/>
      <c r="U58" s="666"/>
      <c r="V58" s="666"/>
      <c r="W58" s="666"/>
      <c r="X58" s="666"/>
    </row>
    <row r="59" customFormat="false" ht="12.75" hidden="false" customHeight="false" outlineLevel="0" collapsed="false">
      <c r="B59" s="666"/>
      <c r="C59" s="666"/>
      <c r="D59" s="666"/>
      <c r="E59" s="666"/>
      <c r="F59" s="666"/>
      <c r="G59" s="666"/>
      <c r="H59" s="666"/>
      <c r="I59" s="666"/>
      <c r="J59" s="666"/>
      <c r="K59" s="666"/>
      <c r="L59" s="666"/>
      <c r="M59" s="666"/>
      <c r="N59" s="666"/>
      <c r="O59" s="666"/>
      <c r="P59" s="666"/>
      <c r="Q59" s="666"/>
      <c r="R59" s="666"/>
      <c r="S59" s="666"/>
      <c r="T59" s="666"/>
      <c r="U59" s="666"/>
      <c r="V59" s="666"/>
      <c r="W59" s="666"/>
      <c r="X59" s="666"/>
    </row>
    <row r="60" customFormat="false" ht="12.75" hidden="false" customHeight="false" outlineLevel="0" collapsed="false">
      <c r="B60" s="666"/>
      <c r="C60" s="666"/>
      <c r="D60" s="666"/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6"/>
      <c r="Q60" s="666"/>
      <c r="R60" s="666"/>
      <c r="S60" s="666"/>
      <c r="T60" s="666"/>
      <c r="U60" s="666"/>
      <c r="V60" s="666"/>
      <c r="W60" s="666"/>
      <c r="X60" s="666"/>
    </row>
    <row r="61" customFormat="false" ht="12.75" hidden="false" customHeight="false" outlineLevel="0" collapsed="false">
      <c r="B61" s="666"/>
      <c r="C61" s="666"/>
      <c r="D61" s="666"/>
      <c r="E61" s="666"/>
      <c r="F61" s="666"/>
      <c r="G61" s="666"/>
      <c r="H61" s="666"/>
      <c r="I61" s="666"/>
      <c r="J61" s="666"/>
      <c r="K61" s="666"/>
      <c r="L61" s="666"/>
      <c r="M61" s="666"/>
      <c r="N61" s="666"/>
      <c r="O61" s="666"/>
      <c r="P61" s="666"/>
      <c r="Q61" s="666"/>
      <c r="R61" s="666"/>
      <c r="S61" s="666"/>
      <c r="T61" s="666"/>
      <c r="U61" s="666"/>
      <c r="V61" s="666"/>
      <c r="W61" s="666"/>
      <c r="X61" s="666"/>
    </row>
    <row r="62" customFormat="false" ht="12.75" hidden="false" customHeight="false" outlineLevel="0" collapsed="false">
      <c r="B62" s="666"/>
      <c r="C62" s="666"/>
      <c r="D62" s="666"/>
      <c r="E62" s="666"/>
      <c r="F62" s="666"/>
      <c r="G62" s="666"/>
      <c r="H62" s="666"/>
      <c r="I62" s="666"/>
      <c r="J62" s="666"/>
      <c r="K62" s="666"/>
      <c r="L62" s="666"/>
      <c r="M62" s="666"/>
      <c r="N62" s="666"/>
      <c r="O62" s="666"/>
      <c r="P62" s="666"/>
      <c r="Q62" s="666"/>
      <c r="R62" s="666"/>
      <c r="S62" s="666"/>
      <c r="T62" s="666"/>
      <c r="U62" s="666"/>
      <c r="V62" s="666"/>
      <c r="W62" s="666"/>
      <c r="X62" s="666"/>
    </row>
    <row r="63" customFormat="false" ht="12.75" hidden="false" customHeight="false" outlineLevel="0" collapsed="false">
      <c r="B63" s="666"/>
      <c r="C63" s="666"/>
      <c r="D63" s="666"/>
      <c r="E63" s="666"/>
      <c r="F63" s="666"/>
      <c r="G63" s="666"/>
      <c r="H63" s="666"/>
      <c r="I63" s="666"/>
      <c r="J63" s="666"/>
      <c r="K63" s="666"/>
      <c r="L63" s="666"/>
      <c r="M63" s="666"/>
      <c r="N63" s="666"/>
      <c r="O63" s="666"/>
      <c r="P63" s="666"/>
      <c r="Q63" s="666"/>
      <c r="R63" s="666"/>
      <c r="S63" s="666"/>
      <c r="T63" s="666"/>
      <c r="U63" s="666"/>
      <c r="V63" s="666"/>
      <c r="W63" s="666"/>
      <c r="X63" s="666"/>
    </row>
    <row r="64" customFormat="false" ht="12.75" hidden="false" customHeight="false" outlineLevel="0" collapsed="false"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66"/>
      <c r="N64" s="666"/>
      <c r="O64" s="666"/>
      <c r="P64" s="666"/>
      <c r="Q64" s="666"/>
      <c r="R64" s="666"/>
      <c r="S64" s="666"/>
      <c r="T64" s="666"/>
      <c r="U64" s="666"/>
      <c r="V64" s="666"/>
      <c r="W64" s="666"/>
      <c r="X64" s="666"/>
    </row>
    <row r="65" customFormat="false" ht="12.75" hidden="false" customHeight="false" outlineLevel="0" collapsed="false">
      <c r="B65" s="666"/>
      <c r="C65" s="666"/>
      <c r="D65" s="666"/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6"/>
      <c r="Q65" s="666"/>
      <c r="R65" s="666"/>
      <c r="S65" s="666"/>
      <c r="T65" s="666"/>
      <c r="U65" s="666"/>
      <c r="V65" s="666"/>
      <c r="W65" s="666"/>
      <c r="X65" s="666"/>
    </row>
    <row r="66" customFormat="false" ht="12.75" hidden="false" customHeight="false" outlineLevel="0" collapsed="false">
      <c r="B66" s="666"/>
      <c r="C66" s="666"/>
      <c r="D66" s="666"/>
      <c r="E66" s="666"/>
      <c r="F66" s="666"/>
      <c r="G66" s="666"/>
      <c r="H66" s="666"/>
      <c r="I66" s="666"/>
      <c r="J66" s="666"/>
      <c r="K66" s="666"/>
      <c r="L66" s="666"/>
      <c r="M66" s="666"/>
      <c r="N66" s="666"/>
      <c r="O66" s="666"/>
      <c r="P66" s="666"/>
      <c r="Q66" s="666"/>
      <c r="R66" s="666"/>
      <c r="S66" s="666"/>
      <c r="T66" s="666"/>
      <c r="U66" s="666"/>
      <c r="V66" s="666"/>
      <c r="W66" s="666"/>
      <c r="X66" s="666"/>
    </row>
    <row r="67" customFormat="false" ht="12.75" hidden="false" customHeight="false" outlineLevel="0" collapsed="false">
      <c r="B67" s="666"/>
      <c r="C67" s="666"/>
      <c r="D67" s="666"/>
      <c r="E67" s="666"/>
      <c r="F67" s="666"/>
      <c r="G67" s="666"/>
      <c r="H67" s="666"/>
      <c r="I67" s="666"/>
      <c r="J67" s="666"/>
      <c r="K67" s="666"/>
      <c r="L67" s="666"/>
      <c r="M67" s="666"/>
      <c r="N67" s="666"/>
      <c r="O67" s="666"/>
      <c r="P67" s="666"/>
      <c r="Q67" s="666"/>
      <c r="R67" s="666"/>
      <c r="S67" s="666"/>
      <c r="T67" s="666"/>
      <c r="U67" s="666"/>
      <c r="V67" s="666"/>
      <c r="W67" s="666"/>
      <c r="X67" s="666"/>
    </row>
    <row r="68" customFormat="false" ht="12.75" hidden="false" customHeight="false" outlineLevel="0" collapsed="false">
      <c r="B68" s="666"/>
      <c r="C68" s="666"/>
      <c r="D68" s="666"/>
      <c r="E68" s="666"/>
      <c r="F68" s="666"/>
      <c r="G68" s="666"/>
      <c r="H68" s="666"/>
      <c r="I68" s="666"/>
      <c r="J68" s="666"/>
      <c r="K68" s="666"/>
      <c r="L68" s="666"/>
      <c r="M68" s="666"/>
      <c r="N68" s="666"/>
      <c r="O68" s="666"/>
      <c r="P68" s="666"/>
      <c r="Q68" s="666"/>
      <c r="R68" s="666"/>
      <c r="S68" s="666"/>
      <c r="T68" s="666"/>
      <c r="U68" s="666"/>
      <c r="V68" s="666"/>
      <c r="W68" s="666"/>
      <c r="X68" s="666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  <colBreaks count="1" manualBreakCount="1">
    <brk id="12" man="true" max="65535" min="0"/>
  </col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66"/>
  <sheetViews>
    <sheetView showFormulas="false" showGridLines="true" showRowColHeaders="true" showZeros="true" rightToLeft="false" tabSelected="false" showOutlineSymbols="true" defaultGridColor="true" view="normal" topLeftCell="K23" colorId="64" zoomScale="75" zoomScaleNormal="75" zoomScalePageLayoutView="100" workbookViewId="0">
      <selection pane="topLeft" activeCell="X8" activeCellId="0" sqref="X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74" t="s">
        <v>1374</v>
      </c>
    </row>
    <row r="4" customFormat="false" ht="20.25" hidden="false" customHeight="false" outlineLevel="0" collapsed="false">
      <c r="A4" s="774" t="s">
        <v>1375</v>
      </c>
      <c r="B4" s="17"/>
      <c r="C4" s="17"/>
      <c r="D4" s="17"/>
      <c r="W4" s="775" t="str">
        <f aca="false">'GTDB(6B)'!B4</f>
        <v>GE-7EA-H-V0</v>
      </c>
      <c r="X4" s="153" t="s">
        <v>1376</v>
      </c>
      <c r="Y4" s="153" t="s">
        <v>1377</v>
      </c>
      <c r="Z4" s="157" t="s">
        <v>1007</v>
      </c>
      <c r="AA4" s="153" t="s">
        <v>1378</v>
      </c>
    </row>
    <row r="5" customFormat="false" ht="12.75" hidden="false" customHeight="false" outlineLevel="0" collapsed="false">
      <c r="A5" s="153" t="s">
        <v>1327</v>
      </c>
      <c r="B5" s="153" t="s">
        <v>1007</v>
      </c>
      <c r="C5" s="153" t="n">
        <v>1</v>
      </c>
      <c r="D5" s="153" t="n">
        <v>2</v>
      </c>
      <c r="E5" s="153" t="n">
        <v>3</v>
      </c>
      <c r="F5" s="153" t="n">
        <v>4</v>
      </c>
      <c r="G5" s="153" t="n">
        <v>5</v>
      </c>
      <c r="H5" s="153" t="n">
        <v>6</v>
      </c>
      <c r="I5" s="153" t="n">
        <v>7</v>
      </c>
      <c r="J5" s="153" t="n">
        <v>8</v>
      </c>
      <c r="K5" s="153" t="n">
        <v>9</v>
      </c>
      <c r="L5" s="153" t="n">
        <v>10</v>
      </c>
      <c r="M5" s="153" t="n">
        <v>11</v>
      </c>
      <c r="N5" s="153" t="n">
        <v>12</v>
      </c>
      <c r="O5" s="153" t="n">
        <v>13</v>
      </c>
      <c r="P5" s="153" t="n">
        <v>14</v>
      </c>
      <c r="Q5" s="153" t="n">
        <v>15</v>
      </c>
      <c r="R5" s="153" t="n">
        <v>16</v>
      </c>
      <c r="S5" s="153" t="n">
        <v>17</v>
      </c>
      <c r="T5" s="153" t="n">
        <v>18</v>
      </c>
      <c r="U5" s="153" t="n">
        <v>19</v>
      </c>
      <c r="V5" s="380" t="n">
        <v>20</v>
      </c>
      <c r="W5" s="511" t="s">
        <v>1379</v>
      </c>
      <c r="X5" s="776" t="n">
        <v>20</v>
      </c>
      <c r="Y5" s="776" t="n">
        <f aca="false">20-X5</f>
        <v>0</v>
      </c>
      <c r="Z5" s="157" t="s">
        <v>1007</v>
      </c>
      <c r="AA5" s="777"/>
    </row>
    <row r="6" customFormat="false" ht="13.5" hidden="false" customHeight="false" outlineLevel="0" collapsed="false">
      <c r="A6" s="153" t="s">
        <v>1380</v>
      </c>
      <c r="B6" s="520"/>
      <c r="C6" s="153" t="n">
        <f aca="false">B6+IF(C5&gt;$X$5,$Y$6,$X$6)</f>
        <v>8322</v>
      </c>
      <c r="D6" s="153" t="n">
        <f aca="false">C6+IF(D5&gt;$X$5,$Y$6,$X$6)</f>
        <v>16644</v>
      </c>
      <c r="E6" s="153" t="n">
        <f aca="false">D6+IF(E5&gt;$X$5,$Y$6,$X$6)</f>
        <v>24966</v>
      </c>
      <c r="F6" s="153" t="n">
        <f aca="false">E6+IF(F5&gt;$X$5,$Y$6,$X$6)</f>
        <v>33288</v>
      </c>
      <c r="G6" s="153" t="n">
        <f aca="false">F6+IF(G5&gt;$X$5,$Y$6,$X$6)</f>
        <v>41610</v>
      </c>
      <c r="H6" s="153" t="n">
        <f aca="false">G6+IF(H5&gt;$X$5,$Y$6,$X$6)</f>
        <v>49932</v>
      </c>
      <c r="I6" s="153" t="n">
        <f aca="false">H6+IF(I5&gt;$X$5,$Y$6,$X$6)</f>
        <v>58254</v>
      </c>
      <c r="J6" s="153" t="n">
        <f aca="false">I6+IF(J5&gt;$X$5,$Y$6,$X$6)</f>
        <v>66576</v>
      </c>
      <c r="K6" s="153" t="n">
        <f aca="false">J6+IF(K5&gt;$X$5,$Y$6,$X$6)</f>
        <v>74898</v>
      </c>
      <c r="L6" s="153" t="n">
        <f aca="false">K6+IF(L5&gt;$X$5,$Y$6,$X$6)</f>
        <v>83220</v>
      </c>
      <c r="M6" s="153" t="n">
        <f aca="false">L6+IF(M5&gt;$X$5,$Y$6,$X$6)</f>
        <v>91542</v>
      </c>
      <c r="N6" s="153" t="n">
        <f aca="false">M6+IF(N5&gt;$X$5,$Y$6,$X$6)</f>
        <v>99864</v>
      </c>
      <c r="O6" s="153" t="n">
        <f aca="false">N6+IF(O5&gt;$X$5,$Y$6,$X$6)</f>
        <v>108186</v>
      </c>
      <c r="P6" s="153" t="n">
        <f aca="false">O6+IF(P5&gt;$X$5,$Y$6,$X$6)</f>
        <v>116508</v>
      </c>
      <c r="Q6" s="153" t="n">
        <f aca="false">P6+IF(Q5&gt;$X$5,$Y$6,$X$6)</f>
        <v>124830</v>
      </c>
      <c r="R6" s="153" t="n">
        <f aca="false">Q6+IF(R5&gt;$X$5,$Y$6,$X$6)</f>
        <v>133152</v>
      </c>
      <c r="S6" s="153" t="n">
        <f aca="false">R6+IF(S5&gt;$X$5,$Y$6,$X$6)</f>
        <v>141474</v>
      </c>
      <c r="T6" s="153" t="n">
        <f aca="false">S6+IF(T5&gt;$X$5,$Y$6,$X$6)</f>
        <v>149796</v>
      </c>
      <c r="U6" s="153" t="n">
        <f aca="false">T6+IF(U5&gt;$X$5,$Y$6,$X$6)</f>
        <v>158118</v>
      </c>
      <c r="V6" s="153" t="n">
        <f aca="false">U6+IF(V5&gt;$X$5,$Y$6,$X$6)</f>
        <v>166440</v>
      </c>
      <c r="W6" s="778" t="s">
        <v>1381</v>
      </c>
      <c r="X6" s="779" t="n">
        <f aca="false">Scope!$F$41</f>
        <v>8322</v>
      </c>
      <c r="Y6" s="780" t="n">
        <v>8000</v>
      </c>
      <c r="Z6" s="781"/>
      <c r="AA6" s="777"/>
      <c r="AD6" s="782" t="n">
        <v>1</v>
      </c>
    </row>
    <row r="7" customFormat="false" ht="13.5" hidden="false" customHeight="false" outlineLevel="0" collapsed="false">
      <c r="A7" s="157"/>
      <c r="B7" s="157" t="s">
        <v>1007</v>
      </c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783" t="s">
        <v>1382</v>
      </c>
      <c r="X7" s="784" t="n">
        <v>0</v>
      </c>
      <c r="Y7" s="785"/>
      <c r="Z7" s="157"/>
      <c r="AA7" s="786"/>
    </row>
    <row r="8" customFormat="false" ht="12.75" hidden="false" customHeight="false" outlineLevel="0" collapsed="false">
      <c r="A8" s="153" t="s">
        <v>1383</v>
      </c>
      <c r="B8" s="153" t="n">
        <v>0</v>
      </c>
      <c r="C8" s="153" t="n">
        <f aca="false">(INT(C6/$X8)*$X$7-INT(B6/$X8)*$X$7-C9-C10)</f>
        <v>0</v>
      </c>
      <c r="D8" s="153" t="n">
        <f aca="false">(INT(D6/$X8)*$X$7-INT(C6/$X8)*$X$7-D9-D10)</f>
        <v>0</v>
      </c>
      <c r="E8" s="153" t="n">
        <f aca="false">(INT(E6/$X8)*$X$7-INT(D6/$X8)*$X$7-E9-E10)</f>
        <v>0</v>
      </c>
      <c r="F8" s="153" t="n">
        <f aca="false">(INT(F6/$X8)*$X$7-INT(E6/$X8)*$X$7-F9-F10)</f>
        <v>0</v>
      </c>
      <c r="G8" s="153" t="n">
        <f aca="false">(INT(G6/$X8)*$X$7-INT(F6/$X8)*$X$7-G9-G10)</f>
        <v>0</v>
      </c>
      <c r="H8" s="153" t="n">
        <f aca="false">(INT(H6/$X8)*$X$7-INT(G6/$X8)*$X$7-H9-H10)</f>
        <v>0</v>
      </c>
      <c r="I8" s="153" t="n">
        <f aca="false">(INT(I6/$X8)*$X$7-INT(H6/$X8)*$X$7-I9-I10)</f>
        <v>0</v>
      </c>
      <c r="J8" s="153" t="n">
        <f aca="false">(INT(J6/$X8)*$X$7-INT(I6/$X8)*$X$7-J9-J10)</f>
        <v>0</v>
      </c>
      <c r="K8" s="153" t="n">
        <f aca="false">(INT(K6/$X8)*$X$7-INT(J6/$X8)*$X$7-K9-K10)</f>
        <v>0</v>
      </c>
      <c r="L8" s="153" t="n">
        <f aca="false">(INT(L6/$X8)*$X$7-INT(K6/$X8)*$X$7-L9-L10)</f>
        <v>0</v>
      </c>
      <c r="M8" s="153" t="n">
        <f aca="false">(INT(M6/$X8)*$X$7-INT(L6/$X8)*$X$7-M9-M10)</f>
        <v>0</v>
      </c>
      <c r="N8" s="153" t="n">
        <f aca="false">(INT(N6/$X8)*$X$7-INT(M6/$X8)*$X$7-N9-N10)</f>
        <v>0</v>
      </c>
      <c r="O8" s="153" t="n">
        <f aca="false">(INT(O6/$X8)*$X$7-INT(N6/$X8)*$X$7-O9-O10)</f>
        <v>0</v>
      </c>
      <c r="P8" s="153" t="n">
        <f aca="false">(INT(P6/$X8)*$X$7-INT(O6/$X8)*$X$7-P9-P10)</f>
        <v>0</v>
      </c>
      <c r="Q8" s="153" t="n">
        <f aca="false">(INT(Q6/$X8)*$X$7-INT(P6/$X8)*$X$7-Q9-Q10)</f>
        <v>0</v>
      </c>
      <c r="R8" s="153" t="n">
        <f aca="false">(INT(R6/$X8)*$X$7-INT(Q6/$X8)*$X$7-R9-R10)</f>
        <v>0</v>
      </c>
      <c r="S8" s="153" t="n">
        <f aca="false">(INT(S6/$X8)*$X$7-INT(R6/$X8)*$X$7-S9-S10)</f>
        <v>0</v>
      </c>
      <c r="T8" s="153" t="n">
        <f aca="false">(INT(T6/$X8)*$X$7-INT(S6/$X8)*$X$7-T9-T10)</f>
        <v>0</v>
      </c>
      <c r="U8" s="153" t="n">
        <f aca="false">(INT(U6/$X8)*$X$7-INT(T6/$X8)*$X$7-U9-U10)</f>
        <v>0</v>
      </c>
      <c r="V8" s="380" t="n">
        <f aca="false">(INT(V6/$X8)*$X$7-INT(U6/$X8)*$X$7-V9-V10)</f>
        <v>0</v>
      </c>
      <c r="W8" s="787" t="s">
        <v>1384</v>
      </c>
      <c r="X8" s="788" t="n">
        <f aca="false">IF($AD$6=1,'GTDB(6B)'!B12,'GTDB(6B)'!H12)</f>
        <v>12000</v>
      </c>
      <c r="Y8" s="785"/>
      <c r="Z8" s="785"/>
    </row>
    <row r="9" customFormat="false" ht="12.75" hidden="false" customHeight="false" outlineLevel="0" collapsed="false">
      <c r="A9" s="153" t="s">
        <v>1385</v>
      </c>
      <c r="B9" s="153" t="n">
        <v>0</v>
      </c>
      <c r="C9" s="153" t="n">
        <f aca="false">(INT(C6/$X9)-INT(B6/$X9))*$X$7-C10</f>
        <v>0</v>
      </c>
      <c r="D9" s="153" t="n">
        <f aca="false">(INT(D6/$X9)-INT(C6/$X9))*$X$7-D10</f>
        <v>0</v>
      </c>
      <c r="E9" s="153" t="n">
        <f aca="false">(INT(E6/$X9)-INT(D6/$X9))*$X$7-E10</f>
        <v>0</v>
      </c>
      <c r="F9" s="153" t="n">
        <f aca="false">(INT(F6/$X9)-INT(E6/$X9))*$X$7-F10</f>
        <v>0</v>
      </c>
      <c r="G9" s="153" t="n">
        <f aca="false">(INT(G6/$X9)-INT(F6/$X9))*$X$7-G10</f>
        <v>0</v>
      </c>
      <c r="H9" s="153" t="n">
        <f aca="false">(INT(H6/$X9)-INT(G6/$X9))*$X$7-H10</f>
        <v>0</v>
      </c>
      <c r="I9" s="153" t="n">
        <f aca="false">(INT(I6/$X9)-INT(H6/$X9))*$X$7-I10</f>
        <v>0</v>
      </c>
      <c r="J9" s="153" t="n">
        <f aca="false">(INT(J6/$X9)-INT(I6/$X9))*$X$7-J10</f>
        <v>0</v>
      </c>
      <c r="K9" s="153" t="n">
        <f aca="false">(INT(K6/$X9)-INT(J6/$X9))*$X$7-K10</f>
        <v>0</v>
      </c>
      <c r="L9" s="153" t="n">
        <f aca="false">(INT(L6/$X9)-INT(K6/$X9))*$X$7-L10</f>
        <v>0</v>
      </c>
      <c r="M9" s="153" t="n">
        <f aca="false">(INT(M6/$X9)-INT(L6/$X9))*$X$7-M10</f>
        <v>0</v>
      </c>
      <c r="N9" s="153" t="n">
        <f aca="false">(INT(N6/$X9)-INT(M6/$X9))*$X$7-N10</f>
        <v>0</v>
      </c>
      <c r="O9" s="153" t="n">
        <f aca="false">(INT(O6/$X9)-INT(N6/$X9))*$X$7-O10</f>
        <v>0</v>
      </c>
      <c r="P9" s="153" t="n">
        <f aca="false">(INT(P6/$X9)-INT(O6/$X9))*$X$7-P10</f>
        <v>0</v>
      </c>
      <c r="Q9" s="153" t="n">
        <f aca="false">(INT(Q6/$X9)-INT(P6/$X9))*$X$7-Q10</f>
        <v>0</v>
      </c>
      <c r="R9" s="153" t="n">
        <f aca="false">(INT(R6/$X9)-INT(Q6/$X9))*$X$7-R10</f>
        <v>0</v>
      </c>
      <c r="S9" s="153" t="n">
        <f aca="false">(INT(S6/$X9)-INT(R6/$X9))*$X$7-S10</f>
        <v>0</v>
      </c>
      <c r="T9" s="153" t="n">
        <f aca="false">(INT(T6/$X9)-INT(S6/$X9))*$X$7-T10</f>
        <v>0</v>
      </c>
      <c r="U9" s="153" t="n">
        <f aca="false">(INT(U6/$X9)-INT(T6/$X9))*$X$7-U10</f>
        <v>0</v>
      </c>
      <c r="V9" s="380" t="n">
        <f aca="false">(INT(V6/$X9)-INT(U6/$X9))*$X$7-V10</f>
        <v>0</v>
      </c>
      <c r="W9" s="789" t="s">
        <v>1386</v>
      </c>
      <c r="X9" s="788" t="n">
        <f aca="false">IF($AD$6=1,'GTDB(6B)'!B13,'GTDB(6B)'!H13)</f>
        <v>24000</v>
      </c>
      <c r="Y9" s="785"/>
      <c r="Z9" s="785"/>
    </row>
    <row r="10" customFormat="false" ht="12.75" hidden="false" customHeight="false" outlineLevel="0" collapsed="false">
      <c r="A10" s="153" t="s">
        <v>1387</v>
      </c>
      <c r="B10" s="153" t="n">
        <v>0</v>
      </c>
      <c r="C10" s="153" t="n">
        <f aca="false">(INT(C6/$X10)-INT(B6/$X10))*$X$7</f>
        <v>0</v>
      </c>
      <c r="D10" s="153" t="n">
        <f aca="false">(INT(D6/$X10)-INT(C6/$X10))*$X$7</f>
        <v>0</v>
      </c>
      <c r="E10" s="153" t="n">
        <f aca="false">(INT(E6/$X10)-INT(D6/$X10))*$X$7</f>
        <v>0</v>
      </c>
      <c r="F10" s="153" t="n">
        <f aca="false">(INT(F6/$X10)-INT(E6/$X10))*$X$7</f>
        <v>0</v>
      </c>
      <c r="G10" s="153" t="n">
        <f aca="false">(INT(G6/$X10)-INT(F6/$X10))*$X$7</f>
        <v>0</v>
      </c>
      <c r="H10" s="153" t="n">
        <f aca="false">(INT(H6/$X10)-INT(G6/$X10))*$X$7</f>
        <v>0</v>
      </c>
      <c r="I10" s="153" t="n">
        <f aca="false">(INT(I6/$X10)-INT(H6/$X10))*$X$7</f>
        <v>0</v>
      </c>
      <c r="J10" s="153" t="n">
        <f aca="false">(INT(J6/$X10)-INT(I6/$X10))*$X$7</f>
        <v>0</v>
      </c>
      <c r="K10" s="153" t="n">
        <f aca="false">(INT(K6/$X10)-INT(J6/$X10))*$X$7</f>
        <v>0</v>
      </c>
      <c r="L10" s="153" t="n">
        <f aca="false">(INT(L6/$X10)-INT(K6/$X10))*$X$7</f>
        <v>0</v>
      </c>
      <c r="M10" s="153" t="n">
        <f aca="false">(INT(M6/$X10)-INT(L6/$X10))*$X$7</f>
        <v>0</v>
      </c>
      <c r="N10" s="153" t="n">
        <f aca="false">(INT(N6/$X10)-INT(M6/$X10))*$X$7</f>
        <v>0</v>
      </c>
      <c r="O10" s="153" t="n">
        <f aca="false">(INT(O6/$X10)-INT(N6/$X10))*$X$7</f>
        <v>0</v>
      </c>
      <c r="P10" s="153" t="n">
        <f aca="false">(INT(P6/$X10)-INT(O6/$X10))*$X$7</f>
        <v>0</v>
      </c>
      <c r="Q10" s="153" t="n">
        <f aca="false">(INT(Q6/$X10)-INT(P6/$X10))*$X$7</f>
        <v>0</v>
      </c>
      <c r="R10" s="153" t="n">
        <f aca="false">(INT(R6/$X10)-INT(Q6/$X10))*$X$7</f>
        <v>0</v>
      </c>
      <c r="S10" s="153" t="n">
        <f aca="false">(INT(S6/$X10)-INT(R6/$X10))*$X$7</f>
        <v>0</v>
      </c>
      <c r="T10" s="153" t="n">
        <f aca="false">(INT(T6/$X10)-INT(S6/$X10))*$X$7</f>
        <v>0</v>
      </c>
      <c r="U10" s="153" t="n">
        <f aca="false">(INT(U6/$X10)-INT(T6/$X10))*$X$7</f>
        <v>0</v>
      </c>
      <c r="V10" s="380" t="n">
        <f aca="false">(INT(V6/$X10)-INT(U6/$X10))*$X$7</f>
        <v>0</v>
      </c>
      <c r="W10" s="789" t="s">
        <v>1388</v>
      </c>
      <c r="X10" s="788" t="n">
        <f aca="false">IF($AD$6=1,'GTDB(6B)'!B14,'GTDB(6B)'!H14)</f>
        <v>48000</v>
      </c>
      <c r="Y10" s="785"/>
      <c r="Z10" s="785"/>
      <c r="AA10" s="0" t="s">
        <v>1007</v>
      </c>
    </row>
    <row r="11" customFormat="false" ht="11.25" hidden="false" customHeight="true" outlineLevel="0" collapsed="false">
      <c r="A11" s="157"/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790"/>
      <c r="X11" s="791"/>
      <c r="Y11" s="785"/>
      <c r="Z11" s="785"/>
      <c r="AF11" s="792"/>
    </row>
    <row r="12" customFormat="false" ht="12.75" hidden="true" customHeight="false" outlineLevel="0" collapsed="false">
      <c r="A12" s="153" t="s">
        <v>1383</v>
      </c>
      <c r="B12" s="153"/>
      <c r="C12" s="153" t="str">
        <f aca="false">IF(C8=0," ",IF(C8/$X$7=1,"C",C8/$X$7&amp;"C"))</f>
        <v> </v>
      </c>
      <c r="D12" s="153" t="str">
        <f aca="false">IF(D8=0," ",IF(D8/$X$7=1,"C",D8/$X$7&amp;"C"))</f>
        <v> </v>
      </c>
      <c r="E12" s="153" t="str">
        <f aca="false">IF(E8=0," ",IF(E8/$X$7=1,"C",E8/$X$7&amp;"C"))</f>
        <v> </v>
      </c>
      <c r="F12" s="153" t="str">
        <f aca="false">IF(F8=0," ",IF(F8/$X$7=1,"C",F8/$X$7&amp;"C"))</f>
        <v> </v>
      </c>
      <c r="G12" s="153" t="str">
        <f aca="false">IF(G8=0," ",IF(G8/$X$7=1,"C",G8/$X$7&amp;"C"))</f>
        <v> </v>
      </c>
      <c r="H12" s="153" t="str">
        <f aca="false">IF(H8=0," ",IF(H8/$X$7=1,"C",H8/$X$7&amp;"C"))</f>
        <v> </v>
      </c>
      <c r="I12" s="153" t="str">
        <f aca="false">IF(I8=0," ",IF(I8/$X$7=1,"C",I8/$X$7&amp;"C"))</f>
        <v> </v>
      </c>
      <c r="J12" s="153" t="str">
        <f aca="false">IF(J8=0," ",IF(J8/$X$7=1,"C",J8/$X$7&amp;"C"))</f>
        <v> </v>
      </c>
      <c r="K12" s="153" t="str">
        <f aca="false">IF(K8=0," ",IF(K8/$X$7=1,"C",K8/$X$7&amp;"C"))</f>
        <v> </v>
      </c>
      <c r="L12" s="153" t="str">
        <f aca="false">IF(L8=0," ",IF(L8/$X$7=1,"C",L8/$X$7&amp;"C"))</f>
        <v> </v>
      </c>
      <c r="M12" s="153" t="str">
        <f aca="false">IF(M8=0," ",IF(M8/$X$7=1,"C",M8/$X$7&amp;"C"))</f>
        <v> </v>
      </c>
      <c r="N12" s="153" t="str">
        <f aca="false">IF(N8=0," ",IF(N8/$X$7=1,"C",N8/$X$7&amp;"C"))</f>
        <v> </v>
      </c>
      <c r="O12" s="153" t="str">
        <f aca="false">IF(O8=0," ",IF(O8/$X$7=1,"C",O8/$X$7&amp;"C"))</f>
        <v> </v>
      </c>
      <c r="P12" s="153" t="str">
        <f aca="false">IF(P8=0," ",IF(P8/$X$7=1,"C",P8/$X$7&amp;"C"))</f>
        <v> </v>
      </c>
      <c r="Q12" s="153" t="str">
        <f aca="false">IF(Q8=0," ",IF(Q8/$X$7=1,"C",Q8/$X$7&amp;"C"))</f>
        <v> </v>
      </c>
      <c r="R12" s="153" t="str">
        <f aca="false">IF(R8=0," ",IF(R8/$X$7=1,"C",R8/$X$7&amp;"C"))</f>
        <v> </v>
      </c>
      <c r="S12" s="153" t="str">
        <f aca="false">IF(S8=0," ",IF(S8/$X$7=1,"C",S8/$X$7&amp;"C"))</f>
        <v> </v>
      </c>
      <c r="T12" s="153" t="str">
        <f aca="false">IF(T8=0," ",IF(T8/$X$7=1,"C",T8/$X$7&amp;"C"))</f>
        <v> </v>
      </c>
      <c r="U12" s="153" t="str">
        <f aca="false">IF(U8=0," ",IF(U8/$X$7=1,"C",U8/$X$7&amp;"C"))</f>
        <v> </v>
      </c>
      <c r="V12" s="153" t="str">
        <f aca="false">IF(V8=0," ",IF(V8/$X$7=1,"C",V8/$X$7&amp;"C"))</f>
        <v> </v>
      </c>
      <c r="W12" s="518"/>
      <c r="X12" s="793"/>
      <c r="Y12" s="794"/>
      <c r="Z12" s="794"/>
    </row>
    <row r="13" customFormat="false" ht="12.75" hidden="true" customHeight="false" outlineLevel="0" collapsed="false">
      <c r="A13" s="153" t="s">
        <v>1385</v>
      </c>
      <c r="B13" s="153"/>
      <c r="C13" s="153" t="str">
        <f aca="false">IF(C9=0," ",IF(C9/$X$7=1,"H",C9/$X$7&amp;"H"))</f>
        <v> </v>
      </c>
      <c r="D13" s="153" t="str">
        <f aca="false">IF(D9=0," ",IF(D9/$X$7=1,"H",D9/$X$7&amp;"H"))</f>
        <v> </v>
      </c>
      <c r="E13" s="153" t="str">
        <f aca="false">IF(E9=0," ",IF(E9/$X$7=1,"H",E9/$X$7&amp;"H"))</f>
        <v> </v>
      </c>
      <c r="F13" s="153" t="str">
        <f aca="false">IF(F9=0," ",IF(F9/$X$7=1,"H",F9/$X$7&amp;"H"))</f>
        <v> </v>
      </c>
      <c r="G13" s="153" t="str">
        <f aca="false">IF(G9=0," ",IF(G9/$X$7=1,"H",G9/$X$7&amp;"H"))</f>
        <v> </v>
      </c>
      <c r="H13" s="153" t="str">
        <f aca="false">IF(H9=0," ",IF(H9/$X$7=1,"H",H9/$X$7&amp;"H"))</f>
        <v> </v>
      </c>
      <c r="I13" s="153" t="str">
        <f aca="false">IF(I9=0," ",IF(I9/$X$7=1,"H",I9/$X$7&amp;"H"))</f>
        <v> </v>
      </c>
      <c r="J13" s="153" t="str">
        <f aca="false">IF(J9=0," ",IF(J9/$X$7=1,"H",J9/$X$7&amp;"H"))</f>
        <v> </v>
      </c>
      <c r="K13" s="153" t="str">
        <f aca="false">IF(K9=0," ",IF(K9/$X$7=1,"H",K9/$X$7&amp;"H"))</f>
        <v> </v>
      </c>
      <c r="L13" s="153" t="str">
        <f aca="false">IF(L9=0," ",IF(L9/$X$7=1,"H",L9/$X$7&amp;"H"))</f>
        <v> </v>
      </c>
      <c r="M13" s="153" t="str">
        <f aca="false">IF(M9=0," ",IF(M9/$X$7=1,"H",M9/$X$7&amp;"H"))</f>
        <v> </v>
      </c>
      <c r="N13" s="153" t="str">
        <f aca="false">IF(N9=0," ",IF(N9/$X$7=1,"H",N9/$X$7&amp;"H"))</f>
        <v> </v>
      </c>
      <c r="O13" s="153" t="str">
        <f aca="false">IF(O9=0," ",IF(O9/$X$7=1,"H",O9/$X$7&amp;"H"))</f>
        <v> </v>
      </c>
      <c r="P13" s="153" t="str">
        <f aca="false">IF(P9=0," ",IF(P9/$X$7=1,"H",P9/$X$7&amp;"H"))</f>
        <v> </v>
      </c>
      <c r="Q13" s="153" t="str">
        <f aca="false">IF(Q9=0," ",IF(Q9/$X$7=1,"H",Q9/$X$7&amp;"H"))</f>
        <v> </v>
      </c>
      <c r="R13" s="153" t="str">
        <f aca="false">IF(R9=0," ",IF(R9/$X$7=1,"H",R9/$X$7&amp;"H"))</f>
        <v> </v>
      </c>
      <c r="S13" s="153" t="str">
        <f aca="false">IF(S9=0," ",IF(S9/$X$7=1,"H",S9/$X$7&amp;"H"))</f>
        <v> </v>
      </c>
      <c r="T13" s="153" t="str">
        <f aca="false">IF(T9=0," ",IF(T9/$X$7=1,"H",T9/$X$7&amp;"H"))</f>
        <v> </v>
      </c>
      <c r="U13" s="153" t="str">
        <f aca="false">IF(U9=0," ",IF(U9/$X$7=1,"H",U9/$X$7&amp;"H"))</f>
        <v> </v>
      </c>
      <c r="V13" s="153" t="str">
        <f aca="false">IF(V9=0," ",IF(V9/$X$7=1,"H",V9/$X$7&amp;"H"))</f>
        <v> </v>
      </c>
      <c r="W13" s="518"/>
      <c r="X13" s="793"/>
      <c r="Y13" s="794"/>
      <c r="Z13" s="794"/>
    </row>
    <row r="14" customFormat="false" ht="12.75" hidden="true" customHeight="true" outlineLevel="0" collapsed="false">
      <c r="A14" s="153" t="s">
        <v>1387</v>
      </c>
      <c r="B14" s="153"/>
      <c r="C14" s="153" t="str">
        <f aca="false">IF(C10=0," ",IF(C10/$X$7=1,"M",C10/$X$7&amp;"M"))</f>
        <v> </v>
      </c>
      <c r="D14" s="153" t="str">
        <f aca="false">IF(D10=0," ",IF(D10/$X$7=1,"M",D10/$X$7&amp;"M"))</f>
        <v> </v>
      </c>
      <c r="E14" s="153" t="str">
        <f aca="false">IF(E10=0," ",IF(E10/$X$7=1,"M",E10/$X$7&amp;"M"))</f>
        <v> </v>
      </c>
      <c r="F14" s="153" t="str">
        <f aca="false">IF(F10=0," ",IF(F10/$X$7=1,"M",F10/$X$7&amp;"M"))</f>
        <v> </v>
      </c>
      <c r="G14" s="153" t="str">
        <f aca="false">IF(G10=0," ",IF(G10/$X$7=1,"M",G10/$X$7&amp;"M"))</f>
        <v> </v>
      </c>
      <c r="H14" s="153" t="str">
        <f aca="false">IF(H10=0," ",IF(H10/$X$7=1,"M",H10/$X$7&amp;"M"))</f>
        <v> </v>
      </c>
      <c r="I14" s="153" t="str">
        <f aca="false">IF(I10=0," ",IF(I10/$X$7=1,"M",I10/$X$7&amp;"M"))</f>
        <v> </v>
      </c>
      <c r="J14" s="153" t="str">
        <f aca="false">IF(J10=0," ",IF(J10/$X$7=1,"M",J10/$X$7&amp;"M"))</f>
        <v> </v>
      </c>
      <c r="K14" s="153" t="str">
        <f aca="false">IF(K10=0," ",IF(K10/$X$7=1,"M",K10/$X$7&amp;"M"))</f>
        <v> </v>
      </c>
      <c r="L14" s="153" t="str">
        <f aca="false">IF(L10=0," ",IF(L10/$X$7=1,"M",L10/$X$7&amp;"M"))</f>
        <v> </v>
      </c>
      <c r="M14" s="153" t="str">
        <f aca="false">IF(M10=0," ",IF(M10/$X$7=1,"M",M10/$X$7&amp;"M"))</f>
        <v> </v>
      </c>
      <c r="N14" s="153" t="str">
        <f aca="false">IF(N10=0," ",IF(N10/$X$7=1,"M",N10/$X$7&amp;"M"))</f>
        <v> </v>
      </c>
      <c r="O14" s="153" t="str">
        <f aca="false">IF(O10=0," ",IF(O10/$X$7=1,"M",O10/$X$7&amp;"M"))</f>
        <v> </v>
      </c>
      <c r="P14" s="153" t="str">
        <f aca="false">IF(P10=0," ",IF(P10/$X$7=1,"M",P10/$X$7&amp;"M"))</f>
        <v> </v>
      </c>
      <c r="Q14" s="153" t="str">
        <f aca="false">IF(Q10=0," ",IF(Q10/$X$7=1,"M",Q10/$X$7&amp;"M"))</f>
        <v> </v>
      </c>
      <c r="R14" s="153" t="str">
        <f aca="false">IF(R10=0," ",IF(R10/$X$7=1,"M",R10/$X$7&amp;"M"))</f>
        <v> </v>
      </c>
      <c r="S14" s="153" t="str">
        <f aca="false">IF(S10=0," ",IF(S10/$X$7=1,"M",S10/$X$7&amp;"M"))</f>
        <v> </v>
      </c>
      <c r="T14" s="153" t="str">
        <f aca="false">IF(T10=0," ",IF(T10/$X$7=1,"M",T10/$X$7&amp;"M"))</f>
        <v> </v>
      </c>
      <c r="U14" s="153" t="str">
        <f aca="false">IF(U10=0," ",IF(U10/$X$7=1,"M",U10/$X$7&amp;"M"))</f>
        <v> </v>
      </c>
      <c r="V14" s="153" t="str">
        <f aca="false">IF(V10=0," ",IF(V10/$X$7=1,"M",V10/$X$7&amp;"M"))</f>
        <v> </v>
      </c>
      <c r="W14" s="108" t="s">
        <v>1007</v>
      </c>
    </row>
    <row r="15" customFormat="false" ht="36.75" hidden="true" customHeight="true" outlineLevel="0" collapsed="false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795"/>
      <c r="W15" s="796" t="s">
        <v>1389</v>
      </c>
      <c r="X15" s="797" t="s">
        <v>1390</v>
      </c>
      <c r="Y15" s="797" t="s">
        <v>1391</v>
      </c>
      <c r="Z15" s="797" t="s">
        <v>1392</v>
      </c>
      <c r="AA15" s="798" t="s">
        <v>1393</v>
      </c>
      <c r="AB15" s="797" t="s">
        <v>1394</v>
      </c>
    </row>
    <row r="16" customFormat="false" ht="12.75" hidden="true" customHeight="false" outlineLevel="0" collapsed="false">
      <c r="A16" s="153" t="s">
        <v>1395</v>
      </c>
      <c r="B16" s="511"/>
      <c r="C16" s="153" t="n">
        <f aca="false">INT((INT(C$6/$X17)*$X$7+$X$7+$Z17-1)/($X$7+$Z17)/$Y17)</f>
        <v>0</v>
      </c>
      <c r="D16" s="153" t="n">
        <f aca="false">INT((INT(D$6/$X17)*$X$7+$X$7+$Z17-1)/($X$7+$Z17)/$Y17)</f>
        <v>0</v>
      </c>
      <c r="E16" s="153" t="n">
        <f aca="false">INT((INT(E$6/$X17)*$X$7+$X$7+$Z17-1)/($X$7+$Z17)/$Y17)</f>
        <v>0</v>
      </c>
      <c r="F16" s="153" t="n">
        <f aca="false">INT((INT(F$6/$X17)*$X$7+$X$7+$Z17-1)/($X$7+$Z17)/$Y17)</f>
        <v>0</v>
      </c>
      <c r="G16" s="153" t="n">
        <f aca="false">INT((INT(G$6/$X17)*$X$7+$X$7+$Z17-1)/($X$7+$Z17)/$Y17)</f>
        <v>0</v>
      </c>
      <c r="H16" s="153" t="n">
        <f aca="false">INT((INT(H$6/$X17)*$X$7+$X$7+$Z17-1)/($X$7+$Z17)/$Y17)</f>
        <v>0</v>
      </c>
      <c r="I16" s="153" t="n">
        <f aca="false">INT((INT(I$6/$X17)*$X$7+$X$7+$Z17-1)/($X$7+$Z17)/$Y17)</f>
        <v>0</v>
      </c>
      <c r="J16" s="153" t="n">
        <f aca="false">INT((INT(J$6/$X17)*$X$7+$X$7+$Z17-1)/($X$7+$Z17)/$Y17)</f>
        <v>0</v>
      </c>
      <c r="K16" s="153" t="n">
        <f aca="false">INT((INT(K$6/$X17)*$X$7+$X$7+$Z17-1)/($X$7+$Z17)/$Y17)</f>
        <v>0</v>
      </c>
      <c r="L16" s="153" t="n">
        <f aca="false">INT((INT(L$6/$X17)*$X$7+$X$7+$Z17-1)/($X$7+$Z17)/$Y17)</f>
        <v>0</v>
      </c>
      <c r="M16" s="153" t="n">
        <f aca="false">INT((INT(M$6/$X17)*$X$7+$X$7+$Z17-1)/($X$7+$Z17)/$Y17)</f>
        <v>0</v>
      </c>
      <c r="N16" s="153" t="n">
        <f aca="false">INT((INT(N$6/$X17)*$X$7+$X$7+$Z17-1)/($X$7+$Z17)/$Y17)</f>
        <v>0</v>
      </c>
      <c r="O16" s="153" t="n">
        <f aca="false">INT((INT(O$6/$X17)*$X$7+$X$7+$Z17-1)/($X$7+$Z17)/$Y17)</f>
        <v>0</v>
      </c>
      <c r="P16" s="153" t="n">
        <f aca="false">INT((INT(P$6/$X17)*$X$7+$X$7+$Z17-1)/($X$7+$Z17)/$Y17)</f>
        <v>0</v>
      </c>
      <c r="Q16" s="153" t="n">
        <f aca="false">INT((INT(Q$6/$X17)*$X$7+$X$7+$Z17-1)/($X$7+$Z17)/$Y17)</f>
        <v>0</v>
      </c>
      <c r="R16" s="153" t="n">
        <f aca="false">INT((INT(R$6/$X17)*$X$7+$X$7+$Z17-1)/($X$7+$Z17)/$Y17)</f>
        <v>0</v>
      </c>
      <c r="S16" s="153" t="n">
        <f aca="false">INT((INT(S$6/$X17)*$X$7+$X$7+$Z17-1)/($X$7+$Z17)/$Y17)</f>
        <v>0</v>
      </c>
      <c r="T16" s="153" t="n">
        <f aca="false">INT((INT(T$6/$X17)*$X$7+$X$7+$Z17-1)/($X$7+$Z17)/$Y17)</f>
        <v>0</v>
      </c>
      <c r="U16" s="153" t="n">
        <f aca="false">INT((INT(U$6/$X17)*$X$7+$X$7+$Z17-1)/($X$7+$Z17)/$Y17)</f>
        <v>0</v>
      </c>
      <c r="V16" s="153" t="n">
        <f aca="false">INT((INT(V$6/$X17)*$X$7+$X$7+$Z17-1)/($X$7+$Z17)/$Y17)</f>
        <v>0</v>
      </c>
      <c r="AB16" s="153"/>
    </row>
    <row r="17" customFormat="false" ht="12.75" hidden="false" customHeight="false" outlineLevel="0" collapsed="false">
      <c r="A17" s="153" t="s">
        <v>1396</v>
      </c>
      <c r="B17" s="511" t="s">
        <v>1007</v>
      </c>
      <c r="C17" s="511" t="n">
        <f aca="false">IF($Y17=1,0,$X$7*(INT(C$6/$X17)-INT(B$6/$X17))-IF(SUM($B17:B17)&gt;0,C18,0))</f>
        <v>0</v>
      </c>
      <c r="D17" s="511" t="n">
        <f aca="false">IF($Y17=1,0,$X$7*(INT(D$6/$X17)-INT(C$6/$X17))-IF(SUM($B17:C17)&gt;0,D18,0))</f>
        <v>0</v>
      </c>
      <c r="E17" s="511" t="n">
        <f aca="false">IF($Y17=1,0,$X$7*(INT(E$6/$X17)-INT(D$6/$X17))-IF(SUM($B17:D17)&gt;0,E18,0))</f>
        <v>0</v>
      </c>
      <c r="F17" s="511" t="n">
        <f aca="false">IF($Y17=1,0,$X$7*(INT(F$6/$X17)-INT(E$6/$X17))-IF(SUM($B17:E17)&gt;0,F18,0))</f>
        <v>0</v>
      </c>
      <c r="G17" s="511" t="n">
        <f aca="false">IF($Y17=1,0,$X$7*(INT(G$6/$X17)-INT(F$6/$X17))-IF(SUM($B17:F17)&gt;0,G18,0))</f>
        <v>0</v>
      </c>
      <c r="H17" s="511" t="n">
        <f aca="false">IF($Y17=1,0,$X$7*(INT(H$6/$X17)-INT(G$6/$X17))-IF(SUM($B17:G17)&gt;0,H18,0))</f>
        <v>0</v>
      </c>
      <c r="I17" s="511" t="n">
        <f aca="false">IF($Y17=1,0,$X$7*(INT(I$6/$X17)-INT(H$6/$X17))-IF(SUM($B17:H17)&gt;0,I18,0))</f>
        <v>0</v>
      </c>
      <c r="J17" s="511" t="n">
        <f aca="false">IF($Y17=1,0,$X$7*(INT(J$6/$X17)-INT(I$6/$X17))-IF(SUM($B17:I17)&gt;0,J18,0))</f>
        <v>0</v>
      </c>
      <c r="K17" s="511" t="n">
        <f aca="false">IF($Y17=1,0,$X$7*(INT(K$6/$X17)-INT(J$6/$X17))-IF(SUM($B17:J17)&gt;0,K18,0))</f>
        <v>0</v>
      </c>
      <c r="L17" s="511" t="n">
        <f aca="false">IF($Y17=1,0,$X$7*(INT(L$6/$X17)-INT(K$6/$X17))-IF(SUM($B17:K17)&gt;0,L18,0))</f>
        <v>0</v>
      </c>
      <c r="M17" s="511" t="n">
        <f aca="false">IF($Y17=1,0,$X$7*(INT(M$6/$X17)-INT(L$6/$X17))-IF(SUM($B17:L17)&gt;0,M18,0))</f>
        <v>0</v>
      </c>
      <c r="N17" s="511" t="n">
        <f aca="false">IF($Y17=1,0,$X$7*(INT(N$6/$X17)-INT(M$6/$X17))-IF(SUM($B17:M17)&gt;0,N18,0))</f>
        <v>0</v>
      </c>
      <c r="O17" s="511" t="n">
        <f aca="false">IF($Y17=1,0,$X$7*(INT(O$6/$X17)-INT(N$6/$X17))-IF(SUM($B17:N17)&gt;0,O18,0))</f>
        <v>0</v>
      </c>
      <c r="P17" s="511" t="n">
        <f aca="false">IF($Y17=1,0,$X$7*(INT(P$6/$X17)-INT(O$6/$X17))-IF(SUM($B17:O17)&gt;0,P18,0))</f>
        <v>0</v>
      </c>
      <c r="Q17" s="511" t="n">
        <f aca="false">IF($Y17=1,0,$X$7*(INT(Q$6/$X17)-INT(P$6/$X17))-IF(SUM($B17:P17)&gt;0,Q18,0))</f>
        <v>0</v>
      </c>
      <c r="R17" s="511" t="n">
        <f aca="false">IF($Y17=1,0,$X$7*(INT(R$6/$X17)-INT(Q$6/$X17))-IF(SUM($B17:Q17)&gt;0,R18,0))</f>
        <v>0</v>
      </c>
      <c r="S17" s="511" t="n">
        <f aca="false">IF($Y17=1,0,$X$7*(INT(S$6/$X17)-INT(R$6/$X17))-IF(SUM($B17:R17)&gt;0,S18,0))</f>
        <v>0</v>
      </c>
      <c r="T17" s="511" t="n">
        <f aca="false">IF($Y17=1,0,$X$7*(INT(T$6/$X17)-INT(S$6/$X17))-IF(SUM($B17:S17)&gt;0,T18,0))</f>
        <v>0</v>
      </c>
      <c r="U17" s="511" t="n">
        <f aca="false">IF($Y17=1,0,$X$7*(INT(U$6/$X17)-INT(T$6/$X17))-IF(SUM($B17:T17)&gt;0,U18,0))</f>
        <v>0</v>
      </c>
      <c r="V17" s="511" t="n">
        <f aca="false">IF($Y17=1,0,$X$7*(INT(V$6/$X17)-INT(U$6/$X17))-IF(SUM($B17:U17)&gt;0,V18,0))</f>
        <v>0</v>
      </c>
      <c r="W17" s="799" t="str">
        <f aca="false">'GT schd cost(6B)'!A15</f>
        <v>FUEL NOZZLES</v>
      </c>
      <c r="X17" s="800" t="n">
        <f aca="false">IF($AD$6=1,'GTDB(6B)'!B17,'GTDB(6B)'!H17)</f>
        <v>12000</v>
      </c>
      <c r="Y17" s="800" t="n">
        <f aca="false">IF($AD$6=1,'GTDB(6B)'!C17,'GTDB(6B)'!I17)</f>
        <v>3</v>
      </c>
      <c r="Z17" s="801" t="n">
        <v>2</v>
      </c>
      <c r="AA17" s="861" t="n">
        <f aca="false">'Initial_Spares(6B)'!$D$11</f>
        <v>0</v>
      </c>
      <c r="AB17" s="764" t="n">
        <f aca="false">'GT schd cost(6B)'!X15+'GT schd cost(6B)'!X38</f>
        <v>26</v>
      </c>
    </row>
    <row r="18" customFormat="false" ht="12.75" hidden="false" customHeight="false" outlineLevel="0" collapsed="false">
      <c r="A18" s="153" t="s">
        <v>1397</v>
      </c>
      <c r="B18" s="511" t="s">
        <v>1007</v>
      </c>
      <c r="C18" s="511" t="n">
        <f aca="false">IF(INT(C$6/$X17)*$X$7&gt;C16*($X$7+$Z17)*$Y17,C16*($X$7+$Z17)-SUM($B18:B18),INT(C$6/$X17)*$X$7-C16*($X$7+$Z17)*($Y17-1)-SUM($B18:B18))+IF($Y17&gt;1,IF(INT(C$6/$X17)&gt;0,$Z17-$AA17,0),-$AA17)</f>
        <v>0</v>
      </c>
      <c r="D18" s="511" t="n">
        <f aca="false">IF(INT(D$6/$X17)*$X$7&gt;D16*($X$7+$Z17)*$Y17,D16*($X$7+$Z17)-SUM($B18:C18),INT(D$6/$X17)*$X$7-D16*($X$7+$Z17)*($Y17-1)-SUM($B18:C18))+IF($Y17&gt;1,IF(INT(D$6/$X17)&gt;0,$Z17-$AA17,0),-$AA17)</f>
        <v>2</v>
      </c>
      <c r="E18" s="511" t="n">
        <f aca="false">IF(INT(E$6/$X17)*$X$7&gt;E16*($X$7+$Z17)*$Y17,E16*($X$7+$Z17)-SUM($B18:D18),INT(E$6/$X17)*$X$7-E16*($X$7+$Z17)*($Y17-1)-SUM($B18:D18))+IF($Y17&gt;1,IF(INT(E$6/$X17)&gt;0,$Z17-$AA17,0),-$AA17)</f>
        <v>0</v>
      </c>
      <c r="F18" s="511" t="n">
        <f aca="false">IF(INT(F$6/$X17)*$X$7&gt;F16*($X$7+$Z17)*$Y17,F16*($X$7+$Z17)-SUM($B18:E18),INT(F$6/$X17)*$X$7-F16*($X$7+$Z17)*($Y17-1)-SUM($B18:E18))+IF($Y17&gt;1,IF(INT(F$6/$X17)&gt;0,$Z17-$AA17,0),-$AA17)</f>
        <v>0</v>
      </c>
      <c r="G18" s="511" t="n">
        <f aca="false">IF(INT(G$6/$X17)*$X$7&gt;G16*($X$7+$Z17)*$Y17,G16*($X$7+$Z17)-SUM($B18:F18),INT(G$6/$X17)*$X$7-G16*($X$7+$Z17)*($Y17-1)-SUM($B18:F18))+IF($Y17&gt;1,IF(INT(G$6/$X17)&gt;0,$Z17-$AA17,0),-$AA17)</f>
        <v>0</v>
      </c>
      <c r="H18" s="511" t="n">
        <f aca="false">IF(INT(H$6/$X17)*$X$7&gt;H16*($X$7+$Z17)*$Y17,H16*($X$7+$Z17)-SUM($B18:G18),INT(H$6/$X17)*$X$7-H16*($X$7+$Z17)*($Y17-1)-SUM($B18:G18))+IF($Y17&gt;1,IF(INT(H$6/$X17)&gt;0,$Z17-$AA17,0),-$AA17)</f>
        <v>0</v>
      </c>
      <c r="I18" s="511" t="n">
        <f aca="false">IF(INT(I$6/$X17)*$X$7&gt;I16*($X$7+$Z17)*$Y17,I16*($X$7+$Z17)-SUM($B18:H18),INT(I$6/$X17)*$X$7-I16*($X$7+$Z17)*($Y17-1)-SUM($B18:H18))+IF($Y17&gt;1,IF(INT(I$6/$X17)&gt;0,$Z17-$AA17,0),-$AA17)</f>
        <v>0</v>
      </c>
      <c r="J18" s="511" t="n">
        <f aca="false">IF(INT(J$6/$X17)*$X$7&gt;J16*($X$7+$Z17)*$Y17,J16*($X$7+$Z17)-SUM($B18:I18),INT(J$6/$X17)*$X$7-J16*($X$7+$Z17)*($Y17-1)-SUM($B18:I18))+IF($Y17&gt;1,IF(INT(J$6/$X17)&gt;0,$Z17-$AA17,0),-$AA17)</f>
        <v>0</v>
      </c>
      <c r="K18" s="511" t="n">
        <f aca="false">IF(INT(K$6/$X17)*$X$7&gt;K16*($X$7+$Z17)*$Y17,K16*($X$7+$Z17)-SUM($B18:J18),INT(K$6/$X17)*$X$7-K16*($X$7+$Z17)*($Y17-1)-SUM($B18:J18))+IF($Y17&gt;1,IF(INT(K$6/$X17)&gt;0,$Z17-$AA17,0),-$AA17)</f>
        <v>0</v>
      </c>
      <c r="L18" s="511" t="n">
        <f aca="false">IF(INT(L$6/$X17)*$X$7&gt;L16*($X$7+$Z17)*$Y17,L16*($X$7+$Z17)-SUM($B18:K18),INT(L$6/$X17)*$X$7-L16*($X$7+$Z17)*($Y17-1)-SUM($B18:K18))+IF($Y17&gt;1,IF(INT(L$6/$X17)&gt;0,$Z17-$AA17,0),-$AA17)</f>
        <v>0</v>
      </c>
      <c r="M18" s="511" t="n">
        <f aca="false">IF(INT(M$6/$X17)*$X$7&gt;M16*($X$7+$Z17)*$Y17,M16*($X$7+$Z17)-SUM($B18:L18),INT(M$6/$X17)*$X$7-M16*($X$7+$Z17)*($Y17-1)-SUM($B18:L18))+IF($Y17&gt;1,IF(INT(M$6/$X17)&gt;0,$Z17-$AA17,0),-$AA17)</f>
        <v>0</v>
      </c>
      <c r="N18" s="511" t="n">
        <f aca="false">IF(INT(N$6/$X17)*$X$7&gt;N16*($X$7+$Z17)*$Y17,N16*($X$7+$Z17)-SUM($B18:M18),INT(N$6/$X17)*$X$7-N16*($X$7+$Z17)*($Y17-1)-SUM($B18:M18))+IF($Y17&gt;1,IF(INT(N$6/$X17)&gt;0,$Z17-$AA17,0),-$AA17)</f>
        <v>0</v>
      </c>
      <c r="O18" s="511" t="n">
        <f aca="false">IF(INT(O$6/$X17)*$X$7&gt;O16*($X$7+$Z17)*$Y17,O16*($X$7+$Z17)-SUM($B18:N18),INT(O$6/$X17)*$X$7-O16*($X$7+$Z17)*($Y17-1)-SUM($B18:N18))+IF($Y17&gt;1,IF(INT(O$6/$X17)&gt;0,$Z17-$AA17,0),-$AA17)</f>
        <v>0</v>
      </c>
      <c r="P18" s="511" t="n">
        <f aca="false">IF(INT(P$6/$X17)*$X$7&gt;P16*($X$7+$Z17)*$Y17,P16*($X$7+$Z17)-SUM($B18:O18),INT(P$6/$X17)*$X$7-P16*($X$7+$Z17)*($Y17-1)-SUM($B18:O18))+IF($Y17&gt;1,IF(INT(P$6/$X17)&gt;0,$Z17-$AA17,0),-$AA17)</f>
        <v>0</v>
      </c>
      <c r="Q18" s="511" t="n">
        <f aca="false">IF(INT(Q$6/$X17)*$X$7&gt;Q16*($X$7+$Z17)*$Y17,Q16*($X$7+$Z17)-SUM($B18:P18),INT(Q$6/$X17)*$X$7-Q16*($X$7+$Z17)*($Y17-1)-SUM($B18:P18))+IF($Y17&gt;1,IF(INT(Q$6/$X17)&gt;0,$Z17-$AA17,0),-$AA17)</f>
        <v>0</v>
      </c>
      <c r="R18" s="511" t="n">
        <f aca="false">IF(INT(R$6/$X17)*$X$7&gt;R16*($X$7+$Z17)*$Y17,R16*($X$7+$Z17)-SUM($B18:Q18),INT(R$6/$X17)*$X$7-R16*($X$7+$Z17)*($Y17-1)-SUM($B18:Q18))+IF($Y17&gt;1,IF(INT(R$6/$X17)&gt;0,$Z17-$AA17,0),-$AA17)</f>
        <v>0</v>
      </c>
      <c r="S18" s="511" t="n">
        <f aca="false">IF(INT(S$6/$X17)*$X$7&gt;S16*($X$7+$Z17)*$Y17,S16*($X$7+$Z17)-SUM($B18:R18),INT(S$6/$X17)*$X$7-S16*($X$7+$Z17)*($Y17-1)-SUM($B18:R18))+IF($Y17&gt;1,IF(INT(S$6/$X17)&gt;0,$Z17-$AA17,0),-$AA17)</f>
        <v>0</v>
      </c>
      <c r="T18" s="511" t="n">
        <f aca="false">IF(INT(T$6/$X17)*$X$7&gt;T16*($X$7+$Z17)*$Y17,T16*($X$7+$Z17)-SUM($B18:S18),INT(T$6/$X17)*$X$7-T16*($X$7+$Z17)*($Y17-1)-SUM($B18:S18))+IF($Y17&gt;1,IF(INT(T$6/$X17)&gt;0,$Z17-$AA17,0),-$AA17)</f>
        <v>0</v>
      </c>
      <c r="U18" s="511" t="n">
        <f aca="false">IF(INT(U$6/$X17)*$X$7&gt;U16*($X$7+$Z17)*$Y17,U16*($X$7+$Z17)-SUM($B18:T18),INT(U$6/$X17)*$X$7-U16*($X$7+$Z17)*($Y17-1)-SUM($B18:T18))+IF($Y17&gt;1,IF(INT(U$6/$X17)&gt;0,$Z17-$AA17,0),-$AA17)</f>
        <v>0</v>
      </c>
      <c r="V18" s="511" t="n">
        <f aca="false">IF(INT(V$6/$X17)*$X$7&gt;V16*($X$7+$Z17)*$Y17,V16*($X$7+$Z17)-SUM($B18:U18),INT(V$6/$X17)*$X$7-V16*($X$7+$Z17)*($Y17-1)-SUM($B18:U18))+IF($Y17&gt;1,IF(INT(V$6/$X17)&gt;0,$Z17-$AA17,0),-$AA17)</f>
        <v>0</v>
      </c>
      <c r="W18" s="803"/>
    </row>
    <row r="19" customFormat="false" ht="12.75" hidden="false" customHeight="false" outlineLevel="0" collapsed="false"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803" t="s">
        <v>1007</v>
      </c>
      <c r="X19" s="0" t="s">
        <v>1007</v>
      </c>
    </row>
    <row r="20" customFormat="false" ht="12.75" hidden="true" customHeight="false" outlineLevel="0" collapsed="false">
      <c r="A20" s="153" t="s">
        <v>1395</v>
      </c>
      <c r="B20" s="511"/>
      <c r="C20" s="153" t="n">
        <f aca="false">INT((INT(C$6/$X21)*$X$7+$X$7+$Z21-1)/($X$7+$Z21)/$Y21)</f>
        <v>0</v>
      </c>
      <c r="D20" s="153" t="n">
        <f aca="false">INT((INT(D$6/$X21)*$X$7+$X$7+$Z21-1)/($X$7+$Z21)/$Y21)</f>
        <v>0</v>
      </c>
      <c r="E20" s="153" t="n">
        <f aca="false">INT((INT(E$6/$X21)*$X$7+$X$7+$Z21-1)/($X$7+$Z21)/$Y21)</f>
        <v>0</v>
      </c>
      <c r="F20" s="153" t="n">
        <f aca="false">INT((INT(F$6/$X21)*$X$7+$X$7+$Z21-1)/($X$7+$Z21)/$Y21)</f>
        <v>0</v>
      </c>
      <c r="G20" s="153" t="n">
        <f aca="false">INT((INT(G$6/$X21)*$X$7+$X$7+$Z21-1)/($X$7+$Z21)/$Y21)</f>
        <v>0</v>
      </c>
      <c r="H20" s="153" t="n">
        <f aca="false">INT((INT(H$6/$X21)*$X$7+$X$7+$Z21-1)/($X$7+$Z21)/$Y21)</f>
        <v>0</v>
      </c>
      <c r="I20" s="153" t="n">
        <f aca="false">INT((INT(I$6/$X21)*$X$7+$X$7+$Z21-1)/($X$7+$Z21)/$Y21)</f>
        <v>0</v>
      </c>
      <c r="J20" s="153" t="n">
        <f aca="false">INT((INT(J$6/$X21)*$X$7+$X$7+$Z21-1)/($X$7+$Z21)/$Y21)</f>
        <v>0</v>
      </c>
      <c r="K20" s="153" t="n">
        <f aca="false">INT((INT(K$6/$X21)*$X$7+$X$7+$Z21-1)/($X$7+$Z21)/$Y21)</f>
        <v>0</v>
      </c>
      <c r="L20" s="153" t="n">
        <f aca="false">INT((INT(L$6/$X21)*$X$7+$X$7+$Z21-1)/($X$7+$Z21)/$Y21)</f>
        <v>0</v>
      </c>
      <c r="M20" s="153" t="n">
        <f aca="false">INT((INT(M$6/$X21)*$X$7+$X$7+$Z21-1)/($X$7+$Z21)/$Y21)</f>
        <v>0</v>
      </c>
      <c r="N20" s="153" t="n">
        <f aca="false">INT((INT(N$6/$X21)*$X$7+$X$7+$Z21-1)/($X$7+$Z21)/$Y21)</f>
        <v>0</v>
      </c>
      <c r="O20" s="153" t="n">
        <f aca="false">INT((INT(O$6/$X21)*$X$7+$X$7+$Z21-1)/($X$7+$Z21)/$Y21)</f>
        <v>0</v>
      </c>
      <c r="P20" s="153" t="n">
        <f aca="false">INT((INT(P$6/$X21)*$X$7+$X$7+$Z21-1)/($X$7+$Z21)/$Y21)</f>
        <v>0</v>
      </c>
      <c r="Q20" s="153" t="n">
        <f aca="false">INT((INT(Q$6/$X21)*$X$7+$X$7+$Z21-1)/($X$7+$Z21)/$Y21)</f>
        <v>0</v>
      </c>
      <c r="R20" s="153" t="n">
        <f aca="false">INT((INT(R$6/$X21)*$X$7+$X$7+$Z21-1)/($X$7+$Z21)/$Y21)</f>
        <v>0</v>
      </c>
      <c r="S20" s="153" t="n">
        <f aca="false">INT((INT(S$6/$X21)*$X$7+$X$7+$Z21-1)/($X$7+$Z21)/$Y21)</f>
        <v>0</v>
      </c>
      <c r="T20" s="153" t="n">
        <f aca="false">INT((INT(T$6/$X21)*$X$7+$X$7+$Z21-1)/($X$7+$Z21)/$Y21)</f>
        <v>0</v>
      </c>
      <c r="U20" s="153" t="n">
        <f aca="false">INT((INT(U$6/$X21)*$X$7+$X$7+$Z21-1)/($X$7+$Z21)/$Y21)</f>
        <v>0</v>
      </c>
      <c r="V20" s="153" t="n">
        <f aca="false">INT((INT(V$6/$X21)*$X$7+$X$7+$Z21-1)/($X$7+$Z21)/$Y21)</f>
        <v>0</v>
      </c>
    </row>
    <row r="21" customFormat="false" ht="12.75" hidden="false" customHeight="false" outlineLevel="0" collapsed="false">
      <c r="A21" s="153" t="s">
        <v>1396</v>
      </c>
      <c r="B21" s="511" t="s">
        <v>1007</v>
      </c>
      <c r="C21" s="511" t="n">
        <f aca="false">IF($Y21=1,0,$X$7*(INT(C$6/$X21)-INT(B$6/$X21))-IF(SUM($B21:B21)&gt;0,C22,0))</f>
        <v>0</v>
      </c>
      <c r="D21" s="511" t="n">
        <f aca="false">IF($Y21=1,0,$X$7*(INT(D$6/$X21)-INT(C$6/$X21))-IF(SUM($B21:C21)&gt;0,D22,0))</f>
        <v>0</v>
      </c>
      <c r="E21" s="511" t="n">
        <f aca="false">IF($Y21=1,0,$X$7*(INT(E$6/$X21)-INT(D$6/$X21))-IF(SUM($B21:D21)&gt;0,E22,0))</f>
        <v>0</v>
      </c>
      <c r="F21" s="511" t="n">
        <f aca="false">IF($Y21=1,0,$X$7*(INT(F$6/$X21)-INT(E$6/$X21))-IF(SUM($B21:E21)&gt;0,F22,0))</f>
        <v>0</v>
      </c>
      <c r="G21" s="511" t="n">
        <f aca="false">IF($Y21=1,0,$X$7*(INT(G$6/$X21)-INT(F$6/$X21))-IF(SUM($B21:F21)&gt;0,G22,0))</f>
        <v>0</v>
      </c>
      <c r="H21" s="511" t="n">
        <f aca="false">IF($Y21=1,0,$X$7*(INT(H$6/$X21)-INT(G$6/$X21))-IF(SUM($B21:G21)&gt;0,H22,0))</f>
        <v>0</v>
      </c>
      <c r="I21" s="511" t="n">
        <f aca="false">IF($Y21=1,0,$X$7*(INT(I$6/$X21)-INT(H$6/$X21))-IF(SUM($B21:H21)&gt;0,I22,0))</f>
        <v>0</v>
      </c>
      <c r="J21" s="511" t="n">
        <f aca="false">IF($Y21=1,0,$X$7*(INT(J$6/$X21)-INT(I$6/$X21))-IF(SUM($B21:I21)&gt;0,J22,0))</f>
        <v>0</v>
      </c>
      <c r="K21" s="511" t="n">
        <f aca="false">IF($Y21=1,0,$X$7*(INT(K$6/$X21)-INT(J$6/$X21))-IF(SUM($B21:J21)&gt;0,K22,0))</f>
        <v>0</v>
      </c>
      <c r="L21" s="511" t="n">
        <f aca="false">IF($Y21=1,0,$X$7*(INT(L$6/$X21)-INT(K$6/$X21))-IF(SUM($B21:K21)&gt;0,L22,0))</f>
        <v>0</v>
      </c>
      <c r="M21" s="511" t="n">
        <f aca="false">IF($Y21=1,0,$X$7*(INT(M$6/$X21)-INT(L$6/$X21))-IF(SUM($B21:L21)&gt;0,M22,0))</f>
        <v>0</v>
      </c>
      <c r="N21" s="511" t="n">
        <f aca="false">IF($Y21=1,0,$X$7*(INT(N$6/$X21)-INT(M$6/$X21))-IF(SUM($B21:M21)&gt;0,N22,0))</f>
        <v>0</v>
      </c>
      <c r="O21" s="511" t="n">
        <f aca="false">IF($Y21=1,0,$X$7*(INT(O$6/$X21)-INT(N$6/$X21))-IF(SUM($B21:N21)&gt;0,O22,0))</f>
        <v>0</v>
      </c>
      <c r="P21" s="511" t="n">
        <f aca="false">IF($Y21=1,0,$X$7*(INT(P$6/$X21)-INT(O$6/$X21))-IF(SUM($B21:O21)&gt;0,P22,0))</f>
        <v>0</v>
      </c>
      <c r="Q21" s="511" t="n">
        <f aca="false">IF($Y21=1,0,$X$7*(INT(Q$6/$X21)-INT(P$6/$X21))-IF(SUM($B21:P21)&gt;0,Q22,0))</f>
        <v>0</v>
      </c>
      <c r="R21" s="511" t="n">
        <f aca="false">IF($Y21=1,0,$X$7*(INT(R$6/$X21)-INT(Q$6/$X21))-IF(SUM($B21:Q21)&gt;0,R22,0))</f>
        <v>0</v>
      </c>
      <c r="S21" s="511" t="n">
        <f aca="false">IF($Y21=1,0,$X$7*(INT(S$6/$X21)-INT(R$6/$X21))-IF(SUM($B21:R21)&gt;0,S22,0))</f>
        <v>0</v>
      </c>
      <c r="T21" s="511" t="n">
        <f aca="false">IF($Y21=1,0,$X$7*(INT(T$6/$X21)-INT(S$6/$X21))-IF(SUM($B21:S21)&gt;0,T22,0))</f>
        <v>0</v>
      </c>
      <c r="U21" s="511" t="n">
        <f aca="false">IF($Y21=1,0,$X$7*(INT(U$6/$X21)-INT(T$6/$X21))-IF(SUM($B21:T21)&gt;0,U22,0))</f>
        <v>0</v>
      </c>
      <c r="V21" s="511" t="n">
        <f aca="false">IF($Y21=1,0,$X$7*(INT(V$6/$X21)-INT(U$6/$X21))-IF(SUM($B21:U21)&gt;0,V22,0))</f>
        <v>0</v>
      </c>
      <c r="W21" s="800" t="str">
        <f aca="false">'GT schd cost(6B)'!A16</f>
        <v>CROSSFIRE TUBES</v>
      </c>
      <c r="X21" s="800" t="n">
        <f aca="false">IF($AD$6=1,'GTDB(6B)'!B18,'GTDB(6B)'!H18)</f>
        <v>12000</v>
      </c>
      <c r="Y21" s="800" t="n">
        <f aca="false">IF($AD$6=1,'GTDB(6B)'!C18,'GTDB(6B)'!I18)</f>
        <v>3</v>
      </c>
      <c r="Z21" s="801" t="n">
        <v>2</v>
      </c>
      <c r="AA21" s="801" t="n">
        <f aca="false">'Initial_Spares(6B)'!$D$12</f>
        <v>0</v>
      </c>
      <c r="AB21" s="764" t="n">
        <f aca="false">'GT schd cost(6B)'!X16+'GT schd cost(6B)'!X39</f>
        <v>21</v>
      </c>
    </row>
    <row r="22" customFormat="false" ht="12.75" hidden="false" customHeight="false" outlineLevel="0" collapsed="false">
      <c r="A22" s="153" t="s">
        <v>1397</v>
      </c>
      <c r="B22" s="511" t="s">
        <v>1007</v>
      </c>
      <c r="C22" s="511" t="n">
        <f aca="false">IF(INT(C$6/$X21)*$X$7&gt;C20*($X$7+$Z21)*$Y21,C20*($X$7+$Z21)-SUM($B22:B22),INT(C$6/$X21)*$X$7-C20*($X$7+$Z21)*($Y21-1)-SUM($B22:B22))+IF($Y21&gt;1,IF(INT(C$6/$X21)&gt;0,$Z21-$AA21,0),-$AA21)</f>
        <v>0</v>
      </c>
      <c r="D22" s="511" t="n">
        <f aca="false">IF(INT(D$6/$X21)*$X$7&gt;D20*($X$7+$Z21)*$Y21,D20*($X$7+$Z21)-SUM($B22:C22),INT(D$6/$X21)*$X$7-D20*($X$7+$Z21)*($Y21-1)-SUM($B22:C22))+IF($Y21&gt;1,IF(INT(D$6/$X21)&gt;0,$Z21-$AA21,0),-$AA21)</f>
        <v>2</v>
      </c>
      <c r="E22" s="511" t="n">
        <f aca="false">IF(INT(E$6/$X21)*$X$7&gt;E20*($X$7+$Z21)*$Y21,E20*($X$7+$Z21)-SUM($B22:D22),INT(E$6/$X21)*$X$7-E20*($X$7+$Z21)*($Y21-1)-SUM($B22:D22))+IF($Y21&gt;1,IF(INT(E$6/$X21)&gt;0,$Z21-$AA21,0),-$AA21)</f>
        <v>0</v>
      </c>
      <c r="F22" s="511" t="n">
        <f aca="false">IF(INT(F$6/$X21)*$X$7&gt;F20*($X$7+$Z21)*$Y21,F20*($X$7+$Z21)-SUM($B22:E22),INT(F$6/$X21)*$X$7-F20*($X$7+$Z21)*($Y21-1)-SUM($B22:E22))+IF($Y21&gt;1,IF(INT(F$6/$X21)&gt;0,$Z21-$AA21,0),-$AA21)</f>
        <v>0</v>
      </c>
      <c r="G22" s="511" t="n">
        <f aca="false">IF(INT(G$6/$X21)*$X$7&gt;G20*($X$7+$Z21)*$Y21,G20*($X$7+$Z21)-SUM($B22:F22),INT(G$6/$X21)*$X$7-G20*($X$7+$Z21)*($Y21-1)-SUM($B22:F22))+IF($Y21&gt;1,IF(INT(G$6/$X21)&gt;0,$Z21-$AA21,0),-$AA21)</f>
        <v>0</v>
      </c>
      <c r="H22" s="511" t="n">
        <f aca="false">IF(INT(H$6/$X21)*$X$7&gt;H20*($X$7+$Z21)*$Y21,H20*($X$7+$Z21)-SUM($B22:G22),INT(H$6/$X21)*$X$7-H20*($X$7+$Z21)*($Y21-1)-SUM($B22:G22))+IF($Y21&gt;1,IF(INT(H$6/$X21)&gt;0,$Z21-$AA21,0),-$AA21)</f>
        <v>0</v>
      </c>
      <c r="I22" s="511" t="n">
        <f aca="false">IF(INT(I$6/$X21)*$X$7&gt;I20*($X$7+$Z21)*$Y21,I20*($X$7+$Z21)-SUM($B22:H22),INT(I$6/$X21)*$X$7-I20*($X$7+$Z21)*($Y21-1)-SUM($B22:H22))+IF($Y21&gt;1,IF(INT(I$6/$X21)&gt;0,$Z21-$AA21,0),-$AA21)</f>
        <v>0</v>
      </c>
      <c r="J22" s="511" t="n">
        <f aca="false">IF(INT(J$6/$X21)*$X$7&gt;J20*($X$7+$Z21)*$Y21,J20*($X$7+$Z21)-SUM($B22:I22),INT(J$6/$X21)*$X$7-J20*($X$7+$Z21)*($Y21-1)-SUM($B22:I22))+IF($Y21&gt;1,IF(INT(J$6/$X21)&gt;0,$Z21-$AA21,0),-$AA21)</f>
        <v>0</v>
      </c>
      <c r="K22" s="511" t="n">
        <f aca="false">IF(INT(K$6/$X21)*$X$7&gt;K20*($X$7+$Z21)*$Y21,K20*($X$7+$Z21)-SUM($B22:J22),INT(K$6/$X21)*$X$7-K20*($X$7+$Z21)*($Y21-1)-SUM($B22:J22))+IF($Y21&gt;1,IF(INT(K$6/$X21)&gt;0,$Z21-$AA21,0),-$AA21)</f>
        <v>0</v>
      </c>
      <c r="L22" s="511" t="n">
        <f aca="false">IF(INT(L$6/$X21)*$X$7&gt;L20*($X$7+$Z21)*$Y21,L20*($X$7+$Z21)-SUM($B22:K22),INT(L$6/$X21)*$X$7-L20*($X$7+$Z21)*($Y21-1)-SUM($B22:K22))+IF($Y21&gt;1,IF(INT(L$6/$X21)&gt;0,$Z21-$AA21,0),-$AA21)</f>
        <v>0</v>
      </c>
      <c r="M22" s="511" t="n">
        <f aca="false">IF(INT(M$6/$X21)*$X$7&gt;M20*($X$7+$Z21)*$Y21,M20*($X$7+$Z21)-SUM($B22:L22),INT(M$6/$X21)*$X$7-M20*($X$7+$Z21)*($Y21-1)-SUM($B22:L22))+IF($Y21&gt;1,IF(INT(M$6/$X21)&gt;0,$Z21-$AA21,0),-$AA21)</f>
        <v>0</v>
      </c>
      <c r="N22" s="511" t="n">
        <f aca="false">IF(INT(N$6/$X21)*$X$7&gt;N20*($X$7+$Z21)*$Y21,N20*($X$7+$Z21)-SUM($B22:M22),INT(N$6/$X21)*$X$7-N20*($X$7+$Z21)*($Y21-1)-SUM($B22:M22))+IF($Y21&gt;1,IF(INT(N$6/$X21)&gt;0,$Z21-$AA21,0),-$AA21)</f>
        <v>0</v>
      </c>
      <c r="O22" s="511" t="n">
        <f aca="false">IF(INT(O$6/$X21)*$X$7&gt;O20*($X$7+$Z21)*$Y21,O20*($X$7+$Z21)-SUM($B22:N22),INT(O$6/$X21)*$X$7-O20*($X$7+$Z21)*($Y21-1)-SUM($B22:N22))+IF($Y21&gt;1,IF(INT(O$6/$X21)&gt;0,$Z21-$AA21,0),-$AA21)</f>
        <v>0</v>
      </c>
      <c r="P22" s="511" t="n">
        <f aca="false">IF(INT(P$6/$X21)*$X$7&gt;P20*($X$7+$Z21)*$Y21,P20*($X$7+$Z21)-SUM($B22:O22),INT(P$6/$X21)*$X$7-P20*($X$7+$Z21)*($Y21-1)-SUM($B22:O22))+IF($Y21&gt;1,IF(INT(P$6/$X21)&gt;0,$Z21-$AA21,0),-$AA21)</f>
        <v>0</v>
      </c>
      <c r="Q22" s="511" t="n">
        <f aca="false">IF(INT(Q$6/$X21)*$X$7&gt;Q20*($X$7+$Z21)*$Y21,Q20*($X$7+$Z21)-SUM($B22:P22),INT(Q$6/$X21)*$X$7-Q20*($X$7+$Z21)*($Y21-1)-SUM($B22:P22))+IF($Y21&gt;1,IF(INT(Q$6/$X21)&gt;0,$Z21-$AA21,0),-$AA21)</f>
        <v>0</v>
      </c>
      <c r="R22" s="511" t="n">
        <f aca="false">IF(INT(R$6/$X21)*$X$7&gt;R20*($X$7+$Z21)*$Y21,R20*($X$7+$Z21)-SUM($B22:Q22),INT(R$6/$X21)*$X$7-R20*($X$7+$Z21)*($Y21-1)-SUM($B22:Q22))+IF($Y21&gt;1,IF(INT(R$6/$X21)&gt;0,$Z21-$AA21,0),-$AA21)</f>
        <v>0</v>
      </c>
      <c r="S22" s="511" t="n">
        <f aca="false">IF(INT(S$6/$X21)*$X$7&gt;S20*($X$7+$Z21)*$Y21,S20*($X$7+$Z21)-SUM($B22:R22),INT(S$6/$X21)*$X$7-S20*($X$7+$Z21)*($Y21-1)-SUM($B22:R22))+IF($Y21&gt;1,IF(INT(S$6/$X21)&gt;0,$Z21-$AA21,0),-$AA21)</f>
        <v>0</v>
      </c>
      <c r="T22" s="511" t="n">
        <f aca="false">IF(INT(T$6/$X21)*$X$7&gt;T20*($X$7+$Z21)*$Y21,T20*($X$7+$Z21)-SUM($B22:S22),INT(T$6/$X21)*$X$7-T20*($X$7+$Z21)*($Y21-1)-SUM($B22:S22))+IF($Y21&gt;1,IF(INT(T$6/$X21)&gt;0,$Z21-$AA21,0),-$AA21)</f>
        <v>0</v>
      </c>
      <c r="U22" s="511" t="n">
        <f aca="false">IF(INT(U$6/$X21)*$X$7&gt;U20*($X$7+$Z21)*$Y21,U20*($X$7+$Z21)-SUM($B22:T22),INT(U$6/$X21)*$X$7-U20*($X$7+$Z21)*($Y21-1)-SUM($B22:T22))+IF($Y21&gt;1,IF(INT(U$6/$X21)&gt;0,$Z21-$AA21,0),-$AA21)</f>
        <v>0</v>
      </c>
      <c r="V22" s="511" t="n">
        <f aca="false">IF(INT(V$6/$X21)*$X$7&gt;V20*($X$7+$Z21)*$Y21,V20*($X$7+$Z21)-SUM($B22:U22),INT(V$6/$X21)*$X$7-V20*($X$7+$Z21)*($Y21-1)-SUM($B22:U22))+IF($Y21&gt;1,IF(INT(V$6/$X21)&gt;0,$Z21-$AA21,0),-$AA21)</f>
        <v>0</v>
      </c>
      <c r="W22" s="803"/>
    </row>
    <row r="23" customFormat="false" ht="12.75" hidden="false" customHeight="false" outlineLevel="0" collapsed="false">
      <c r="A23" s="157"/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785"/>
      <c r="X23" s="157"/>
      <c r="Y23" s="157"/>
      <c r="Z23" s="157"/>
      <c r="AA23" s="157"/>
      <c r="AB23" s="157"/>
    </row>
    <row r="24" customFormat="false" ht="12.75" hidden="true" customHeight="false" outlineLevel="0" collapsed="false">
      <c r="A24" s="153" t="s">
        <v>1395</v>
      </c>
      <c r="B24" s="511"/>
      <c r="C24" s="153" t="n">
        <f aca="false">INT((INT(C$6/$X25)*$X$7+$X$7+$Z25-1)/($X$7+$Z25)/$Y25)</f>
        <v>0</v>
      </c>
      <c r="D24" s="153" t="n">
        <f aca="false">INT((INT(D$6/$X25)*$X$7+$X$7+$Z25-1)/($X$7+$Z25)/$Y25)</f>
        <v>0</v>
      </c>
      <c r="E24" s="153" t="n">
        <f aca="false">INT((INT(E$6/$X25)*$X$7+$X$7+$Z25-1)/($X$7+$Z25)/$Y25)</f>
        <v>0</v>
      </c>
      <c r="F24" s="153" t="n">
        <f aca="false">INT((INT(F$6/$X25)*$X$7+$X$7+$Z25-1)/($X$7+$Z25)/$Y25)</f>
        <v>0</v>
      </c>
      <c r="G24" s="153" t="n">
        <f aca="false">INT((INT(G$6/$X25)*$X$7+$X$7+$Z25-1)/($X$7+$Z25)/$Y25)</f>
        <v>0</v>
      </c>
      <c r="H24" s="153" t="n">
        <f aca="false">INT((INT(H$6/$X25)*$X$7+$X$7+$Z25-1)/($X$7+$Z25)/$Y25)</f>
        <v>0</v>
      </c>
      <c r="I24" s="153" t="n">
        <f aca="false">INT((INT(I$6/$X25)*$X$7+$X$7+$Z25-1)/($X$7+$Z25)/$Y25)</f>
        <v>0</v>
      </c>
      <c r="J24" s="153" t="n">
        <f aca="false">INT((INT(J$6/$X25)*$X$7+$X$7+$Z25-1)/($X$7+$Z25)/$Y25)</f>
        <v>0</v>
      </c>
      <c r="K24" s="153" t="n">
        <f aca="false">INT((INT(K$6/$X25)*$X$7+$X$7+$Z25-1)/($X$7+$Z25)/$Y25)</f>
        <v>0</v>
      </c>
      <c r="L24" s="153" t="n">
        <f aca="false">INT((INT(L$6/$X25)*$X$7+$X$7+$Z25-1)/($X$7+$Z25)/$Y25)</f>
        <v>0</v>
      </c>
      <c r="M24" s="153" t="n">
        <f aca="false">INT((INT(M$6/$X25)*$X$7+$X$7+$Z25-1)/($X$7+$Z25)/$Y25)</f>
        <v>0</v>
      </c>
      <c r="N24" s="153" t="n">
        <f aca="false">INT((INT(N$6/$X25)*$X$7+$X$7+$Z25-1)/($X$7+$Z25)/$Y25)</f>
        <v>0</v>
      </c>
      <c r="O24" s="153" t="n">
        <f aca="false">INT((INT(O$6/$X25)*$X$7+$X$7+$Z25-1)/($X$7+$Z25)/$Y25)</f>
        <v>0</v>
      </c>
      <c r="P24" s="153" t="n">
        <f aca="false">INT((INT(P$6/$X25)*$X$7+$X$7+$Z25-1)/($X$7+$Z25)/$Y25)</f>
        <v>0</v>
      </c>
      <c r="Q24" s="153" t="n">
        <f aca="false">INT((INT(Q$6/$X25)*$X$7+$X$7+$Z25-1)/($X$7+$Z25)/$Y25)</f>
        <v>0</v>
      </c>
      <c r="R24" s="153" t="n">
        <f aca="false">INT((INT(R$6/$X25)*$X$7+$X$7+$Z25-1)/($X$7+$Z25)/$Y25)</f>
        <v>0</v>
      </c>
      <c r="S24" s="153" t="n">
        <f aca="false">INT((INT(S$6/$X25)*$X$7+$X$7+$Z25-1)/($X$7+$Z25)/$Y25)</f>
        <v>0</v>
      </c>
      <c r="T24" s="153" t="n">
        <f aca="false">INT((INT(T$6/$X25)*$X$7+$X$7+$Z25-1)/($X$7+$Z25)/$Y25)</f>
        <v>0</v>
      </c>
      <c r="U24" s="153" t="n">
        <f aca="false">INT((INT(U$6/$X25)*$X$7+$X$7+$Z25-1)/($X$7+$Z25)/$Y25)</f>
        <v>0</v>
      </c>
      <c r="V24" s="153" t="n">
        <f aca="false">INT((INT(V$6/$X25)*$X$7+$X$7+$Z25-1)/($X$7+$Z25)/$Y25)</f>
        <v>0</v>
      </c>
      <c r="W24" s="157"/>
      <c r="X24" s="157"/>
      <c r="Y24" s="157"/>
      <c r="Z24" s="157"/>
      <c r="AA24" s="157"/>
      <c r="AB24" s="157"/>
    </row>
    <row r="25" customFormat="false" ht="12.75" hidden="false" customHeight="false" outlineLevel="0" collapsed="false">
      <c r="A25" s="153" t="s">
        <v>1396</v>
      </c>
      <c r="B25" s="511" t="s">
        <v>1007</v>
      </c>
      <c r="C25" s="511" t="n">
        <f aca="false">IF($Y25=1,0,$X$7*(INT(C$6/$X25)-INT(B$6/$X25))-IF(SUM($B25:B25)&gt;0,C26,0))</f>
        <v>0</v>
      </c>
      <c r="D25" s="511" t="n">
        <f aca="false">IF($Y25=1,0,$X$7*(INT(D$6/$X25)-INT(C$6/$X25))-IF(SUM($B25:C25)&gt;0,D26,0))</f>
        <v>0</v>
      </c>
      <c r="E25" s="511" t="n">
        <f aca="false">IF($Y25=1,0,$X$7*(INT(E$6/$X25)-INT(D$6/$X25))-IF(SUM($B25:D25)&gt;0,E26,0))</f>
        <v>0</v>
      </c>
      <c r="F25" s="511" t="n">
        <f aca="false">IF($Y25=1,0,$X$7*(INT(F$6/$X25)-INT(E$6/$X25))-IF(SUM($B25:E25)&gt;0,F26,0))</f>
        <v>0</v>
      </c>
      <c r="G25" s="511" t="n">
        <f aca="false">IF($Y25=1,0,$X$7*(INT(G$6/$X25)-INT(F$6/$X25))-IF(SUM($B25:F25)&gt;0,G26,0))</f>
        <v>0</v>
      </c>
      <c r="H25" s="511" t="n">
        <f aca="false">IF($Y25=1,0,$X$7*(INT(H$6/$X25)-INT(G$6/$X25))-IF(SUM($B25:G25)&gt;0,H26,0))</f>
        <v>0</v>
      </c>
      <c r="I25" s="511" t="n">
        <f aca="false">IF($Y25=1,0,$X$7*(INT(I$6/$X25)-INT(H$6/$X25))-IF(SUM($B25:H25)&gt;0,I26,0))</f>
        <v>0</v>
      </c>
      <c r="J25" s="511" t="n">
        <f aca="false">IF($Y25=1,0,$X$7*(INT(J$6/$X25)-INT(I$6/$X25))-IF(SUM($B25:I25)&gt;0,J26,0))</f>
        <v>0</v>
      </c>
      <c r="K25" s="511" t="n">
        <f aca="false">IF($Y25=1,0,$X$7*(INT(K$6/$X25)-INT(J$6/$X25))-IF(SUM($B25:J25)&gt;0,K26,0))</f>
        <v>0</v>
      </c>
      <c r="L25" s="511" t="n">
        <f aca="false">IF($Y25=1,0,$X$7*(INT(L$6/$X25)-INT(K$6/$X25))-IF(SUM($B25:K25)&gt;0,L26,0))</f>
        <v>0</v>
      </c>
      <c r="M25" s="511" t="n">
        <f aca="false">IF($Y25=1,0,$X$7*(INT(M$6/$X25)-INT(L$6/$X25))-IF(SUM($B25:L25)&gt;0,M26,0))</f>
        <v>0</v>
      </c>
      <c r="N25" s="511" t="n">
        <f aca="false">IF($Y25=1,0,$X$7*(INT(N$6/$X25)-INT(M$6/$X25))-IF(SUM($B25:M25)&gt;0,N26,0))</f>
        <v>0</v>
      </c>
      <c r="O25" s="511" t="n">
        <f aca="false">IF($Y25=1,0,$X$7*(INT(O$6/$X25)-INT(N$6/$X25))-IF(SUM($B25:N25)&gt;0,O26,0))</f>
        <v>0</v>
      </c>
      <c r="P25" s="511" t="n">
        <f aca="false">IF($Y25=1,0,$X$7*(INT(P$6/$X25)-INT(O$6/$X25))-IF(SUM($B25:O25)&gt;0,P26,0))</f>
        <v>0</v>
      </c>
      <c r="Q25" s="511" t="n">
        <f aca="false">IF($Y25=1,0,$X$7*(INT(Q$6/$X25)-INT(P$6/$X25))-IF(SUM($B25:P25)&gt;0,Q26,0))</f>
        <v>0</v>
      </c>
      <c r="R25" s="511" t="n">
        <f aca="false">IF($Y25=1,0,$X$7*(INT(R$6/$X25)-INT(Q$6/$X25))-IF(SUM($B25:Q25)&gt;0,R26,0))</f>
        <v>0</v>
      </c>
      <c r="S25" s="511" t="n">
        <f aca="false">IF($Y25=1,0,$X$7*(INT(S$6/$X25)-INT(R$6/$X25))-IF(SUM($B25:R25)&gt;0,S26,0))</f>
        <v>0</v>
      </c>
      <c r="T25" s="511" t="n">
        <f aca="false">IF($Y25=1,0,$X$7*(INT(T$6/$X25)-INT(S$6/$X25))-IF(SUM($B25:S25)&gt;0,T26,0))</f>
        <v>0</v>
      </c>
      <c r="U25" s="511" t="n">
        <f aca="false">IF($Y25=1,0,$X$7*(INT(U$6/$X25)-INT(T$6/$X25))-IF(SUM($B25:T25)&gt;0,U26,0))</f>
        <v>0</v>
      </c>
      <c r="V25" s="511" t="n">
        <f aca="false">IF($Y25=1,0,$X$7*(INT(V$6/$X25)-INT(U$6/$X25))-IF(SUM($B25:U25)&gt;0,V26,0))</f>
        <v>0</v>
      </c>
      <c r="W25" s="800" t="str">
        <f aca="false">'GT schd cost(6B)'!A17</f>
        <v>COMBUSTION LINERS</v>
      </c>
      <c r="X25" s="800" t="n">
        <f aca="false">IF($AD$6=1,'GTDB(6B)'!B19,'GTDB(6B)'!H19)</f>
        <v>12000</v>
      </c>
      <c r="Y25" s="800" t="n">
        <f aca="false">IF($AD$6=1,'GTDB(6B)'!C19,'GTDB(6B)'!I19)</f>
        <v>5</v>
      </c>
      <c r="Z25" s="801" t="n">
        <v>1</v>
      </c>
      <c r="AA25" s="776" t="n">
        <f aca="false">'Initial_Spares(6B)'!$D$13</f>
        <v>0</v>
      </c>
      <c r="AB25" s="764" t="n">
        <f aca="false">'GT schd cost(6B)'!X17+'GT schd cost(6B)'!X40</f>
        <v>87</v>
      </c>
    </row>
    <row r="26" customFormat="false" ht="12.75" hidden="false" customHeight="false" outlineLevel="0" collapsed="false">
      <c r="A26" s="153" t="s">
        <v>1397</v>
      </c>
      <c r="B26" s="511" t="s">
        <v>1007</v>
      </c>
      <c r="C26" s="511" t="n">
        <f aca="false">IF(INT(C$6/$X25)*$X$7&gt;C24*($X$7+$Z25)*$Y25,C24*($X$7+$Z25)-SUM($B26:B26),INT(C$6/$X25)*$X$7-C24*($X$7+$Z25)*($Y25-1)-SUM($B26:B26))+IF($Y25&gt;1,IF(INT(C$6/$X25)&gt;0,$Z25-$AA25,0),-$AA25)</f>
        <v>0</v>
      </c>
      <c r="D26" s="511" t="n">
        <f aca="false">IF(INT(D$6/$X25)*$X$7&gt;D24*($X$7+$Z25)*$Y25,D24*($X$7+$Z25)-SUM($B26:C26),INT(D$6/$X25)*$X$7-D24*($X$7+$Z25)*($Y25-1)-SUM($B26:C26))+IF($Y25&gt;1,IF(INT(D$6/$X25)&gt;0,$Z25-$AA25,0),-$AA25)</f>
        <v>1</v>
      </c>
      <c r="E26" s="511" t="n">
        <f aca="false">IF(INT(E$6/$X25)*$X$7&gt;E24*($X$7+$Z25)*$Y25,E24*($X$7+$Z25)-SUM($B26:D26),INT(E$6/$X25)*$X$7-E24*($X$7+$Z25)*($Y25-1)-SUM($B26:D26))+IF($Y25&gt;1,IF(INT(E$6/$X25)&gt;0,$Z25-$AA25,0),-$AA25)</f>
        <v>0</v>
      </c>
      <c r="F26" s="511" t="n">
        <f aca="false">IF(INT(F$6/$X25)*$X$7&gt;F24*($X$7+$Z25)*$Y25,F24*($X$7+$Z25)-SUM($B26:E26),INT(F$6/$X25)*$X$7-F24*($X$7+$Z25)*($Y25-1)-SUM($B26:E26))+IF($Y25&gt;1,IF(INT(F$6/$X25)&gt;0,$Z25-$AA25,0),-$AA25)</f>
        <v>0</v>
      </c>
      <c r="G26" s="511" t="n">
        <f aca="false">IF(INT(G$6/$X25)*$X$7&gt;G24*($X$7+$Z25)*$Y25,G24*($X$7+$Z25)-SUM($B26:F26),INT(G$6/$X25)*$X$7-G24*($X$7+$Z25)*($Y25-1)-SUM($B26:F26))+IF($Y25&gt;1,IF(INT(G$6/$X25)&gt;0,$Z25-$AA25,0),-$AA25)</f>
        <v>0</v>
      </c>
      <c r="H26" s="511" t="n">
        <f aca="false">IF(INT(H$6/$X25)*$X$7&gt;H24*($X$7+$Z25)*$Y25,H24*($X$7+$Z25)-SUM($B26:G26),INT(H$6/$X25)*$X$7-H24*($X$7+$Z25)*($Y25-1)-SUM($B26:G26))+IF($Y25&gt;1,IF(INT(H$6/$X25)&gt;0,$Z25-$AA25,0),-$AA25)</f>
        <v>0</v>
      </c>
      <c r="I26" s="511" t="n">
        <f aca="false">IF(INT(I$6/$X25)*$X$7&gt;I24*($X$7+$Z25)*$Y25,I24*($X$7+$Z25)-SUM($B26:H26),INT(I$6/$X25)*$X$7-I24*($X$7+$Z25)*($Y25-1)-SUM($B26:H26))+IF($Y25&gt;1,IF(INT(I$6/$X25)&gt;0,$Z25-$AA25,0),-$AA25)</f>
        <v>0</v>
      </c>
      <c r="J26" s="511" t="n">
        <f aca="false">IF(INT(J$6/$X25)*$X$7&gt;J24*($X$7+$Z25)*$Y25,J24*($X$7+$Z25)-SUM($B26:I26),INT(J$6/$X25)*$X$7-J24*($X$7+$Z25)*($Y25-1)-SUM($B26:I26))+IF($Y25&gt;1,IF(INT(J$6/$X25)&gt;0,$Z25-$AA25,0),-$AA25)</f>
        <v>0</v>
      </c>
      <c r="K26" s="511" t="n">
        <f aca="false">IF(INT(K$6/$X25)*$X$7&gt;K24*($X$7+$Z25)*$Y25,K24*($X$7+$Z25)-SUM($B26:J26),INT(K$6/$X25)*$X$7-K24*($X$7+$Z25)*($Y25-1)-SUM($B26:J26))+IF($Y25&gt;1,IF(INT(K$6/$X25)&gt;0,$Z25-$AA25,0),-$AA25)</f>
        <v>0</v>
      </c>
      <c r="L26" s="511" t="n">
        <f aca="false">IF(INT(L$6/$X25)*$X$7&gt;L24*($X$7+$Z25)*$Y25,L24*($X$7+$Z25)-SUM($B26:K26),INT(L$6/$X25)*$X$7-L24*($X$7+$Z25)*($Y25-1)-SUM($B26:K26))+IF($Y25&gt;1,IF(INT(L$6/$X25)&gt;0,$Z25-$AA25,0),-$AA25)</f>
        <v>0</v>
      </c>
      <c r="M26" s="511" t="n">
        <f aca="false">IF(INT(M$6/$X25)*$X$7&gt;M24*($X$7+$Z25)*$Y25,M24*($X$7+$Z25)-SUM($B26:L26),INT(M$6/$X25)*$X$7-M24*($X$7+$Z25)*($Y25-1)-SUM($B26:L26))+IF($Y25&gt;1,IF(INT(M$6/$X25)&gt;0,$Z25-$AA25,0),-$AA25)</f>
        <v>0</v>
      </c>
      <c r="N26" s="511" t="n">
        <f aca="false">IF(INT(N$6/$X25)*$X$7&gt;N24*($X$7+$Z25)*$Y25,N24*($X$7+$Z25)-SUM($B26:M26),INT(N$6/$X25)*$X$7-N24*($X$7+$Z25)*($Y25-1)-SUM($B26:M26))+IF($Y25&gt;1,IF(INT(N$6/$X25)&gt;0,$Z25-$AA25,0),-$AA25)</f>
        <v>0</v>
      </c>
      <c r="O26" s="511" t="n">
        <f aca="false">IF(INT(O$6/$X25)*$X$7&gt;O24*($X$7+$Z25)*$Y25,O24*($X$7+$Z25)-SUM($B26:N26),INT(O$6/$X25)*$X$7-O24*($X$7+$Z25)*($Y25-1)-SUM($B26:N26))+IF($Y25&gt;1,IF(INT(O$6/$X25)&gt;0,$Z25-$AA25,0),-$AA25)</f>
        <v>0</v>
      </c>
      <c r="P26" s="511" t="n">
        <f aca="false">IF(INT(P$6/$X25)*$X$7&gt;P24*($X$7+$Z25)*$Y25,P24*($X$7+$Z25)-SUM($B26:O26),INT(P$6/$X25)*$X$7-P24*($X$7+$Z25)*($Y25-1)-SUM($B26:O26))+IF($Y25&gt;1,IF(INT(P$6/$X25)&gt;0,$Z25-$AA25,0),-$AA25)</f>
        <v>0</v>
      </c>
      <c r="Q26" s="511" t="n">
        <f aca="false">IF(INT(Q$6/$X25)*$X$7&gt;Q24*($X$7+$Z25)*$Y25,Q24*($X$7+$Z25)-SUM($B26:P26),INT(Q$6/$X25)*$X$7-Q24*($X$7+$Z25)*($Y25-1)-SUM($B26:P26))+IF($Y25&gt;1,IF(INT(Q$6/$X25)&gt;0,$Z25-$AA25,0),-$AA25)</f>
        <v>0</v>
      </c>
      <c r="R26" s="511" t="n">
        <f aca="false">IF(INT(R$6/$X25)*$X$7&gt;R24*($X$7+$Z25)*$Y25,R24*($X$7+$Z25)-SUM($B26:Q26),INT(R$6/$X25)*$X$7-R24*($X$7+$Z25)*($Y25-1)-SUM($B26:Q26))+IF($Y25&gt;1,IF(INT(R$6/$X25)&gt;0,$Z25-$AA25,0),-$AA25)</f>
        <v>0</v>
      </c>
      <c r="S26" s="511" t="n">
        <f aca="false">IF(INT(S$6/$X25)*$X$7&gt;S24*($X$7+$Z25)*$Y25,S24*($X$7+$Z25)-SUM($B26:R26),INT(S$6/$X25)*$X$7-S24*($X$7+$Z25)*($Y25-1)-SUM($B26:R26))+IF($Y25&gt;1,IF(INT(S$6/$X25)&gt;0,$Z25-$AA25,0),-$AA25)</f>
        <v>0</v>
      </c>
      <c r="T26" s="511" t="n">
        <f aca="false">IF(INT(T$6/$X25)*$X$7&gt;T24*($X$7+$Z25)*$Y25,T24*($X$7+$Z25)-SUM($B26:S26),INT(T$6/$X25)*$X$7-T24*($X$7+$Z25)*($Y25-1)-SUM($B26:S26))+IF($Y25&gt;1,IF(INT(T$6/$X25)&gt;0,$Z25-$AA25,0),-$AA25)</f>
        <v>0</v>
      </c>
      <c r="U26" s="511" t="n">
        <f aca="false">IF(INT(U$6/$X25)*$X$7&gt;U24*($X$7+$Z25)*$Y25,U24*($X$7+$Z25)-SUM($B26:T26),INT(U$6/$X25)*$X$7-U24*($X$7+$Z25)*($Y25-1)-SUM($B26:T26))+IF($Y25&gt;1,IF(INT(U$6/$X25)&gt;0,$Z25-$AA25,0),-$AA25)</f>
        <v>0</v>
      </c>
      <c r="V26" s="511" t="n">
        <f aca="false">IF(INT(V$6/$X25)*$X$7&gt;V24*($X$7+$Z25)*$Y25,V24*($X$7+$Z25)-SUM($B26:U26),INT(V$6/$X25)*$X$7-V24*($X$7+$Z25)*($Y25-1)-SUM($B26:U26))+IF($Y25&gt;1,IF(INT(V$6/$X25)&gt;0,$Z25-$AA25,0),-$AA25)</f>
        <v>0</v>
      </c>
      <c r="W26" s="803"/>
      <c r="AA26" s="157"/>
      <c r="AB26" s="157"/>
    </row>
    <row r="27" customFormat="false" ht="12.75" hidden="false" customHeight="false" outlineLevel="0" collapsed="false">
      <c r="A27" s="157"/>
      <c r="B27" s="518"/>
      <c r="C27" s="518"/>
      <c r="D27" s="518"/>
      <c r="E27" s="518"/>
      <c r="F27" s="518"/>
      <c r="G27" s="518"/>
      <c r="H27" s="518"/>
      <c r="I27" s="806"/>
      <c r="J27" s="518"/>
      <c r="K27" s="518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785"/>
      <c r="X27" s="157"/>
      <c r="Y27" s="157"/>
      <c r="Z27" s="157"/>
      <c r="AA27" s="157"/>
      <c r="AB27" s="157"/>
    </row>
    <row r="28" customFormat="false" ht="12.75" hidden="true" customHeight="false" outlineLevel="0" collapsed="false">
      <c r="A28" s="153" t="s">
        <v>1395</v>
      </c>
      <c r="B28" s="511"/>
      <c r="C28" s="153" t="n">
        <f aca="false">INT((INT(C$6/$X29)*$X$7+$X$7+$Z29-1)/($X$7+$Z29)/$Y29)</f>
        <v>0</v>
      </c>
      <c r="D28" s="153" t="n">
        <f aca="false">INT((INT(D$6/$X29)*$X$7+$X$7+$Z29-1)/($X$7+$Z29)/$Y29)</f>
        <v>0</v>
      </c>
      <c r="E28" s="153" t="n">
        <f aca="false">INT((INT(E$6/$X29)*$X$7+$X$7+$Z29-1)/($X$7+$Z29)/$Y29)</f>
        <v>0</v>
      </c>
      <c r="F28" s="153" t="n">
        <f aca="false">INT((INT(F$6/$X29)*$X$7+$X$7+$Z29-1)/($X$7+$Z29)/$Y29)</f>
        <v>0</v>
      </c>
      <c r="G28" s="153" t="n">
        <f aca="false">INT((INT(G$6/$X29)*$X$7+$X$7+$Z29-1)/($X$7+$Z29)/$Y29)</f>
        <v>0</v>
      </c>
      <c r="H28" s="153" t="n">
        <f aca="false">INT((INT(H$6/$X29)*$X$7+$X$7+$Z29-1)/($X$7+$Z29)/$Y29)</f>
        <v>0</v>
      </c>
      <c r="I28" s="153" t="n">
        <f aca="false">INT((INT(I$6/$X29)*$X$7+$X$7+$Z29-1)/($X$7+$Z29)/$Y29)</f>
        <v>0</v>
      </c>
      <c r="J28" s="153" t="n">
        <f aca="false">INT((INT(J$6/$X29)*$X$7+$X$7+$Z29-1)/($X$7+$Z29)/$Y29)</f>
        <v>0</v>
      </c>
      <c r="K28" s="153" t="n">
        <f aca="false">INT((INT(K$6/$X29)*$X$7+$X$7+$Z29-1)/($X$7+$Z29)/$Y29)</f>
        <v>0</v>
      </c>
      <c r="L28" s="153" t="n">
        <f aca="false">INT((INT(L$6/$X29)*$X$7+$X$7+$Z29-1)/($X$7+$Z29)/$Y29)</f>
        <v>0</v>
      </c>
      <c r="M28" s="153" t="n">
        <f aca="false">INT((INT(M$6/$X29)*$X$7+$X$7+$Z29-1)/($X$7+$Z29)/$Y29)</f>
        <v>0</v>
      </c>
      <c r="N28" s="153" t="n">
        <f aca="false">INT((INT(N$6/$X29)*$X$7+$X$7+$Z29-1)/($X$7+$Z29)/$Y29)</f>
        <v>0</v>
      </c>
      <c r="O28" s="153" t="n">
        <f aca="false">INT((INT(O$6/$X29)*$X$7+$X$7+$Z29-1)/($X$7+$Z29)/$Y29)</f>
        <v>0</v>
      </c>
      <c r="P28" s="153" t="n">
        <f aca="false">INT((INT(P$6/$X29)*$X$7+$X$7+$Z29-1)/($X$7+$Z29)/$Y29)</f>
        <v>0</v>
      </c>
      <c r="Q28" s="153" t="n">
        <f aca="false">INT((INT(Q$6/$X29)*$X$7+$X$7+$Z29-1)/($X$7+$Z29)/$Y29)</f>
        <v>0</v>
      </c>
      <c r="R28" s="153" t="n">
        <f aca="false">INT((INT(R$6/$X29)*$X$7+$X$7+$Z29-1)/($X$7+$Z29)/$Y29)</f>
        <v>0</v>
      </c>
      <c r="S28" s="153" t="n">
        <f aca="false">INT((INT(S$6/$X29)*$X$7+$X$7+$Z29-1)/($X$7+$Z29)/$Y29)</f>
        <v>0</v>
      </c>
      <c r="T28" s="153" t="n">
        <f aca="false">INT((INT(T$6/$X29)*$X$7+$X$7+$Z29-1)/($X$7+$Z29)/$Y29)</f>
        <v>0</v>
      </c>
      <c r="U28" s="153" t="n">
        <f aca="false">INT((INT(U$6/$X29)*$X$7+$X$7+$Z29-1)/($X$7+$Z29)/$Y29)</f>
        <v>0</v>
      </c>
      <c r="V28" s="153" t="n">
        <f aca="false">INT((INT(V$6/$X29)*$X$7+$X$7+$Z29-1)/($X$7+$Z29)/$Y29)</f>
        <v>0</v>
      </c>
      <c r="W28" s="157"/>
      <c r="X28" s="157"/>
      <c r="Y28" s="157"/>
      <c r="Z28" s="157"/>
      <c r="AA28" s="157"/>
      <c r="AB28" s="157"/>
    </row>
    <row r="29" customFormat="false" ht="12.75" hidden="false" customHeight="false" outlineLevel="0" collapsed="false">
      <c r="A29" s="153" t="s">
        <v>1396</v>
      </c>
      <c r="B29" s="511" t="s">
        <v>1007</v>
      </c>
      <c r="C29" s="511" t="n">
        <f aca="false">IF($Y29=1,0,$X$7*(INT(C$6/$X29)-INT(B$6/$X29))-IF(SUM($B29:B29)&gt;0,C30,0))</f>
        <v>0</v>
      </c>
      <c r="D29" s="511" t="n">
        <f aca="false">IF($Y29=1,0,$X$7*(INT(D$6/$X29)-INT(C$6/$X29))-IF(SUM($B29:C29)&gt;0,D30,0))</f>
        <v>0</v>
      </c>
      <c r="E29" s="511" t="n">
        <f aca="false">IF($Y29=1,0,$X$7*(INT(E$6/$X29)-INT(D$6/$X29))-IF(SUM($B29:D29)&gt;0,E30,0))</f>
        <v>0</v>
      </c>
      <c r="F29" s="511" t="n">
        <f aca="false">IF($Y29=1,0,$X$7*(INT(F$6/$X29)-INT(E$6/$X29))-IF(SUM($B29:E29)&gt;0,F30,0))</f>
        <v>0</v>
      </c>
      <c r="G29" s="511" t="n">
        <f aca="false">IF($Y29=1,0,$X$7*(INT(G$6/$X29)-INT(F$6/$X29))-IF(SUM($B29:F29)&gt;0,G30,0))</f>
        <v>0</v>
      </c>
      <c r="H29" s="511" t="n">
        <f aca="false">IF($Y29=1,0,$X$7*(INT(H$6/$X29)-INT(G$6/$X29))-IF(SUM($B29:G29)&gt;0,H30,0))</f>
        <v>0</v>
      </c>
      <c r="I29" s="511" t="n">
        <f aca="false">IF($Y29=1,0,$X$7*(INT(I$6/$X29)-INT(H$6/$X29))-IF(SUM($B29:H29)&gt;0,I30,0))</f>
        <v>0</v>
      </c>
      <c r="J29" s="511" t="n">
        <f aca="false">IF($Y29=1,0,$X$7*(INT(J$6/$X29)-INT(I$6/$X29))-IF(SUM($B29:I29)&gt;0,J30,0))</f>
        <v>0</v>
      </c>
      <c r="K29" s="511" t="n">
        <f aca="false">IF($Y29=1,0,$X$7*(INT(K$6/$X29)-INT(J$6/$X29))-IF(SUM($B29:J29)&gt;0,K30,0))</f>
        <v>0</v>
      </c>
      <c r="L29" s="511" t="n">
        <f aca="false">IF($Y29=1,0,$X$7*(INT(L$6/$X29)-INT(K$6/$X29))-IF(SUM($B29:K29)&gt;0,L30,0))</f>
        <v>0</v>
      </c>
      <c r="M29" s="511" t="n">
        <f aca="false">IF($Y29=1,0,$X$7*(INT(M$6/$X29)-INT(L$6/$X29))-IF(SUM($B29:L29)&gt;0,M30,0))</f>
        <v>0</v>
      </c>
      <c r="N29" s="511" t="n">
        <f aca="false">IF($Y29=1,0,$X$7*(INT(N$6/$X29)-INT(M$6/$X29))-IF(SUM($B29:M29)&gt;0,N30,0))</f>
        <v>0</v>
      </c>
      <c r="O29" s="511" t="n">
        <f aca="false">IF($Y29=1,0,$X$7*(INT(O$6/$X29)-INT(N$6/$X29))-IF(SUM($B29:N29)&gt;0,O30,0))</f>
        <v>0</v>
      </c>
      <c r="P29" s="511" t="n">
        <f aca="false">IF($Y29=1,0,$X$7*(INT(P$6/$X29)-INT(O$6/$X29))-IF(SUM($B29:O29)&gt;0,P30,0))</f>
        <v>0</v>
      </c>
      <c r="Q29" s="511" t="n">
        <f aca="false">IF($Y29=1,0,$X$7*(INT(Q$6/$X29)-INT(P$6/$X29))-IF(SUM($B29:P29)&gt;0,Q30,0))</f>
        <v>0</v>
      </c>
      <c r="R29" s="511" t="n">
        <f aca="false">IF($Y29=1,0,$X$7*(INT(R$6/$X29)-INT(Q$6/$X29))-IF(SUM($B29:Q29)&gt;0,R30,0))</f>
        <v>0</v>
      </c>
      <c r="S29" s="511" t="n">
        <f aca="false">IF($Y29=1,0,$X$7*(INT(S$6/$X29)-INT(R$6/$X29))-IF(SUM($B29:R29)&gt;0,S30,0))</f>
        <v>0</v>
      </c>
      <c r="T29" s="511" t="n">
        <f aca="false">IF($Y29=1,0,$X$7*(INT(T$6/$X29)-INT(S$6/$X29))-IF(SUM($B29:S29)&gt;0,T30,0))</f>
        <v>0</v>
      </c>
      <c r="U29" s="511" t="n">
        <f aca="false">IF($Y29=1,0,$X$7*(INT(U$6/$X29)-INT(T$6/$X29))-IF(SUM($B29:T29)&gt;0,U30,0))</f>
        <v>0</v>
      </c>
      <c r="V29" s="511" t="n">
        <f aca="false">IF($Y29=1,0,$X$7*(INT(V$6/$X29)-INT(U$6/$X29))-IF(SUM($B29:U29)&gt;0,V30,0))</f>
        <v>0</v>
      </c>
      <c r="W29" s="800" t="str">
        <f aca="false">'GT schd cost(6B)'!A18</f>
        <v>TRANSITION PIECES</v>
      </c>
      <c r="X29" s="800" t="n">
        <f aca="false">IF($AD$6=1,'GTDB(6B)'!B20,'GTDB(6B)'!H20)</f>
        <v>12000</v>
      </c>
      <c r="Y29" s="800" t="n">
        <f aca="false">IF($AD$6=1,'GTDB(6B)'!C20,'GTDB(6B)'!I20)</f>
        <v>6</v>
      </c>
      <c r="Z29" s="801" t="n">
        <v>1</v>
      </c>
      <c r="AA29" s="776" t="n">
        <f aca="false">'Initial_Spares(6B)'!$D$14</f>
        <v>0</v>
      </c>
      <c r="AB29" s="764" t="n">
        <f aca="false">'GT schd cost(6B)'!X18+'GT schd cost(6B)'!X41</f>
        <v>127</v>
      </c>
    </row>
    <row r="30" customFormat="false" ht="12.75" hidden="false" customHeight="false" outlineLevel="0" collapsed="false">
      <c r="A30" s="153" t="s">
        <v>1397</v>
      </c>
      <c r="B30" s="511" t="s">
        <v>1007</v>
      </c>
      <c r="C30" s="511" t="n">
        <f aca="false">IF(INT(C$6/$X29)*$X$7&gt;C28*($X$7+$Z29)*$Y29,C28*($X$7+$Z29)-SUM($B30:B30),INT(C$6/$X29)*$X$7-C28*($X$7+$Z29)*($Y29-1)-SUM($B30:B30))+IF($Y29&gt;1,IF(INT(C$6/$X29)&gt;0,$Z29-$AA29,0),-$AA29)</f>
        <v>0</v>
      </c>
      <c r="D30" s="511" t="n">
        <f aca="false">IF(INT(D$6/$X29)*$X$7&gt;D28*($X$7+$Z29)*$Y29,D28*($X$7+$Z29)-SUM($B30:C30),INT(D$6/$X29)*$X$7-D28*($X$7+$Z29)*($Y29-1)-SUM($B30:C30))+IF($Y29&gt;1,IF(INT(D$6/$X29)&gt;0,$Z29-$AA29,0),-$AA29)</f>
        <v>1</v>
      </c>
      <c r="E30" s="511" t="n">
        <f aca="false">IF(INT(E$6/$X29)*$X$7&gt;E28*($X$7+$Z29)*$Y29,E28*($X$7+$Z29)-SUM($B30:D30),INT(E$6/$X29)*$X$7-E28*($X$7+$Z29)*($Y29-1)-SUM($B30:D30))+IF($Y29&gt;1,IF(INT(E$6/$X29)&gt;0,$Z29-$AA29,0),-$AA29)</f>
        <v>0</v>
      </c>
      <c r="F30" s="511" t="n">
        <f aca="false">IF(INT(F$6/$X29)*$X$7&gt;F28*($X$7+$Z29)*$Y29,F28*($X$7+$Z29)-SUM($B30:E30),INT(F$6/$X29)*$X$7-F28*($X$7+$Z29)*($Y29-1)-SUM($B30:E30))+IF($Y29&gt;1,IF(INT(F$6/$X29)&gt;0,$Z29-$AA29,0),-$AA29)</f>
        <v>0</v>
      </c>
      <c r="G30" s="511" t="n">
        <f aca="false">IF(INT(G$6/$X29)*$X$7&gt;G28*($X$7+$Z29)*$Y29,G28*($X$7+$Z29)-SUM($B30:F30),INT(G$6/$X29)*$X$7-G28*($X$7+$Z29)*($Y29-1)-SUM($B30:F30))+IF($Y29&gt;1,IF(INT(G$6/$X29)&gt;0,$Z29-$AA29,0),-$AA29)</f>
        <v>0</v>
      </c>
      <c r="H30" s="511" t="n">
        <f aca="false">IF(INT(H$6/$X29)*$X$7&gt;H28*($X$7+$Z29)*$Y29,H28*($X$7+$Z29)-SUM($B30:G30),INT(H$6/$X29)*$X$7-H28*($X$7+$Z29)*($Y29-1)-SUM($B30:G30))+IF($Y29&gt;1,IF(INT(H$6/$X29)&gt;0,$Z29-$AA29,0),-$AA29)</f>
        <v>0</v>
      </c>
      <c r="I30" s="511" t="n">
        <f aca="false">IF(INT(I$6/$X29)*$X$7&gt;I28*($X$7+$Z29)*$Y29,I28*($X$7+$Z29)-SUM($B30:H30),INT(I$6/$X29)*$X$7-I28*($X$7+$Z29)*($Y29-1)-SUM($B30:H30))+IF($Y29&gt;1,IF(INT(I$6/$X29)&gt;0,$Z29-$AA29,0),-$AA29)</f>
        <v>0</v>
      </c>
      <c r="J30" s="511" t="n">
        <f aca="false">IF(INT(J$6/$X29)*$X$7&gt;J28*($X$7+$Z29)*$Y29,J28*($X$7+$Z29)-SUM($B30:I30),INT(J$6/$X29)*$X$7-J28*($X$7+$Z29)*($Y29-1)-SUM($B30:I30))+IF($Y29&gt;1,IF(INT(J$6/$X29)&gt;0,$Z29-$AA29,0),-$AA29)</f>
        <v>0</v>
      </c>
      <c r="K30" s="511" t="n">
        <f aca="false">IF(INT(K$6/$X29)*$X$7&gt;K28*($X$7+$Z29)*$Y29,K28*($X$7+$Z29)-SUM($B30:J30),INT(K$6/$X29)*$X$7-K28*($X$7+$Z29)*($Y29-1)-SUM($B30:J30))+IF($Y29&gt;1,IF(INT(K$6/$X29)&gt;0,$Z29-$AA29,0),-$AA29)</f>
        <v>0</v>
      </c>
      <c r="L30" s="511" t="n">
        <f aca="false">IF(INT(L$6/$X29)*$X$7&gt;L28*($X$7+$Z29)*$Y29,L28*($X$7+$Z29)-SUM($B30:K30),INT(L$6/$X29)*$X$7-L28*($X$7+$Z29)*($Y29-1)-SUM($B30:K30))+IF($Y29&gt;1,IF(INT(L$6/$X29)&gt;0,$Z29-$AA29,0),-$AA29)</f>
        <v>0</v>
      </c>
      <c r="M30" s="511" t="n">
        <f aca="false">IF(INT(M$6/$X29)*$X$7&gt;M28*($X$7+$Z29)*$Y29,M28*($X$7+$Z29)-SUM($B30:L30),INT(M$6/$X29)*$X$7-M28*($X$7+$Z29)*($Y29-1)-SUM($B30:L30))+IF($Y29&gt;1,IF(INT(M$6/$X29)&gt;0,$Z29-$AA29,0),-$AA29)</f>
        <v>0</v>
      </c>
      <c r="N30" s="511" t="n">
        <f aca="false">IF(INT(N$6/$X29)*$X$7&gt;N28*($X$7+$Z29)*$Y29,N28*($X$7+$Z29)-SUM($B30:M30),INT(N$6/$X29)*$X$7-N28*($X$7+$Z29)*($Y29-1)-SUM($B30:M30))+IF($Y29&gt;1,IF(INT(N$6/$X29)&gt;0,$Z29-$AA29,0),-$AA29)</f>
        <v>0</v>
      </c>
      <c r="O30" s="511" t="n">
        <f aca="false">IF(INT(O$6/$X29)*$X$7&gt;O28*($X$7+$Z29)*$Y29,O28*($X$7+$Z29)-SUM($B30:N30),INT(O$6/$X29)*$X$7-O28*($X$7+$Z29)*($Y29-1)-SUM($B30:N30))+IF($Y29&gt;1,IF(INT(O$6/$X29)&gt;0,$Z29-$AA29,0),-$AA29)</f>
        <v>0</v>
      </c>
      <c r="P30" s="511" t="n">
        <f aca="false">IF(INT(P$6/$X29)*$X$7&gt;P28*($X$7+$Z29)*$Y29,P28*($X$7+$Z29)-SUM($B30:O30),INT(P$6/$X29)*$X$7-P28*($X$7+$Z29)*($Y29-1)-SUM($B30:O30))+IF($Y29&gt;1,IF(INT(P$6/$X29)&gt;0,$Z29-$AA29,0),-$AA29)</f>
        <v>0</v>
      </c>
      <c r="Q30" s="511" t="n">
        <f aca="false">IF(INT(Q$6/$X29)*$X$7&gt;Q28*($X$7+$Z29)*$Y29,Q28*($X$7+$Z29)-SUM($B30:P30),INT(Q$6/$X29)*$X$7-Q28*($X$7+$Z29)*($Y29-1)-SUM($B30:P30))+IF($Y29&gt;1,IF(INT(Q$6/$X29)&gt;0,$Z29-$AA29,0),-$AA29)</f>
        <v>0</v>
      </c>
      <c r="R30" s="511" t="n">
        <f aca="false">IF(INT(R$6/$X29)*$X$7&gt;R28*($X$7+$Z29)*$Y29,R28*($X$7+$Z29)-SUM($B30:Q30),INT(R$6/$X29)*$X$7-R28*($X$7+$Z29)*($Y29-1)-SUM($B30:Q30))+IF($Y29&gt;1,IF(INT(R$6/$X29)&gt;0,$Z29-$AA29,0),-$AA29)</f>
        <v>0</v>
      </c>
      <c r="S30" s="511" t="n">
        <f aca="false">IF(INT(S$6/$X29)*$X$7&gt;S28*($X$7+$Z29)*$Y29,S28*($X$7+$Z29)-SUM($B30:R30),INT(S$6/$X29)*$X$7-S28*($X$7+$Z29)*($Y29-1)-SUM($B30:R30))+IF($Y29&gt;1,IF(INT(S$6/$X29)&gt;0,$Z29-$AA29,0),-$AA29)</f>
        <v>0</v>
      </c>
      <c r="T30" s="511" t="n">
        <f aca="false">IF(INT(T$6/$X29)*$X$7&gt;T28*($X$7+$Z29)*$Y29,T28*($X$7+$Z29)-SUM($B30:S30),INT(T$6/$X29)*$X$7-T28*($X$7+$Z29)*($Y29-1)-SUM($B30:S30))+IF($Y29&gt;1,IF(INT(T$6/$X29)&gt;0,$Z29-$AA29,0),-$AA29)</f>
        <v>0</v>
      </c>
      <c r="U30" s="511" t="n">
        <f aca="false">IF(INT(U$6/$X29)*$X$7&gt;U28*($X$7+$Z29)*$Y29,U28*($X$7+$Z29)-SUM($B30:T30),INT(U$6/$X29)*$X$7-U28*($X$7+$Z29)*($Y29-1)-SUM($B30:T30))+IF($Y29&gt;1,IF(INT(U$6/$X29)&gt;0,$Z29-$AA29,0),-$AA29)</f>
        <v>0</v>
      </c>
      <c r="V30" s="511" t="n">
        <f aca="false">IF(INT(V$6/$X29)*$X$7&gt;V28*($X$7+$Z29)*$Y29,V28*($X$7+$Z29)-SUM($B30:U30),INT(V$6/$X29)*$X$7-V28*($X$7+$Z29)*($Y29-1)-SUM($B30:U30))+IF($Y29&gt;1,IF(INT(V$6/$X29)&gt;0,$Z29-$AA29,0),-$AA29)</f>
        <v>0</v>
      </c>
      <c r="W30" s="803"/>
      <c r="AA30" s="157"/>
      <c r="AB30" s="157"/>
    </row>
    <row r="31" customFormat="false" ht="12.75" hidden="false" customHeight="false" outlineLevel="0" collapsed="false">
      <c r="A31" s="157"/>
      <c r="B31" s="157"/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785"/>
      <c r="X31" s="157"/>
      <c r="Y31" s="157"/>
      <c r="Z31" s="157"/>
      <c r="AA31" s="157"/>
      <c r="AB31" s="157"/>
    </row>
    <row r="32" customFormat="false" ht="12.75" hidden="true" customHeight="false" outlineLevel="0" collapsed="false">
      <c r="A32" s="153" t="s">
        <v>1395</v>
      </c>
      <c r="B32" s="511"/>
      <c r="C32" s="153" t="n">
        <f aca="false">INT((INT(C$6/$X33)*$X$7+$X$7+$Z33-1)/($X$7+$Z33)/$Y33)</f>
        <v>0</v>
      </c>
      <c r="D32" s="153" t="n">
        <f aca="false">INT((INT(D$6/$X33)*$X$7+$X$7+$Z33-1)/($X$7+$Z33)/$Y33)</f>
        <v>0</v>
      </c>
      <c r="E32" s="153" t="n">
        <f aca="false">INT((INT(E$6/$X33)*$X$7+$X$7+$Z33-1)/($X$7+$Z33)/$Y33)</f>
        <v>0</v>
      </c>
      <c r="F32" s="153" t="n">
        <f aca="false">INT((INT(F$6/$X33)*$X$7+$X$7+$Z33-1)/($X$7+$Z33)/$Y33)</f>
        <v>0</v>
      </c>
      <c r="G32" s="153" t="n">
        <f aca="false">INT((INT(G$6/$X33)*$X$7+$X$7+$Z33-1)/($X$7+$Z33)/$Y33)</f>
        <v>0</v>
      </c>
      <c r="H32" s="153" t="n">
        <f aca="false">INT((INT(H$6/$X33)*$X$7+$X$7+$Z33-1)/($X$7+$Z33)/$Y33)</f>
        <v>0</v>
      </c>
      <c r="I32" s="153" t="n">
        <f aca="false">INT((INT(I$6/$X33)*$X$7+$X$7+$Z33-1)/($X$7+$Z33)/$Y33)</f>
        <v>0</v>
      </c>
      <c r="J32" s="153" t="n">
        <f aca="false">INT((INT(J$6/$X33)*$X$7+$X$7+$Z33-1)/($X$7+$Z33)/$Y33)</f>
        <v>0</v>
      </c>
      <c r="K32" s="153" t="n">
        <f aca="false">INT((INT(K$6/$X33)*$X$7+$X$7+$Z33-1)/($X$7+$Z33)/$Y33)</f>
        <v>0</v>
      </c>
      <c r="L32" s="153" t="n">
        <f aca="false">INT((INT(L$6/$X33)*$X$7+$X$7+$Z33-1)/($X$7+$Z33)/$Y33)</f>
        <v>0</v>
      </c>
      <c r="M32" s="153" t="n">
        <f aca="false">INT((INT(M$6/$X33)*$X$7+$X$7+$Z33-1)/($X$7+$Z33)/$Y33)</f>
        <v>0</v>
      </c>
      <c r="N32" s="153" t="n">
        <f aca="false">INT((INT(N$6/$X33)*$X$7+$X$7+$Z33-1)/($X$7+$Z33)/$Y33)</f>
        <v>0</v>
      </c>
      <c r="O32" s="153" t="n">
        <f aca="false">INT((INT(O$6/$X33)*$X$7+$X$7+$Z33-1)/($X$7+$Z33)/$Y33)</f>
        <v>0</v>
      </c>
      <c r="P32" s="153" t="n">
        <f aca="false">INT((INT(P$6/$X33)*$X$7+$X$7+$Z33-1)/($X$7+$Z33)/$Y33)</f>
        <v>0</v>
      </c>
      <c r="Q32" s="153" t="n">
        <f aca="false">INT((INT(Q$6/$X33)*$X$7+$X$7+$Z33-1)/($X$7+$Z33)/$Y33)</f>
        <v>0</v>
      </c>
      <c r="R32" s="153" t="n">
        <f aca="false">INT((INT(R$6/$X33)*$X$7+$X$7+$Z33-1)/($X$7+$Z33)/$Y33)</f>
        <v>0</v>
      </c>
      <c r="S32" s="153" t="n">
        <f aca="false">INT((INT(S$6/$X33)*$X$7+$X$7+$Z33-1)/($X$7+$Z33)/$Y33)</f>
        <v>0</v>
      </c>
      <c r="T32" s="153" t="n">
        <f aca="false">INT((INT(T$6/$X33)*$X$7+$X$7+$Z33-1)/($X$7+$Z33)/$Y33)</f>
        <v>0</v>
      </c>
      <c r="U32" s="153" t="n">
        <f aca="false">INT((INT(U$6/$X33)*$X$7+$X$7+$Z33-1)/($X$7+$Z33)/$Y33)</f>
        <v>0</v>
      </c>
      <c r="V32" s="153" t="n">
        <f aca="false">INT((INT(V$6/$X33)*$X$7+$X$7+$Z33-1)/($X$7+$Z33)/$Y33)</f>
        <v>0</v>
      </c>
      <c r="W32" s="157"/>
      <c r="X32" s="157"/>
      <c r="Y32" s="157"/>
      <c r="Z32" s="157"/>
      <c r="AA32" s="157"/>
      <c r="AB32" s="157"/>
    </row>
    <row r="33" customFormat="false" ht="12.75" hidden="false" customHeight="false" outlineLevel="0" collapsed="false">
      <c r="A33" s="153" t="s">
        <v>1396</v>
      </c>
      <c r="B33" s="511" t="s">
        <v>1007</v>
      </c>
      <c r="C33" s="511" t="n">
        <f aca="false">IF($Y33=1,0,$X$7*(INT(C$6/$X33)-INT(B$6/$X33))-IF(SUM($B33:B33)&gt;0,C34,0))</f>
        <v>0</v>
      </c>
      <c r="D33" s="511" t="n">
        <f aca="false">IF($Y33=1,0,$X$7*(INT(D$6/$X33)-INT(C$6/$X33))-IF(SUM($B33:C33)&gt;0,D34,0))</f>
        <v>0</v>
      </c>
      <c r="E33" s="511" t="n">
        <f aca="false">IF($Y33=1,0,$X$7*(INT(E$6/$X33)-INT(D$6/$X33))-IF(SUM($B33:D33)&gt;0,E34,0))</f>
        <v>0</v>
      </c>
      <c r="F33" s="511" t="n">
        <f aca="false">IF($Y33=1,0,$X$7*(INT(F$6/$X33)-INT(E$6/$X33))-IF(SUM($B33:E33)&gt;0,F34,0))</f>
        <v>0</v>
      </c>
      <c r="G33" s="511" t="n">
        <f aca="false">IF($Y33=1,0,$X$7*(INT(G$6/$X33)-INT(F$6/$X33))-IF(SUM($B33:F33)&gt;0,G34,0))</f>
        <v>0</v>
      </c>
      <c r="H33" s="511" t="n">
        <f aca="false">IF($Y33=1,0,$X$7*(INT(H$6/$X33)-INT(G$6/$X33))-IF(SUM($B33:G33)&gt;0,H34,0))</f>
        <v>0</v>
      </c>
      <c r="I33" s="511" t="n">
        <f aca="false">IF($Y33=1,0,$X$7*(INT(I$6/$X33)-INT(H$6/$X33))-IF(SUM($B33:H33)&gt;0,I34,0))</f>
        <v>0</v>
      </c>
      <c r="J33" s="511" t="n">
        <f aca="false">IF($Y33=1,0,$X$7*(INT(J$6/$X33)-INT(I$6/$X33))-IF(SUM($B33:I33)&gt;0,J34,0))</f>
        <v>0</v>
      </c>
      <c r="K33" s="511" t="n">
        <f aca="false">IF($Y33=1,0,$X$7*(INT(K$6/$X33)-INT(J$6/$X33))-IF(SUM($B33:J33)&gt;0,K34,0))</f>
        <v>0</v>
      </c>
      <c r="L33" s="511" t="n">
        <f aca="false">IF($Y33=1,0,$X$7*(INT(L$6/$X33)-INT(K$6/$X33))-IF(SUM($B33:K33)&gt;0,L34,0))</f>
        <v>0</v>
      </c>
      <c r="M33" s="511" t="n">
        <f aca="false">IF($Y33=1,0,$X$7*(INT(M$6/$X33)-INT(L$6/$X33))-IF(SUM($B33:L33)&gt;0,M34,0))</f>
        <v>0</v>
      </c>
      <c r="N33" s="511" t="n">
        <f aca="false">IF($Y33=1,0,$X$7*(INT(N$6/$X33)-INT(M$6/$X33))-IF(SUM($B33:M33)&gt;0,N34,0))</f>
        <v>0</v>
      </c>
      <c r="O33" s="511" t="n">
        <f aca="false">IF($Y33=1,0,$X$7*(INT(O$6/$X33)-INT(N$6/$X33))-IF(SUM($B33:N33)&gt;0,O34,0))</f>
        <v>0</v>
      </c>
      <c r="P33" s="511" t="n">
        <f aca="false">IF($Y33=1,0,$X$7*(INT(P$6/$X33)-INT(O$6/$X33))-IF(SUM($B33:O33)&gt;0,P34,0))</f>
        <v>0</v>
      </c>
      <c r="Q33" s="511" t="n">
        <f aca="false">IF($Y33=1,0,$X$7*(INT(Q$6/$X33)-INT(P$6/$X33))-IF(SUM($B33:P33)&gt;0,Q34,0))</f>
        <v>0</v>
      </c>
      <c r="R33" s="511" t="n">
        <f aca="false">IF($Y33=1,0,$X$7*(INT(R$6/$X33)-INT(Q$6/$X33))-IF(SUM($B33:Q33)&gt;0,R34,0))</f>
        <v>0</v>
      </c>
      <c r="S33" s="511" t="n">
        <f aca="false">IF($Y33=1,0,$X$7*(INT(S$6/$X33)-INT(R$6/$X33))-IF(SUM($B33:R33)&gt;0,S34,0))</f>
        <v>0</v>
      </c>
      <c r="T33" s="511" t="n">
        <f aca="false">IF($Y33=1,0,$X$7*(INT(T$6/$X33)-INT(S$6/$X33))-IF(SUM($B33:S33)&gt;0,T34,0))</f>
        <v>0</v>
      </c>
      <c r="U33" s="511" t="n">
        <f aca="false">IF($Y33=1,0,$X$7*(INT(U$6/$X33)-INT(T$6/$X33))-IF(SUM($B33:T33)&gt;0,U34,0))</f>
        <v>0</v>
      </c>
      <c r="V33" s="511" t="n">
        <f aca="false">IF($Y33=1,0,$X$7*(INT(V$6/$X33)-INT(U$6/$X33))-IF(SUM($B33:U33)&gt;0,V34,0))</f>
        <v>0</v>
      </c>
      <c r="W33" s="800" t="str">
        <f aca="false">'GT schd cost(6B)'!A19</f>
        <v>1ST STAGE BUCKETS</v>
      </c>
      <c r="X33" s="800" t="n">
        <f aca="false">IF($AD$6=1,'GTDB(6B)'!B21,'GTDB(6B)'!H21)</f>
        <v>24000</v>
      </c>
      <c r="Y33" s="800" t="n">
        <f aca="false">IF($AD$6=1,'GTDB(6B)'!C21,'GTDB(6B)'!I21)</f>
        <v>2</v>
      </c>
      <c r="Z33" s="801" t="n">
        <v>2</v>
      </c>
      <c r="AA33" s="776" t="n">
        <f aca="false">'Initial_Spares(6B)'!$D$15</f>
        <v>0</v>
      </c>
      <c r="AB33" s="764" t="n">
        <f aca="false">'GT schd cost(6B)'!X19+'GT schd cost(6B)'!X42</f>
        <v>750</v>
      </c>
    </row>
    <row r="34" customFormat="false" ht="12.75" hidden="false" customHeight="false" outlineLevel="0" collapsed="false">
      <c r="A34" s="153" t="s">
        <v>1397</v>
      </c>
      <c r="B34" s="511" t="s">
        <v>1007</v>
      </c>
      <c r="C34" s="511" t="n">
        <f aca="false">IF(INT(C$6/$X33)*$X$7&gt;C32*($X$7+$Z33)*$Y33,C32*($X$7+$Z33)-SUM($B34:B34),INT(C$6/$X33)*$X$7-C32*($X$7+$Z33)*($Y33-1)-SUM($B34:B34))+IF($Y33&gt;1,IF(INT(C$6/$X33)&gt;0,$Z33-$AA33,0),-$AA33)</f>
        <v>0</v>
      </c>
      <c r="D34" s="511" t="n">
        <f aca="false">IF(INT(D$6/$X33)*$X$7&gt;D32*($X$7+$Z33)*$Y33,D32*($X$7+$Z33)-SUM($B34:C34),INT(D$6/$X33)*$X$7-D32*($X$7+$Z33)*($Y33-1)-SUM($B34:C34))+IF($Y33&gt;1,IF(INT(D$6/$X33)&gt;0,$Z33-$AA33,0),-$AA33)</f>
        <v>0</v>
      </c>
      <c r="E34" s="511" t="n">
        <f aca="false">IF(INT(E$6/$X33)*$X$7&gt;E32*($X$7+$Z33)*$Y33,E32*($X$7+$Z33)-SUM($B34:D34),INT(E$6/$X33)*$X$7-E32*($X$7+$Z33)*($Y33-1)-SUM($B34:D34))+IF($Y33&gt;1,IF(INT(E$6/$X33)&gt;0,$Z33-$AA33,0),-$AA33)</f>
        <v>2</v>
      </c>
      <c r="F34" s="511" t="n">
        <f aca="false">IF(INT(F$6/$X33)*$X$7&gt;F32*($X$7+$Z33)*$Y33,F32*($X$7+$Z33)-SUM($B34:E34),INT(F$6/$X33)*$X$7-F32*($X$7+$Z33)*($Y33-1)-SUM($B34:E34))+IF($Y33&gt;1,IF(INT(F$6/$X33)&gt;0,$Z33-$AA33,0),-$AA33)</f>
        <v>0</v>
      </c>
      <c r="G34" s="511" t="n">
        <f aca="false">IF(INT(G$6/$X33)*$X$7&gt;G32*($X$7+$Z33)*$Y33,G32*($X$7+$Z33)-SUM($B34:F34),INT(G$6/$X33)*$X$7-G32*($X$7+$Z33)*($Y33-1)-SUM($B34:F34))+IF($Y33&gt;1,IF(INT(G$6/$X33)&gt;0,$Z33-$AA33,0),-$AA33)</f>
        <v>0</v>
      </c>
      <c r="H34" s="511" t="n">
        <f aca="false">IF(INT(H$6/$X33)*$X$7&gt;H32*($X$7+$Z33)*$Y33,H32*($X$7+$Z33)-SUM($B34:G34),INT(H$6/$X33)*$X$7-H32*($X$7+$Z33)*($Y33-1)-SUM($B34:G34))+IF($Y33&gt;1,IF(INT(H$6/$X33)&gt;0,$Z33-$AA33,0),-$AA33)</f>
        <v>0</v>
      </c>
      <c r="I34" s="511" t="n">
        <f aca="false">IF(INT(I$6/$X33)*$X$7&gt;I32*($X$7+$Z33)*$Y33,I32*($X$7+$Z33)-SUM($B34:H34),INT(I$6/$X33)*$X$7-I32*($X$7+$Z33)*($Y33-1)-SUM($B34:H34))+IF($Y33&gt;1,IF(INT(I$6/$X33)&gt;0,$Z33-$AA33,0),-$AA33)</f>
        <v>0</v>
      </c>
      <c r="J34" s="511" t="n">
        <f aca="false">IF(INT(J$6/$X33)*$X$7&gt;J32*($X$7+$Z33)*$Y33,J32*($X$7+$Z33)-SUM($B34:I34),INT(J$6/$X33)*$X$7-J32*($X$7+$Z33)*($Y33-1)-SUM($B34:I34))+IF($Y33&gt;1,IF(INT(J$6/$X33)&gt;0,$Z33-$AA33,0),-$AA33)</f>
        <v>0</v>
      </c>
      <c r="K34" s="511" t="n">
        <f aca="false">IF(INT(K$6/$X33)*$X$7&gt;K32*($X$7+$Z33)*$Y33,K32*($X$7+$Z33)-SUM($B34:J34),INT(K$6/$X33)*$X$7-K32*($X$7+$Z33)*($Y33-1)-SUM($B34:J34))+IF($Y33&gt;1,IF(INT(K$6/$X33)&gt;0,$Z33-$AA33,0),-$AA33)</f>
        <v>0</v>
      </c>
      <c r="L34" s="511" t="n">
        <f aca="false">IF(INT(L$6/$X33)*$X$7&gt;L32*($X$7+$Z33)*$Y33,L32*($X$7+$Z33)-SUM($B34:K34),INT(L$6/$X33)*$X$7-L32*($X$7+$Z33)*($Y33-1)-SUM($B34:K34))+IF($Y33&gt;1,IF(INT(L$6/$X33)&gt;0,$Z33-$AA33,0),-$AA33)</f>
        <v>0</v>
      </c>
      <c r="M34" s="511" t="n">
        <f aca="false">IF(INT(M$6/$X33)*$X$7&gt;M32*($X$7+$Z33)*$Y33,M32*($X$7+$Z33)-SUM($B34:L34),INT(M$6/$X33)*$X$7-M32*($X$7+$Z33)*($Y33-1)-SUM($B34:L34))+IF($Y33&gt;1,IF(INT(M$6/$X33)&gt;0,$Z33-$AA33,0),-$AA33)</f>
        <v>0</v>
      </c>
      <c r="N34" s="511" t="n">
        <f aca="false">IF(INT(N$6/$X33)*$X$7&gt;N32*($X$7+$Z33)*$Y33,N32*($X$7+$Z33)-SUM($B34:M34),INT(N$6/$X33)*$X$7-N32*($X$7+$Z33)*($Y33-1)-SUM($B34:M34))+IF($Y33&gt;1,IF(INT(N$6/$X33)&gt;0,$Z33-$AA33,0),-$AA33)</f>
        <v>0</v>
      </c>
      <c r="O34" s="511" t="n">
        <f aca="false">IF(INT(O$6/$X33)*$X$7&gt;O32*($X$7+$Z33)*$Y33,O32*($X$7+$Z33)-SUM($B34:N34),INT(O$6/$X33)*$X$7-O32*($X$7+$Z33)*($Y33-1)-SUM($B34:N34))+IF($Y33&gt;1,IF(INT(O$6/$X33)&gt;0,$Z33-$AA33,0),-$AA33)</f>
        <v>0</v>
      </c>
      <c r="P34" s="511" t="n">
        <f aca="false">IF(INT(P$6/$X33)*$X$7&gt;P32*($X$7+$Z33)*$Y33,P32*($X$7+$Z33)-SUM($B34:O34),INT(P$6/$X33)*$X$7-P32*($X$7+$Z33)*($Y33-1)-SUM($B34:O34))+IF($Y33&gt;1,IF(INT(P$6/$X33)&gt;0,$Z33-$AA33,0),-$AA33)</f>
        <v>0</v>
      </c>
      <c r="Q34" s="511" t="n">
        <f aca="false">IF(INT(Q$6/$X33)*$X$7&gt;Q32*($X$7+$Z33)*$Y33,Q32*($X$7+$Z33)-SUM($B34:P34),INT(Q$6/$X33)*$X$7-Q32*($X$7+$Z33)*($Y33-1)-SUM($B34:P34))+IF($Y33&gt;1,IF(INT(Q$6/$X33)&gt;0,$Z33-$AA33,0),-$AA33)</f>
        <v>0</v>
      </c>
      <c r="R34" s="511" t="n">
        <f aca="false">IF(INT(R$6/$X33)*$X$7&gt;R32*($X$7+$Z33)*$Y33,R32*($X$7+$Z33)-SUM($B34:Q34),INT(R$6/$X33)*$X$7-R32*($X$7+$Z33)*($Y33-1)-SUM($B34:Q34))+IF($Y33&gt;1,IF(INT(R$6/$X33)&gt;0,$Z33-$AA33,0),-$AA33)</f>
        <v>0</v>
      </c>
      <c r="S34" s="511" t="n">
        <f aca="false">IF(INT(S$6/$X33)*$X$7&gt;S32*($X$7+$Z33)*$Y33,S32*($X$7+$Z33)-SUM($B34:R34),INT(S$6/$X33)*$X$7-S32*($X$7+$Z33)*($Y33-1)-SUM($B34:R34))+IF($Y33&gt;1,IF(INT(S$6/$X33)&gt;0,$Z33-$AA33,0),-$AA33)</f>
        <v>0</v>
      </c>
      <c r="T34" s="511" t="n">
        <f aca="false">IF(INT(T$6/$X33)*$X$7&gt;T32*($X$7+$Z33)*$Y33,T32*($X$7+$Z33)-SUM($B34:S34),INT(T$6/$X33)*$X$7-T32*($X$7+$Z33)*($Y33-1)-SUM($B34:S34))+IF($Y33&gt;1,IF(INT(T$6/$X33)&gt;0,$Z33-$AA33,0),-$AA33)</f>
        <v>0</v>
      </c>
      <c r="U34" s="511" t="n">
        <f aca="false">IF(INT(U$6/$X33)*$X$7&gt;U32*($X$7+$Z33)*$Y33,U32*($X$7+$Z33)-SUM($B34:T34),INT(U$6/$X33)*$X$7-U32*($X$7+$Z33)*($Y33-1)-SUM($B34:T34))+IF($Y33&gt;1,IF(INT(U$6/$X33)&gt;0,$Z33-$AA33,0),-$AA33)</f>
        <v>0</v>
      </c>
      <c r="V34" s="511" t="n">
        <f aca="false">IF(INT(V$6/$X33)*$X$7&gt;V32*($X$7+$Z33)*$Y33,V32*($X$7+$Z33)-SUM($B34:U34),INT(V$6/$X33)*$X$7-V32*($X$7+$Z33)*($Y33-1)-SUM($B34:U34))+IF($Y33&gt;1,IF(INT(V$6/$X33)&gt;0,$Z33-$AA33,0),-$AA33)</f>
        <v>0</v>
      </c>
      <c r="W34" s="803"/>
      <c r="AA34" s="157"/>
      <c r="AB34" s="157"/>
    </row>
    <row r="35" customFormat="false" ht="12.75" hidden="false" customHeight="false" outlineLevel="0" collapsed="false">
      <c r="A35" s="157"/>
      <c r="B35" s="518"/>
      <c r="C35" s="518"/>
      <c r="D35" s="518"/>
      <c r="E35" s="518"/>
      <c r="F35" s="518"/>
      <c r="G35" s="518"/>
      <c r="H35" s="518"/>
      <c r="I35" s="518"/>
      <c r="J35" s="518"/>
      <c r="K35" s="518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785"/>
      <c r="X35" s="157"/>
      <c r="Y35" s="157"/>
      <c r="Z35" s="157"/>
      <c r="AA35" s="157"/>
      <c r="AB35" s="157"/>
    </row>
    <row r="36" customFormat="false" ht="12.75" hidden="true" customHeight="false" outlineLevel="0" collapsed="false">
      <c r="A36" s="153" t="s">
        <v>1395</v>
      </c>
      <c r="B36" s="511"/>
      <c r="C36" s="153" t="n">
        <f aca="false">INT((INT(C$6/$X37)*$X$7+$X$7+$Z37-1)/($X$7+$Z37)/$Y37)</f>
        <v>0</v>
      </c>
      <c r="D36" s="153" t="n">
        <f aca="false">INT((INT(D$6/$X37)*$X$7+$X$7+$Z37-1)/($X$7+$Z37)/$Y37)</f>
        <v>0</v>
      </c>
      <c r="E36" s="153" t="n">
        <f aca="false">INT((INT(E$6/$X37)*$X$7+$X$7+$Z37-1)/($X$7+$Z37)/$Y37)</f>
        <v>0</v>
      </c>
      <c r="F36" s="153" t="n">
        <f aca="false">INT((INT(F$6/$X37)*$X$7+$X$7+$Z37-1)/($X$7+$Z37)/$Y37)</f>
        <v>0</v>
      </c>
      <c r="G36" s="153" t="n">
        <f aca="false">INT((INT(G$6/$X37)*$X$7+$X$7+$Z37-1)/($X$7+$Z37)/$Y37)</f>
        <v>0</v>
      </c>
      <c r="H36" s="153" t="n">
        <f aca="false">INT((INT(H$6/$X37)*$X$7+$X$7+$Z37-1)/($X$7+$Z37)/$Y37)</f>
        <v>0</v>
      </c>
      <c r="I36" s="153" t="n">
        <f aca="false">INT((INT(I$6/$X37)*$X$7+$X$7+$Z37-1)/($X$7+$Z37)/$Y37)</f>
        <v>0</v>
      </c>
      <c r="J36" s="153" t="n">
        <f aca="false">INT((INT(J$6/$X37)*$X$7+$X$7+$Z37-1)/($X$7+$Z37)/$Y37)</f>
        <v>0</v>
      </c>
      <c r="K36" s="153" t="n">
        <f aca="false">INT((INT(K$6/$X37)*$X$7+$X$7+$Z37-1)/($X$7+$Z37)/$Y37)</f>
        <v>0</v>
      </c>
      <c r="L36" s="153" t="n">
        <f aca="false">INT((INT(L$6/$X37)*$X$7+$X$7+$Z37-1)/($X$7+$Z37)/$Y37)</f>
        <v>0</v>
      </c>
      <c r="M36" s="153" t="n">
        <f aca="false">INT((INT(M$6/$X37)*$X$7+$X$7+$Z37-1)/($X$7+$Z37)/$Y37)</f>
        <v>0</v>
      </c>
      <c r="N36" s="153" t="n">
        <f aca="false">INT((INT(N$6/$X37)*$X$7+$X$7+$Z37-1)/($X$7+$Z37)/$Y37)</f>
        <v>0</v>
      </c>
      <c r="O36" s="153" t="n">
        <f aca="false">INT((INT(O$6/$X37)*$X$7+$X$7+$Z37-1)/($X$7+$Z37)/$Y37)</f>
        <v>0</v>
      </c>
      <c r="P36" s="153" t="n">
        <f aca="false">INT((INT(P$6/$X37)*$X$7+$X$7+$Z37-1)/($X$7+$Z37)/$Y37)</f>
        <v>0</v>
      </c>
      <c r="Q36" s="153" t="n">
        <f aca="false">INT((INT(Q$6/$X37)*$X$7+$X$7+$Z37-1)/($X$7+$Z37)/$Y37)</f>
        <v>0</v>
      </c>
      <c r="R36" s="153" t="n">
        <f aca="false">INT((INT(R$6/$X37)*$X$7+$X$7+$Z37-1)/($X$7+$Z37)/$Y37)</f>
        <v>0</v>
      </c>
      <c r="S36" s="153" t="n">
        <f aca="false">INT((INT(S$6/$X37)*$X$7+$X$7+$Z37-1)/($X$7+$Z37)/$Y37)</f>
        <v>0</v>
      </c>
      <c r="T36" s="153" t="n">
        <f aca="false">INT((INT(T$6/$X37)*$X$7+$X$7+$Z37-1)/($X$7+$Z37)/$Y37)</f>
        <v>0</v>
      </c>
      <c r="U36" s="153" t="n">
        <f aca="false">INT((INT(U$6/$X37)*$X$7+$X$7+$Z37-1)/($X$7+$Z37)/$Y37)</f>
        <v>0</v>
      </c>
      <c r="V36" s="153" t="n">
        <f aca="false">INT((INT(V$6/$X37)*$X$7+$X$7+$Z37-1)/($X$7+$Z37)/$Y37)</f>
        <v>0</v>
      </c>
      <c r="W36" s="157"/>
      <c r="X36" s="157"/>
      <c r="Y36" s="157"/>
      <c r="Z36" s="157"/>
      <c r="AA36" s="157"/>
      <c r="AB36" s="157"/>
    </row>
    <row r="37" customFormat="false" ht="12.75" hidden="false" customHeight="false" outlineLevel="0" collapsed="false">
      <c r="A37" s="153" t="s">
        <v>1396</v>
      </c>
      <c r="B37" s="511" t="s">
        <v>1007</v>
      </c>
      <c r="C37" s="511" t="n">
        <f aca="false">IF($Y37=1,0,$X$7*(INT(C$6/$X37)-INT(B$6/$X37))-IF(SUM($B37:B37)&gt;0,C38,0))</f>
        <v>0</v>
      </c>
      <c r="D37" s="511" t="n">
        <f aca="false">IF($Y37=1,0,$X$7*(INT(D$6/$X37)-INT(C$6/$X37))-IF(SUM($B37:C37)&gt;0,D38,0))</f>
        <v>0</v>
      </c>
      <c r="E37" s="511" t="n">
        <f aca="false">IF($Y37=1,0,$X$7*(INT(E$6/$X37)-INT(D$6/$X37))-IF(SUM($B37:D37)&gt;0,E38,0))</f>
        <v>0</v>
      </c>
      <c r="F37" s="511" t="n">
        <f aca="false">IF($Y37=1,0,$X$7*(INT(F$6/$X37)-INT(E$6/$X37))-IF(SUM($B37:E37)&gt;0,F38,0))</f>
        <v>0</v>
      </c>
      <c r="G37" s="511" t="n">
        <f aca="false">IF($Y37=1,0,$X$7*(INT(G$6/$X37)-INT(F$6/$X37))-IF(SUM($B37:F37)&gt;0,G38,0))</f>
        <v>0</v>
      </c>
      <c r="H37" s="511" t="n">
        <f aca="false">IF($Y37=1,0,$X$7*(INT(H$6/$X37)-INT(G$6/$X37))-IF(SUM($B37:G37)&gt;0,H38,0))</f>
        <v>0</v>
      </c>
      <c r="I37" s="511" t="n">
        <f aca="false">IF($Y37=1,0,$X$7*(INT(I$6/$X37)-INT(H$6/$X37))-IF(SUM($B37:H37)&gt;0,I38,0))</f>
        <v>0</v>
      </c>
      <c r="J37" s="511" t="n">
        <f aca="false">IF($Y37=1,0,$X$7*(INT(J$6/$X37)-INT(I$6/$X37))-IF(SUM($B37:I37)&gt;0,J38,0))</f>
        <v>0</v>
      </c>
      <c r="K37" s="511" t="n">
        <f aca="false">IF($Y37=1,0,$X$7*(INT(K$6/$X37)-INT(J$6/$X37))-IF(SUM($B37:J37)&gt;0,K38,0))</f>
        <v>0</v>
      </c>
      <c r="L37" s="511" t="n">
        <f aca="false">IF($Y37=1,0,$X$7*(INT(L$6/$X37)-INT(K$6/$X37))-IF(SUM($B37:K37)&gt;0,L38,0))</f>
        <v>0</v>
      </c>
      <c r="M37" s="511" t="n">
        <f aca="false">IF($Y37=1,0,$X$7*(INT(M$6/$X37)-INT(L$6/$X37))-IF(SUM($B37:L37)&gt;0,M38,0))</f>
        <v>0</v>
      </c>
      <c r="N37" s="511" t="n">
        <f aca="false">IF($Y37=1,0,$X$7*(INT(N$6/$X37)-INT(M$6/$X37))-IF(SUM($B37:M37)&gt;0,N38,0))</f>
        <v>0</v>
      </c>
      <c r="O37" s="511" t="n">
        <f aca="false">IF($Y37=1,0,$X$7*(INT(O$6/$X37)-INT(N$6/$X37))-IF(SUM($B37:N37)&gt;0,O38,0))</f>
        <v>0</v>
      </c>
      <c r="P37" s="511" t="n">
        <f aca="false">IF($Y37=1,0,$X$7*(INT(P$6/$X37)-INT(O$6/$X37))-IF(SUM($B37:O37)&gt;0,P38,0))</f>
        <v>0</v>
      </c>
      <c r="Q37" s="511" t="n">
        <f aca="false">IF($Y37=1,0,$X$7*(INT(Q$6/$X37)-INT(P$6/$X37))-IF(SUM($B37:P37)&gt;0,Q38,0))</f>
        <v>0</v>
      </c>
      <c r="R37" s="511" t="n">
        <f aca="false">IF($Y37=1,0,$X$7*(INT(R$6/$X37)-INT(Q$6/$X37))-IF(SUM($B37:Q37)&gt;0,R38,0))</f>
        <v>0</v>
      </c>
      <c r="S37" s="511" t="n">
        <f aca="false">IF($Y37=1,0,$X$7*(INT(S$6/$X37)-INT(R$6/$X37))-IF(SUM($B37:R37)&gt;0,S38,0))</f>
        <v>0</v>
      </c>
      <c r="T37" s="511" t="n">
        <f aca="false">IF($Y37=1,0,$X$7*(INT(T$6/$X37)-INT(S$6/$X37))-IF(SUM($B37:S37)&gt;0,T38,0))</f>
        <v>0</v>
      </c>
      <c r="U37" s="511" t="n">
        <f aca="false">IF($Y37=1,0,$X$7*(INT(U$6/$X37)-INT(T$6/$X37))-IF(SUM($B37:T37)&gt;0,U38,0))</f>
        <v>0</v>
      </c>
      <c r="V37" s="511" t="n">
        <f aca="false">IF($Y37=1,0,$X$7*(INT(V$6/$X37)-INT(U$6/$X37))-IF(SUM($B37:U37)&gt;0,V38,0))</f>
        <v>0</v>
      </c>
      <c r="W37" s="800" t="str">
        <f aca="false">'GT schd cost(6B)'!A20</f>
        <v>2ND STAGE BUCKETS</v>
      </c>
      <c r="X37" s="800" t="n">
        <f aca="false">IF($AD$6=1,'GTDB(6B)'!B22,'GTDB(6B)'!H22)</f>
        <v>24000</v>
      </c>
      <c r="Y37" s="800" t="n">
        <f aca="false">IF($AD$6=1,'GTDB(6B)'!C22,'GTDB(6B)'!I22)</f>
        <v>3</v>
      </c>
      <c r="Z37" s="801" t="n">
        <v>1</v>
      </c>
      <c r="AA37" s="776" t="n">
        <f aca="false">'Initial_Spares(6B)'!$D$16</f>
        <v>0</v>
      </c>
      <c r="AB37" s="764" t="n">
        <f aca="false">'GT schd cost(6B)'!X20+'GT schd cost(6B)'!X43</f>
        <v>275</v>
      </c>
    </row>
    <row r="38" customFormat="false" ht="12.75" hidden="false" customHeight="false" outlineLevel="0" collapsed="false">
      <c r="A38" s="153" t="s">
        <v>1397</v>
      </c>
      <c r="B38" s="511" t="s">
        <v>1007</v>
      </c>
      <c r="C38" s="511" t="n">
        <f aca="false">IF(INT(C$6/$X37)*$X$7&gt;C36*($X$7+$Z37)*$Y37,C36*($X$7+$Z37)-SUM($B38:B38),INT(C$6/$X37)*$X$7-C36*($X$7+$Z37)*($Y37-1)-SUM($B38:B38))+IF($Y37&gt;1,IF(INT(C$6/$X37)&gt;0,$Z37-$AA37,0),-$AA37)</f>
        <v>0</v>
      </c>
      <c r="D38" s="511" t="n">
        <f aca="false">IF(INT(D$6/$X37)*$X$7&gt;D36*($X$7+$Z37)*$Y37,D36*($X$7+$Z37)-SUM($B38:C38),INT(D$6/$X37)*$X$7-D36*($X$7+$Z37)*($Y37-1)-SUM($B38:C38))+IF($Y37&gt;1,IF(INT(D$6/$X37)&gt;0,$Z37-$AA37,0),-$AA37)</f>
        <v>0</v>
      </c>
      <c r="E38" s="511" t="n">
        <f aca="false">IF(INT(E$6/$X37)*$X$7&gt;E36*($X$7+$Z37)*$Y37,E36*($X$7+$Z37)-SUM($B38:D38),INT(E$6/$X37)*$X$7-E36*($X$7+$Z37)*($Y37-1)-SUM($B38:D38))+IF($Y37&gt;1,IF(INT(E$6/$X37)&gt;0,$Z37-$AA37,0),-$AA37)</f>
        <v>1</v>
      </c>
      <c r="F38" s="511" t="n">
        <f aca="false">IF(INT(F$6/$X37)*$X$7&gt;F36*($X$7+$Z37)*$Y37,F36*($X$7+$Z37)-SUM($B38:E38),INT(F$6/$X37)*$X$7-F36*($X$7+$Z37)*($Y37-1)-SUM($B38:E38))+IF($Y37&gt;1,IF(INT(F$6/$X37)&gt;0,$Z37-$AA37,0),-$AA37)</f>
        <v>0</v>
      </c>
      <c r="G38" s="511" t="n">
        <f aca="false">IF(INT(G$6/$X37)*$X$7&gt;G36*($X$7+$Z37)*$Y37,G36*($X$7+$Z37)-SUM($B38:F38),INT(G$6/$X37)*$X$7-G36*($X$7+$Z37)*($Y37-1)-SUM($B38:F38))+IF($Y37&gt;1,IF(INT(G$6/$X37)&gt;0,$Z37-$AA37,0),-$AA37)</f>
        <v>0</v>
      </c>
      <c r="H38" s="511" t="n">
        <f aca="false">IF(INT(H$6/$X37)*$X$7&gt;H36*($X$7+$Z37)*$Y37,H36*($X$7+$Z37)-SUM($B38:G38),INT(H$6/$X37)*$X$7-H36*($X$7+$Z37)*($Y37-1)-SUM($B38:G38))+IF($Y37&gt;1,IF(INT(H$6/$X37)&gt;0,$Z37-$AA37,0),-$AA37)</f>
        <v>0</v>
      </c>
      <c r="I38" s="511" t="n">
        <f aca="false">IF(INT(I$6/$X37)*$X$7&gt;I36*($X$7+$Z37)*$Y37,I36*($X$7+$Z37)-SUM($B38:H38),INT(I$6/$X37)*$X$7-I36*($X$7+$Z37)*($Y37-1)-SUM($B38:H38))+IF($Y37&gt;1,IF(INT(I$6/$X37)&gt;0,$Z37-$AA37,0),-$AA37)</f>
        <v>0</v>
      </c>
      <c r="J38" s="511" t="n">
        <f aca="false">IF(INT(J$6/$X37)*$X$7&gt;J36*($X$7+$Z37)*$Y37,J36*($X$7+$Z37)-SUM($B38:I38),INT(J$6/$X37)*$X$7-J36*($X$7+$Z37)*($Y37-1)-SUM($B38:I38))+IF($Y37&gt;1,IF(INT(J$6/$X37)&gt;0,$Z37-$AA37,0),-$AA37)</f>
        <v>0</v>
      </c>
      <c r="K38" s="511" t="n">
        <f aca="false">IF(INT(K$6/$X37)*$X$7&gt;K36*($X$7+$Z37)*$Y37,K36*($X$7+$Z37)-SUM($B38:J38),INT(K$6/$X37)*$X$7-K36*($X$7+$Z37)*($Y37-1)-SUM($B38:J38))+IF($Y37&gt;1,IF(INT(K$6/$X37)&gt;0,$Z37-$AA37,0),-$AA37)</f>
        <v>0</v>
      </c>
      <c r="L38" s="511" t="n">
        <f aca="false">IF(INT(L$6/$X37)*$X$7&gt;L36*($X$7+$Z37)*$Y37,L36*($X$7+$Z37)-SUM($B38:K38),INT(L$6/$X37)*$X$7-L36*($X$7+$Z37)*($Y37-1)-SUM($B38:K38))+IF($Y37&gt;1,IF(INT(L$6/$X37)&gt;0,$Z37-$AA37,0),-$AA37)</f>
        <v>0</v>
      </c>
      <c r="M38" s="511" t="n">
        <f aca="false">IF(INT(M$6/$X37)*$X$7&gt;M36*($X$7+$Z37)*$Y37,M36*($X$7+$Z37)-SUM($B38:L38),INT(M$6/$X37)*$X$7-M36*($X$7+$Z37)*($Y37-1)-SUM($B38:L38))+IF($Y37&gt;1,IF(INT(M$6/$X37)&gt;0,$Z37-$AA37,0),-$AA37)</f>
        <v>0</v>
      </c>
      <c r="N38" s="511" t="n">
        <f aca="false">IF(INT(N$6/$X37)*$X$7&gt;N36*($X$7+$Z37)*$Y37,N36*($X$7+$Z37)-SUM($B38:M38),INT(N$6/$X37)*$X$7-N36*($X$7+$Z37)*($Y37-1)-SUM($B38:M38))+IF($Y37&gt;1,IF(INT(N$6/$X37)&gt;0,$Z37-$AA37,0),-$AA37)</f>
        <v>0</v>
      </c>
      <c r="O38" s="511" t="n">
        <f aca="false">IF(INT(O$6/$X37)*$X$7&gt;O36*($X$7+$Z37)*$Y37,O36*($X$7+$Z37)-SUM($B38:N38),INT(O$6/$X37)*$X$7-O36*($X$7+$Z37)*($Y37-1)-SUM($B38:N38))+IF($Y37&gt;1,IF(INT(O$6/$X37)&gt;0,$Z37-$AA37,0),-$AA37)</f>
        <v>0</v>
      </c>
      <c r="P38" s="511" t="n">
        <f aca="false">IF(INT(P$6/$X37)*$X$7&gt;P36*($X$7+$Z37)*$Y37,P36*($X$7+$Z37)-SUM($B38:O38),INT(P$6/$X37)*$X$7-P36*($X$7+$Z37)*($Y37-1)-SUM($B38:O38))+IF($Y37&gt;1,IF(INT(P$6/$X37)&gt;0,$Z37-$AA37,0),-$AA37)</f>
        <v>0</v>
      </c>
      <c r="Q38" s="511" t="n">
        <f aca="false">IF(INT(Q$6/$X37)*$X$7&gt;Q36*($X$7+$Z37)*$Y37,Q36*($X$7+$Z37)-SUM($B38:P38),INT(Q$6/$X37)*$X$7-Q36*($X$7+$Z37)*($Y37-1)-SUM($B38:P38))+IF($Y37&gt;1,IF(INT(Q$6/$X37)&gt;0,$Z37-$AA37,0),-$AA37)</f>
        <v>0</v>
      </c>
      <c r="R38" s="511" t="n">
        <f aca="false">IF(INT(R$6/$X37)*$X$7&gt;R36*($X$7+$Z37)*$Y37,R36*($X$7+$Z37)-SUM($B38:Q38),INT(R$6/$X37)*$X$7-R36*($X$7+$Z37)*($Y37-1)-SUM($B38:Q38))+IF($Y37&gt;1,IF(INT(R$6/$X37)&gt;0,$Z37-$AA37,0),-$AA37)</f>
        <v>0</v>
      </c>
      <c r="S38" s="511" t="n">
        <f aca="false">IF(INT(S$6/$X37)*$X$7&gt;S36*($X$7+$Z37)*$Y37,S36*($X$7+$Z37)-SUM($B38:R38),INT(S$6/$X37)*$X$7-S36*($X$7+$Z37)*($Y37-1)-SUM($B38:R38))+IF($Y37&gt;1,IF(INT(S$6/$X37)&gt;0,$Z37-$AA37,0),-$AA37)</f>
        <v>0</v>
      </c>
      <c r="T38" s="511" t="n">
        <f aca="false">IF(INT(T$6/$X37)*$X$7&gt;T36*($X$7+$Z37)*$Y37,T36*($X$7+$Z37)-SUM($B38:S38),INT(T$6/$X37)*$X$7-T36*($X$7+$Z37)*($Y37-1)-SUM($B38:S38))+IF($Y37&gt;1,IF(INT(T$6/$X37)&gt;0,$Z37-$AA37,0),-$AA37)</f>
        <v>0</v>
      </c>
      <c r="U38" s="511" t="n">
        <f aca="false">IF(INT(U$6/$X37)*$X$7&gt;U36*($X$7+$Z37)*$Y37,U36*($X$7+$Z37)-SUM($B38:T38),INT(U$6/$X37)*$X$7-U36*($X$7+$Z37)*($Y37-1)-SUM($B38:T38))+IF($Y37&gt;1,IF(INT(U$6/$X37)&gt;0,$Z37-$AA37,0),-$AA37)</f>
        <v>0</v>
      </c>
      <c r="V38" s="511" t="n">
        <f aca="false">IF(INT(V$6/$X37)*$X$7&gt;V36*($X$7+$Z37)*$Y37,V36*($X$7+$Z37)-SUM($B38:U38),INT(V$6/$X37)*$X$7-V36*($X$7+$Z37)*($Y37-1)-SUM($B38:U38))+IF($Y37&gt;1,IF(INT(V$6/$X37)&gt;0,$Z37-$AA37,0),-$AA37)</f>
        <v>0</v>
      </c>
      <c r="W38" s="803"/>
      <c r="AA38" s="157"/>
      <c r="AB38" s="157"/>
    </row>
    <row r="39" customFormat="false" ht="12.75" hidden="false" customHeight="false" outlineLevel="0" collapsed="false">
      <c r="A39" s="157"/>
      <c r="B39" s="157"/>
      <c r="C39" s="518"/>
      <c r="D39" s="518"/>
      <c r="E39" s="518"/>
      <c r="F39" s="518"/>
      <c r="G39" s="518"/>
      <c r="H39" s="518"/>
      <c r="I39" s="518"/>
      <c r="J39" s="518"/>
      <c r="K39" s="518"/>
      <c r="L39" s="518"/>
      <c r="M39" s="518"/>
      <c r="N39" s="518"/>
      <c r="O39" s="518"/>
      <c r="P39" s="518"/>
      <c r="Q39" s="518"/>
      <c r="R39" s="518"/>
      <c r="S39" s="518"/>
      <c r="T39" s="518"/>
      <c r="U39" s="518"/>
      <c r="V39" s="518"/>
      <c r="W39" s="785"/>
      <c r="X39" s="157"/>
      <c r="Y39" s="157"/>
      <c r="Z39" s="157"/>
      <c r="AA39" s="157"/>
      <c r="AB39" s="157"/>
    </row>
    <row r="40" customFormat="false" ht="12.75" hidden="true" customHeight="false" outlineLevel="0" collapsed="false">
      <c r="A40" s="153" t="s">
        <v>1395</v>
      </c>
      <c r="B40" s="511"/>
      <c r="C40" s="153" t="n">
        <f aca="false">INT((INT(C$6/$X41)*$X$7+$X$7+$Z41-1)/($X$7+$Z41)/$Y41)</f>
        <v>0</v>
      </c>
      <c r="D40" s="153" t="n">
        <f aca="false">INT((INT(D$6/$X41)*$X$7+$X$7+$Z41-1)/($X$7+$Z41)/$Y41)</f>
        <v>0</v>
      </c>
      <c r="E40" s="153" t="n">
        <f aca="false">INT((INT(E$6/$X41)*$X$7+$X$7+$Z41-1)/($X$7+$Z41)/$Y41)</f>
        <v>0</v>
      </c>
      <c r="F40" s="153" t="n">
        <f aca="false">INT((INT(F$6/$X41)*$X$7+$X$7+$Z41-1)/($X$7+$Z41)/$Y41)</f>
        <v>0</v>
      </c>
      <c r="G40" s="153" t="n">
        <f aca="false">INT((INT(G$6/$X41)*$X$7+$X$7+$Z41-1)/($X$7+$Z41)/$Y41)</f>
        <v>0</v>
      </c>
      <c r="H40" s="153" t="n">
        <f aca="false">INT((INT(H$6/$X41)*$X$7+$X$7+$Z41-1)/($X$7+$Z41)/$Y41)</f>
        <v>0</v>
      </c>
      <c r="I40" s="153" t="n">
        <f aca="false">INT((INT(I$6/$X41)*$X$7+$X$7+$Z41-1)/($X$7+$Z41)/$Y41)</f>
        <v>0</v>
      </c>
      <c r="J40" s="153" t="n">
        <f aca="false">INT((INT(J$6/$X41)*$X$7+$X$7+$Z41-1)/($X$7+$Z41)/$Y41)</f>
        <v>0</v>
      </c>
      <c r="K40" s="153" t="n">
        <f aca="false">INT((INT(K$6/$X41)*$X$7+$X$7+$Z41-1)/($X$7+$Z41)/$Y41)</f>
        <v>0</v>
      </c>
      <c r="L40" s="153" t="n">
        <f aca="false">INT((INT(L$6/$X41)*$X$7+$X$7+$Z41-1)/($X$7+$Z41)/$Y41)</f>
        <v>0</v>
      </c>
      <c r="M40" s="153" t="n">
        <f aca="false">INT((INT(M$6/$X41)*$X$7+$X$7+$Z41-1)/($X$7+$Z41)/$Y41)</f>
        <v>0</v>
      </c>
      <c r="N40" s="153" t="n">
        <f aca="false">INT((INT(N$6/$X41)*$X$7+$X$7+$Z41-1)/($X$7+$Z41)/$Y41)</f>
        <v>0</v>
      </c>
      <c r="O40" s="153" t="n">
        <f aca="false">INT((INT(O$6/$X41)*$X$7+$X$7+$Z41-1)/($X$7+$Z41)/$Y41)</f>
        <v>0</v>
      </c>
      <c r="P40" s="153" t="n">
        <f aca="false">INT((INT(P$6/$X41)*$X$7+$X$7+$Z41-1)/($X$7+$Z41)/$Y41)</f>
        <v>0</v>
      </c>
      <c r="Q40" s="153" t="n">
        <f aca="false">INT((INT(Q$6/$X41)*$X$7+$X$7+$Z41-1)/($X$7+$Z41)/$Y41)</f>
        <v>0</v>
      </c>
      <c r="R40" s="153" t="n">
        <f aca="false">INT((INT(R$6/$X41)*$X$7+$X$7+$Z41-1)/($X$7+$Z41)/$Y41)</f>
        <v>0</v>
      </c>
      <c r="S40" s="153" t="n">
        <f aca="false">INT((INT(S$6/$X41)*$X$7+$X$7+$Z41-1)/($X$7+$Z41)/$Y41)</f>
        <v>0</v>
      </c>
      <c r="T40" s="153" t="n">
        <f aca="false">INT((INT(T$6/$X41)*$X$7+$X$7+$Z41-1)/($X$7+$Z41)/$Y41)</f>
        <v>0</v>
      </c>
      <c r="U40" s="153" t="n">
        <f aca="false">INT((INT(U$6/$X41)*$X$7+$X$7+$Z41-1)/($X$7+$Z41)/$Y41)</f>
        <v>0</v>
      </c>
      <c r="V40" s="153" t="n">
        <f aca="false">INT((INT(V$6/$X41)*$X$7+$X$7+$Z41-1)/($X$7+$Z41)/$Y41)</f>
        <v>0</v>
      </c>
      <c r="W40" s="157"/>
      <c r="X40" s="157"/>
      <c r="Y40" s="157"/>
      <c r="Z40" s="157"/>
      <c r="AA40" s="157"/>
      <c r="AB40" s="157"/>
    </row>
    <row r="41" customFormat="false" ht="12.75" hidden="false" customHeight="false" outlineLevel="0" collapsed="false">
      <c r="A41" s="153" t="s">
        <v>1396</v>
      </c>
      <c r="B41" s="511" t="s">
        <v>1007</v>
      </c>
      <c r="C41" s="511" t="n">
        <f aca="false">IF($Y41=1,0,$X$7*(INT(C$6/$X41)-INT(B$6/$X41))-IF(SUM($B41:B41)&gt;0,C42,0))</f>
        <v>0</v>
      </c>
      <c r="D41" s="511" t="n">
        <f aca="false">IF($Y41=1,0,$X$7*(INT(D$6/$X41)-INT(C$6/$X41))-IF(SUM($B41:C41)&gt;0,D42,0))</f>
        <v>0</v>
      </c>
      <c r="E41" s="511" t="n">
        <f aca="false">IF($Y41=1,0,$X$7*(INT(E$6/$X41)-INT(D$6/$X41))-IF(SUM($B41:D41)&gt;0,E42,0))</f>
        <v>0</v>
      </c>
      <c r="F41" s="511" t="n">
        <f aca="false">IF($Y41=1,0,$X$7*(INT(F$6/$X41)-INT(E$6/$X41))-IF(SUM($B41:E41)&gt;0,F42,0))</f>
        <v>0</v>
      </c>
      <c r="G41" s="511" t="n">
        <f aca="false">IF($Y41=1,0,$X$7*(INT(G$6/$X41)-INT(F$6/$X41))-IF(SUM($B41:F41)&gt;0,G42,0))</f>
        <v>0</v>
      </c>
      <c r="H41" s="511" t="n">
        <f aca="false">IF($Y41=1,0,$X$7*(INT(H$6/$X41)-INT(G$6/$X41))-IF(SUM($B41:G41)&gt;0,H42,0))</f>
        <v>0</v>
      </c>
      <c r="I41" s="511" t="n">
        <f aca="false">IF($Y41=1,0,$X$7*(INT(I$6/$X41)-INT(H$6/$X41))-IF(SUM($B41:H41)&gt;0,I42,0))</f>
        <v>0</v>
      </c>
      <c r="J41" s="511" t="n">
        <f aca="false">IF($Y41=1,0,$X$7*(INT(J$6/$X41)-INT(I$6/$X41))-IF(SUM($B41:I41)&gt;0,J42,0))</f>
        <v>0</v>
      </c>
      <c r="K41" s="511" t="n">
        <f aca="false">IF($Y41=1,0,$X$7*(INT(K$6/$X41)-INT(J$6/$X41))-IF(SUM($B41:J41)&gt;0,K42,0))</f>
        <v>0</v>
      </c>
      <c r="L41" s="511" t="n">
        <f aca="false">IF($Y41=1,0,$X$7*(INT(L$6/$X41)-INT(K$6/$X41))-IF(SUM($B41:K41)&gt;0,L42,0))</f>
        <v>0</v>
      </c>
      <c r="M41" s="511" t="n">
        <f aca="false">IF($Y41=1,0,$X$7*(INT(M$6/$X41)-INT(L$6/$X41))-IF(SUM($B41:L41)&gt;0,M42,0))</f>
        <v>0</v>
      </c>
      <c r="N41" s="511" t="n">
        <f aca="false">IF($Y41=1,0,$X$7*(INT(N$6/$X41)-INT(M$6/$X41))-IF(SUM($B41:M41)&gt;0,N42,0))</f>
        <v>0</v>
      </c>
      <c r="O41" s="511" t="n">
        <f aca="false">IF($Y41=1,0,$X$7*(INT(O$6/$X41)-INT(N$6/$X41))-IF(SUM($B41:N41)&gt;0,O42,0))</f>
        <v>0</v>
      </c>
      <c r="P41" s="511" t="n">
        <f aca="false">IF($Y41=1,0,$X$7*(INT(P$6/$X41)-INT(O$6/$X41))-IF(SUM($B41:O41)&gt;0,P42,0))</f>
        <v>0</v>
      </c>
      <c r="Q41" s="511" t="n">
        <f aca="false">IF($Y41=1,0,$X$7*(INT(Q$6/$X41)-INT(P$6/$X41))-IF(SUM($B41:P41)&gt;0,Q42,0))</f>
        <v>0</v>
      </c>
      <c r="R41" s="511" t="n">
        <f aca="false">IF($Y41=1,0,$X$7*(INT(R$6/$X41)-INT(Q$6/$X41))-IF(SUM($B41:Q41)&gt;0,R42,0))</f>
        <v>0</v>
      </c>
      <c r="S41" s="511" t="n">
        <f aca="false">IF($Y41=1,0,$X$7*(INT(S$6/$X41)-INT(R$6/$X41))-IF(SUM($B41:R41)&gt;0,S42,0))</f>
        <v>0</v>
      </c>
      <c r="T41" s="511" t="n">
        <f aca="false">IF($Y41=1,0,$X$7*(INT(T$6/$X41)-INT(S$6/$X41))-IF(SUM($B41:S41)&gt;0,T42,0))</f>
        <v>0</v>
      </c>
      <c r="U41" s="511" t="n">
        <f aca="false">IF($Y41=1,0,$X$7*(INT(U$6/$X41)-INT(T$6/$X41))-IF(SUM($B41:T41)&gt;0,U42,0))</f>
        <v>0</v>
      </c>
      <c r="V41" s="511" t="n">
        <f aca="false">IF($Y41=1,0,$X$7*(INT(V$6/$X41)-INT(U$6/$X41))-IF(SUM($B41:U41)&gt;0,V42,0))</f>
        <v>0</v>
      </c>
      <c r="W41" s="800" t="str">
        <f aca="false">'GT schd cost(6B)'!A21</f>
        <v>3RD STAGE BUCKETS</v>
      </c>
      <c r="X41" s="800" t="n">
        <f aca="false">IF($AD$6=1,'GTDB(6B)'!B23,'GTDB(6B)'!H23)</f>
        <v>24000</v>
      </c>
      <c r="Y41" s="800" t="n">
        <f aca="false">IF($AD$6=1,'GTDB(6B)'!C23,'GTDB(6B)'!I23)</f>
        <v>3</v>
      </c>
      <c r="Z41" s="801" t="n">
        <v>1</v>
      </c>
      <c r="AA41" s="776" t="n">
        <f aca="false">'Initial_Spares(6B)'!$D$17</f>
        <v>0</v>
      </c>
      <c r="AB41" s="764" t="n">
        <f aca="false">'GT schd cost(6B)'!X21+'GT schd cost(6B)'!X44</f>
        <v>270</v>
      </c>
    </row>
    <row r="42" customFormat="false" ht="12.75" hidden="false" customHeight="false" outlineLevel="0" collapsed="false">
      <c r="A42" s="153" t="s">
        <v>1397</v>
      </c>
      <c r="B42" s="511" t="s">
        <v>1007</v>
      </c>
      <c r="C42" s="511" t="n">
        <f aca="false">IF(INT(C$6/$X41)*$X$7&gt;C40*($X$7+$Z41)*$Y41,C40*($X$7+$Z41)-SUM($B42:B42),INT(C$6/$X41)*$X$7-C40*($X$7+$Z41)*($Y41-1)-SUM($B42:B42))+IF($Y41&gt;1,IF(INT(C$6/$X41)&gt;0,$Z41-$AA41,0),-$AA41)</f>
        <v>0</v>
      </c>
      <c r="D42" s="511" t="n">
        <f aca="false">IF(INT(D$6/$X41)*$X$7&gt;D40*($X$7+$Z41)*$Y41,D40*($X$7+$Z41)-SUM($B42:C42),INT(D$6/$X41)*$X$7-D40*($X$7+$Z41)*($Y41-1)-SUM($B42:C42))+IF($Y41&gt;1,IF(INT(D$6/$X41)&gt;0,$Z41-$AA41,0),-$AA41)</f>
        <v>0</v>
      </c>
      <c r="E42" s="511" t="n">
        <f aca="false">IF(INT(E$6/$X41)*$X$7&gt;E40*($X$7+$Z41)*$Y41,E40*($X$7+$Z41)-SUM($B42:D42),INT(E$6/$X41)*$X$7-E40*($X$7+$Z41)*($Y41-1)-SUM($B42:D42))+IF($Y41&gt;1,IF(INT(E$6/$X41)&gt;0,$Z41-$AA41,0),-$AA41)</f>
        <v>1</v>
      </c>
      <c r="F42" s="511" t="n">
        <f aca="false">IF(INT(F$6/$X41)*$X$7&gt;F40*($X$7+$Z41)*$Y41,F40*($X$7+$Z41)-SUM($B42:E42),INT(F$6/$X41)*$X$7-F40*($X$7+$Z41)*($Y41-1)-SUM($B42:E42))+IF($Y41&gt;1,IF(INT(F$6/$X41)&gt;0,$Z41-$AA41,0),-$AA41)</f>
        <v>0</v>
      </c>
      <c r="G42" s="511" t="n">
        <f aca="false">IF(INT(G$6/$X41)*$X$7&gt;G40*($X$7+$Z41)*$Y41,G40*($X$7+$Z41)-SUM($B42:F42),INT(G$6/$X41)*$X$7-G40*($X$7+$Z41)*($Y41-1)-SUM($B42:F42))+IF($Y41&gt;1,IF(INT(G$6/$X41)&gt;0,$Z41-$AA41,0),-$AA41)</f>
        <v>0</v>
      </c>
      <c r="H42" s="511" t="n">
        <f aca="false">IF(INT(H$6/$X41)*$X$7&gt;H40*($X$7+$Z41)*$Y41,H40*($X$7+$Z41)-SUM($B42:G42),INT(H$6/$X41)*$X$7-H40*($X$7+$Z41)*($Y41-1)-SUM($B42:G42))+IF($Y41&gt;1,IF(INT(H$6/$X41)&gt;0,$Z41-$AA41,0),-$AA41)</f>
        <v>0</v>
      </c>
      <c r="I42" s="511" t="n">
        <f aca="false">IF(INT(I$6/$X41)*$X$7&gt;I40*($X$7+$Z41)*$Y41,I40*($X$7+$Z41)-SUM($B42:H42),INT(I$6/$X41)*$X$7-I40*($X$7+$Z41)*($Y41-1)-SUM($B42:H42))+IF($Y41&gt;1,IF(INT(I$6/$X41)&gt;0,$Z41-$AA41,0),-$AA41)</f>
        <v>0</v>
      </c>
      <c r="J42" s="511" t="n">
        <f aca="false">IF(INT(J$6/$X41)*$X$7&gt;J40*($X$7+$Z41)*$Y41,J40*($X$7+$Z41)-SUM($B42:I42),INT(J$6/$X41)*$X$7-J40*($X$7+$Z41)*($Y41-1)-SUM($B42:I42))+IF($Y41&gt;1,IF(INT(J$6/$X41)&gt;0,$Z41-$AA41,0),-$AA41)</f>
        <v>0</v>
      </c>
      <c r="K42" s="511" t="n">
        <f aca="false">IF(INT(K$6/$X41)*$X$7&gt;K40*($X$7+$Z41)*$Y41,K40*($X$7+$Z41)-SUM($B42:J42),INT(K$6/$X41)*$X$7-K40*($X$7+$Z41)*($Y41-1)-SUM($B42:J42))+IF($Y41&gt;1,IF(INT(K$6/$X41)&gt;0,$Z41-$AA41,0),-$AA41)</f>
        <v>0</v>
      </c>
      <c r="L42" s="511" t="n">
        <f aca="false">IF(INT(L$6/$X41)*$X$7&gt;L40*($X$7+$Z41)*$Y41,L40*($X$7+$Z41)-SUM($B42:K42),INT(L$6/$X41)*$X$7-L40*($X$7+$Z41)*($Y41-1)-SUM($B42:K42))+IF($Y41&gt;1,IF(INT(L$6/$X41)&gt;0,$Z41-$AA41,0),-$AA41)</f>
        <v>0</v>
      </c>
      <c r="M42" s="511" t="n">
        <f aca="false">IF(INT(M$6/$X41)*$X$7&gt;M40*($X$7+$Z41)*$Y41,M40*($X$7+$Z41)-SUM($B42:L42),INT(M$6/$X41)*$X$7-M40*($X$7+$Z41)*($Y41-1)-SUM($B42:L42))+IF($Y41&gt;1,IF(INT(M$6/$X41)&gt;0,$Z41-$AA41,0),-$AA41)</f>
        <v>0</v>
      </c>
      <c r="N42" s="511" t="n">
        <f aca="false">IF(INT(N$6/$X41)*$X$7&gt;N40*($X$7+$Z41)*$Y41,N40*($X$7+$Z41)-SUM($B42:M42),INT(N$6/$X41)*$X$7-N40*($X$7+$Z41)*($Y41-1)-SUM($B42:M42))+IF($Y41&gt;1,IF(INT(N$6/$X41)&gt;0,$Z41-$AA41,0),-$AA41)</f>
        <v>0</v>
      </c>
      <c r="O42" s="511" t="n">
        <f aca="false">IF(INT(O$6/$X41)*$X$7&gt;O40*($X$7+$Z41)*$Y41,O40*($X$7+$Z41)-SUM($B42:N42),INT(O$6/$X41)*$X$7-O40*($X$7+$Z41)*($Y41-1)-SUM($B42:N42))+IF($Y41&gt;1,IF(INT(O$6/$X41)&gt;0,$Z41-$AA41,0),-$AA41)</f>
        <v>0</v>
      </c>
      <c r="P42" s="511" t="n">
        <f aca="false">IF(INT(P$6/$X41)*$X$7&gt;P40*($X$7+$Z41)*$Y41,P40*($X$7+$Z41)-SUM($B42:O42),INT(P$6/$X41)*$X$7-P40*($X$7+$Z41)*($Y41-1)-SUM($B42:O42))+IF($Y41&gt;1,IF(INT(P$6/$X41)&gt;0,$Z41-$AA41,0),-$AA41)</f>
        <v>0</v>
      </c>
      <c r="Q42" s="511" t="n">
        <f aca="false">IF(INT(Q$6/$X41)*$X$7&gt;Q40*($X$7+$Z41)*$Y41,Q40*($X$7+$Z41)-SUM($B42:P42),INT(Q$6/$X41)*$X$7-Q40*($X$7+$Z41)*($Y41-1)-SUM($B42:P42))+IF($Y41&gt;1,IF(INT(Q$6/$X41)&gt;0,$Z41-$AA41,0),-$AA41)</f>
        <v>0</v>
      </c>
      <c r="R42" s="511" t="n">
        <f aca="false">IF(INT(R$6/$X41)*$X$7&gt;R40*($X$7+$Z41)*$Y41,R40*($X$7+$Z41)-SUM($B42:Q42),INT(R$6/$X41)*$X$7-R40*($X$7+$Z41)*($Y41-1)-SUM($B42:Q42))+IF($Y41&gt;1,IF(INT(R$6/$X41)&gt;0,$Z41-$AA41,0),-$AA41)</f>
        <v>0</v>
      </c>
      <c r="S42" s="511" t="n">
        <f aca="false">IF(INT(S$6/$X41)*$X$7&gt;S40*($X$7+$Z41)*$Y41,S40*($X$7+$Z41)-SUM($B42:R42),INT(S$6/$X41)*$X$7-S40*($X$7+$Z41)*($Y41-1)-SUM($B42:R42))+IF($Y41&gt;1,IF(INT(S$6/$X41)&gt;0,$Z41-$AA41,0),-$AA41)</f>
        <v>0</v>
      </c>
      <c r="T42" s="511" t="n">
        <f aca="false">IF(INT(T$6/$X41)*$X$7&gt;T40*($X$7+$Z41)*$Y41,T40*($X$7+$Z41)-SUM($B42:S42),INT(T$6/$X41)*$X$7-T40*($X$7+$Z41)*($Y41-1)-SUM($B42:S42))+IF($Y41&gt;1,IF(INT(T$6/$X41)&gt;0,$Z41-$AA41,0),-$AA41)</f>
        <v>0</v>
      </c>
      <c r="U42" s="511" t="n">
        <f aca="false">IF(INT(U$6/$X41)*$X$7&gt;U40*($X$7+$Z41)*$Y41,U40*($X$7+$Z41)-SUM($B42:T42),INT(U$6/$X41)*$X$7-U40*($X$7+$Z41)*($Y41-1)-SUM($B42:T42))+IF($Y41&gt;1,IF(INT(U$6/$X41)&gt;0,$Z41-$AA41,0),-$AA41)</f>
        <v>0</v>
      </c>
      <c r="V42" s="511" t="n">
        <f aca="false">IF(INT(V$6/$X41)*$X$7&gt;V40*($X$7+$Z41)*$Y41,V40*($X$7+$Z41)-SUM($B42:U42),INT(V$6/$X41)*$X$7-V40*($X$7+$Z41)*($Y41-1)-SUM($B42:U42))+IF($Y41&gt;1,IF(INT(V$6/$X41)&gt;0,$Z41-$AA41,0),-$AA41)</f>
        <v>0</v>
      </c>
      <c r="W42" s="803"/>
      <c r="AA42" s="157"/>
      <c r="AB42" s="157"/>
    </row>
    <row r="43" customFormat="false" ht="12.75" hidden="false" customHeight="false" outlineLevel="0" collapsed="false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790"/>
      <c r="X43" s="157"/>
      <c r="Y43" s="157"/>
      <c r="Z43" s="157"/>
      <c r="AA43" s="157"/>
      <c r="AB43" s="157"/>
    </row>
    <row r="44" customFormat="false" ht="12.75" hidden="true" customHeight="false" outlineLevel="0" collapsed="false">
      <c r="A44" s="153" t="s">
        <v>1395</v>
      </c>
      <c r="B44" s="511"/>
      <c r="C44" s="153" t="n">
        <f aca="false">INT((INT(C$6/$X45)*$X$7+$X$7+$Z45-1)/($X$7+$Z45)/$Y45)</f>
        <v>0</v>
      </c>
      <c r="D44" s="153" t="n">
        <f aca="false">INT((INT(D$6/$X45)*$X$7+$X$7+$Z45-1)/($X$7+$Z45)/$Y45)</f>
        <v>0</v>
      </c>
      <c r="E44" s="153" t="n">
        <f aca="false">INT((INT(E$6/$X45)*$X$7+$X$7+$Z45-1)/($X$7+$Z45)/$Y45)</f>
        <v>0</v>
      </c>
      <c r="F44" s="153" t="n">
        <f aca="false">INT((INT(F$6/$X45)*$X$7+$X$7+$Z45-1)/($X$7+$Z45)/$Y45)</f>
        <v>0</v>
      </c>
      <c r="G44" s="153" t="n">
        <f aca="false">INT((INT(G$6/$X45)*$X$7+$X$7+$Z45-1)/($X$7+$Z45)/$Y45)</f>
        <v>0</v>
      </c>
      <c r="H44" s="153" t="n">
        <f aca="false">INT((INT(H$6/$X45)*$X$7+$X$7+$Z45-1)/($X$7+$Z45)/$Y45)</f>
        <v>0</v>
      </c>
      <c r="I44" s="153" t="n">
        <f aca="false">INT((INT(I$6/$X45)*$X$7+$X$7+$Z45-1)/($X$7+$Z45)/$Y45)</f>
        <v>0</v>
      </c>
      <c r="J44" s="153" t="n">
        <f aca="false">INT((INT(J$6/$X45)*$X$7+$X$7+$Z45-1)/($X$7+$Z45)/$Y45)</f>
        <v>0</v>
      </c>
      <c r="K44" s="153" t="n">
        <f aca="false">INT((INT(K$6/$X45)*$X$7+$X$7+$Z45-1)/($X$7+$Z45)/$Y45)</f>
        <v>0</v>
      </c>
      <c r="L44" s="153" t="n">
        <f aca="false">INT((INT(L$6/$X45)*$X$7+$X$7+$Z45-1)/($X$7+$Z45)/$Y45)</f>
        <v>0</v>
      </c>
      <c r="M44" s="153" t="n">
        <f aca="false">INT((INT(M$6/$X45)*$X$7+$X$7+$Z45-1)/($X$7+$Z45)/$Y45)</f>
        <v>0</v>
      </c>
      <c r="N44" s="153" t="n">
        <f aca="false">INT((INT(N$6/$X45)*$X$7+$X$7+$Z45-1)/($X$7+$Z45)/$Y45)</f>
        <v>0</v>
      </c>
      <c r="O44" s="153" t="n">
        <f aca="false">INT((INT(O$6/$X45)*$X$7+$X$7+$Z45-1)/($X$7+$Z45)/$Y45)</f>
        <v>0</v>
      </c>
      <c r="P44" s="153" t="n">
        <f aca="false">INT((INT(P$6/$X45)*$X$7+$X$7+$Z45-1)/($X$7+$Z45)/$Y45)</f>
        <v>0</v>
      </c>
      <c r="Q44" s="153" t="n">
        <f aca="false">INT((INT(Q$6/$X45)*$X$7+$X$7+$Z45-1)/($X$7+$Z45)/$Y45)</f>
        <v>0</v>
      </c>
      <c r="R44" s="153" t="n">
        <f aca="false">INT((INT(R$6/$X45)*$X$7+$X$7+$Z45-1)/($X$7+$Z45)/$Y45)</f>
        <v>0</v>
      </c>
      <c r="S44" s="153" t="n">
        <f aca="false">INT((INT(S$6/$X45)*$X$7+$X$7+$Z45-1)/($X$7+$Z45)/$Y45)</f>
        <v>0</v>
      </c>
      <c r="T44" s="153" t="n">
        <f aca="false">INT((INT(T$6/$X45)*$X$7+$X$7+$Z45-1)/($X$7+$Z45)/$Y45)</f>
        <v>0</v>
      </c>
      <c r="U44" s="153" t="n">
        <f aca="false">INT((INT(U$6/$X45)*$X$7+$X$7+$Z45-1)/($X$7+$Z45)/$Y45)</f>
        <v>0</v>
      </c>
      <c r="V44" s="153" t="n">
        <f aca="false">INT((INT(V$6/$X45)*$X$7+$X$7+$Z45-1)/($X$7+$Z45)/$Y45)</f>
        <v>0</v>
      </c>
      <c r="W44" s="157"/>
      <c r="X44" s="157"/>
      <c r="Y44" s="157"/>
      <c r="Z44" s="157"/>
      <c r="AA44" s="157"/>
      <c r="AB44" s="157"/>
    </row>
    <row r="45" customFormat="false" ht="12.75" hidden="false" customHeight="false" outlineLevel="0" collapsed="false">
      <c r="A45" s="153" t="s">
        <v>1396</v>
      </c>
      <c r="B45" s="511" t="s">
        <v>1007</v>
      </c>
      <c r="C45" s="511" t="n">
        <f aca="false">IF($Y45=1,0,$X$7*(INT(C$6/$X45)-INT(B$6/$X45))-IF(SUM($B45:B45)&gt;0,C46,0))</f>
        <v>0</v>
      </c>
      <c r="D45" s="511" t="n">
        <f aca="false">IF($Y45=1,0,$X$7*(INT(D$6/$X45)-INT(C$6/$X45))-IF(SUM($B45:C45)&gt;0,D46,0))</f>
        <v>0</v>
      </c>
      <c r="E45" s="511" t="n">
        <f aca="false">IF($Y45=1,0,$X$7*(INT(E$6/$X45)-INT(D$6/$X45))-IF(SUM($B45:D45)&gt;0,E46,0))</f>
        <v>0</v>
      </c>
      <c r="F45" s="511" t="n">
        <f aca="false">IF($Y45=1,0,$X$7*(INT(F$6/$X45)-INT(E$6/$X45))-IF(SUM($B45:E45)&gt;0,F46,0))</f>
        <v>0</v>
      </c>
      <c r="G45" s="511" t="n">
        <f aca="false">IF($Y45=1,0,$X$7*(INT(G$6/$X45)-INT(F$6/$X45))-IF(SUM($B45:F45)&gt;0,G46,0))</f>
        <v>0</v>
      </c>
      <c r="H45" s="511" t="n">
        <f aca="false">IF($Y45=1,0,$X$7*(INT(H$6/$X45)-INT(G$6/$X45))-IF(SUM($B45:G45)&gt;0,H46,0))</f>
        <v>0</v>
      </c>
      <c r="I45" s="511" t="n">
        <f aca="false">IF($Y45=1,0,$X$7*(INT(I$6/$X45)-INT(H$6/$X45))-IF(SUM($B45:H45)&gt;0,I46,0))</f>
        <v>0</v>
      </c>
      <c r="J45" s="511" t="n">
        <f aca="false">IF($Y45=1,0,$X$7*(INT(J$6/$X45)-INT(I$6/$X45))-IF(SUM($B45:I45)&gt;0,J46,0))</f>
        <v>0</v>
      </c>
      <c r="K45" s="511" t="n">
        <f aca="false">IF($Y45=1,0,$X$7*(INT(K$6/$X45)-INT(J$6/$X45))-IF(SUM($B45:J45)&gt;0,K46,0))</f>
        <v>0</v>
      </c>
      <c r="L45" s="511" t="n">
        <f aca="false">IF($Y45=1,0,$X$7*(INT(L$6/$X45)-INT(K$6/$X45))-IF(SUM($B45:K45)&gt;0,L46,0))</f>
        <v>0</v>
      </c>
      <c r="M45" s="511" t="n">
        <f aca="false">IF($Y45=1,0,$X$7*(INT(M$6/$X45)-INT(L$6/$X45))-IF(SUM($B45:L45)&gt;0,M46,0))</f>
        <v>0</v>
      </c>
      <c r="N45" s="511" t="n">
        <f aca="false">IF($Y45=1,0,$X$7*(INT(N$6/$X45)-INT(M$6/$X45))-IF(SUM($B45:M45)&gt;0,N46,0))</f>
        <v>0</v>
      </c>
      <c r="O45" s="511" t="n">
        <f aca="false">IF($Y45=1,0,$X$7*(INT(O$6/$X45)-INT(N$6/$X45))-IF(SUM($B45:N45)&gt;0,O46,0))</f>
        <v>0</v>
      </c>
      <c r="P45" s="511" t="n">
        <f aca="false">IF($Y45=1,0,$X$7*(INT(P$6/$X45)-INT(O$6/$X45))-IF(SUM($B45:O45)&gt;0,P46,0))</f>
        <v>0</v>
      </c>
      <c r="Q45" s="511" t="n">
        <f aca="false">IF($Y45=1,0,$X$7*(INT(Q$6/$X45)-INT(P$6/$X45))-IF(SUM($B45:P45)&gt;0,Q46,0))</f>
        <v>0</v>
      </c>
      <c r="R45" s="511" t="n">
        <f aca="false">IF($Y45=1,0,$X$7*(INT(R$6/$X45)-INT(Q$6/$X45))-IF(SUM($B45:Q45)&gt;0,R46,0))</f>
        <v>0</v>
      </c>
      <c r="S45" s="511" t="n">
        <f aca="false">IF($Y45=1,0,$X$7*(INT(S$6/$X45)-INT(R$6/$X45))-IF(SUM($B45:R45)&gt;0,S46,0))</f>
        <v>0</v>
      </c>
      <c r="T45" s="511" t="n">
        <f aca="false">IF($Y45=1,0,$X$7*(INT(T$6/$X45)-INT(S$6/$X45))-IF(SUM($B45:S45)&gt;0,T46,0))</f>
        <v>0</v>
      </c>
      <c r="U45" s="511" t="n">
        <f aca="false">IF($Y45=1,0,$X$7*(INT(U$6/$X45)-INT(T$6/$X45))-IF(SUM($B45:T45)&gt;0,U46,0))</f>
        <v>0</v>
      </c>
      <c r="V45" s="511" t="n">
        <f aca="false">IF($Y45=1,0,$X$7*(INT(V$6/$X45)-INT(U$6/$X45))-IF(SUM($B45:U45)&gt;0,V46,0))</f>
        <v>0</v>
      </c>
      <c r="W45" s="800" t="str">
        <f aca="false">'GT schd cost(6B)'!A22</f>
        <v>1ST STAGE SHROUDS</v>
      </c>
      <c r="X45" s="800" t="n">
        <f aca="false">IF($AD$6=1,'GTDB(6B)'!B24,'GTDB(6B)'!H24)</f>
        <v>24000</v>
      </c>
      <c r="Y45" s="800" t="n">
        <f aca="false">IF($AD$6=1,'GTDB(6B)'!C24,'GTDB(6B)'!I24)</f>
        <v>2</v>
      </c>
      <c r="Z45" s="801" t="n">
        <v>1</v>
      </c>
      <c r="AA45" s="776" t="n">
        <f aca="false">'Initial_Spares(6B)'!$D$18</f>
        <v>0</v>
      </c>
      <c r="AB45" s="764" t="n">
        <f aca="false">'GT schd cost(6B)'!X22+'GT schd cost(6B)'!X45</f>
        <v>75</v>
      </c>
    </row>
    <row r="46" customFormat="false" ht="12.75" hidden="false" customHeight="false" outlineLevel="0" collapsed="false">
      <c r="A46" s="153" t="s">
        <v>1397</v>
      </c>
      <c r="B46" s="511" t="s">
        <v>1007</v>
      </c>
      <c r="C46" s="511" t="n">
        <f aca="false">IF(INT(C$6/$X45)*$X$7&gt;C44*($X$7+$Z45)*$Y45,C44*($X$7+$Z45)-SUM($B46:B46),INT(C$6/$X45)*$X$7-C44*($X$7+$Z45)*($Y45-1)-SUM($B46:B46))+IF($Y45&gt;1,IF(INT(C$6/$X45)&gt;0,$Z45-$AA45,0),-$AA45)</f>
        <v>0</v>
      </c>
      <c r="D46" s="511" t="n">
        <f aca="false">IF(INT(D$6/$X45)*$X$7&gt;D44*($X$7+$Z45)*$Y45,D44*($X$7+$Z45)-SUM($B46:C46),INT(D$6/$X45)*$X$7-D44*($X$7+$Z45)*($Y45-1)-SUM($B46:C46))+IF($Y45&gt;1,IF(INT(D$6/$X45)&gt;0,$Z45-$AA45,0),-$AA45)</f>
        <v>0</v>
      </c>
      <c r="E46" s="511" t="n">
        <f aca="false">IF(INT(E$6/$X45)*$X$7&gt;E44*($X$7+$Z45)*$Y45,E44*($X$7+$Z45)-SUM($B46:D46),INT(E$6/$X45)*$X$7-E44*($X$7+$Z45)*($Y45-1)-SUM($B46:D46))+IF($Y45&gt;1,IF(INT(E$6/$X45)&gt;0,$Z45-$AA45,0),-$AA45)</f>
        <v>1</v>
      </c>
      <c r="F46" s="511" t="n">
        <f aca="false">IF(INT(F$6/$X45)*$X$7&gt;F44*($X$7+$Z45)*$Y45,F44*($X$7+$Z45)-SUM($B46:E46),INT(F$6/$X45)*$X$7-F44*($X$7+$Z45)*($Y45-1)-SUM($B46:E46))+IF($Y45&gt;1,IF(INT(F$6/$X45)&gt;0,$Z45-$AA45,0),-$AA45)</f>
        <v>0</v>
      </c>
      <c r="G46" s="511" t="n">
        <f aca="false">IF(INT(G$6/$X45)*$X$7&gt;G44*($X$7+$Z45)*$Y45,G44*($X$7+$Z45)-SUM($B46:F46),INT(G$6/$X45)*$X$7-G44*($X$7+$Z45)*($Y45-1)-SUM($B46:F46))+IF($Y45&gt;1,IF(INT(G$6/$X45)&gt;0,$Z45-$AA45,0),-$AA45)</f>
        <v>0</v>
      </c>
      <c r="H46" s="511" t="n">
        <f aca="false">IF(INT(H$6/$X45)*$X$7&gt;H44*($X$7+$Z45)*$Y45,H44*($X$7+$Z45)-SUM($B46:G46),INT(H$6/$X45)*$X$7-H44*($X$7+$Z45)*($Y45-1)-SUM($B46:G46))+IF($Y45&gt;1,IF(INT(H$6/$X45)&gt;0,$Z45-$AA45,0),-$AA45)</f>
        <v>0</v>
      </c>
      <c r="I46" s="511" t="n">
        <f aca="false">IF(INT(I$6/$X45)*$X$7&gt;I44*($X$7+$Z45)*$Y45,I44*($X$7+$Z45)-SUM($B46:H46),INT(I$6/$X45)*$X$7-I44*($X$7+$Z45)*($Y45-1)-SUM($B46:H46))+IF($Y45&gt;1,IF(INT(I$6/$X45)&gt;0,$Z45-$AA45,0),-$AA45)</f>
        <v>0</v>
      </c>
      <c r="J46" s="511" t="n">
        <f aca="false">IF(INT(J$6/$X45)*$X$7&gt;J44*($X$7+$Z45)*$Y45,J44*($X$7+$Z45)-SUM($B46:I46),INT(J$6/$X45)*$X$7-J44*($X$7+$Z45)*($Y45-1)-SUM($B46:I46))+IF($Y45&gt;1,IF(INT(J$6/$X45)&gt;0,$Z45-$AA45,0),-$AA45)</f>
        <v>0</v>
      </c>
      <c r="K46" s="511" t="n">
        <f aca="false">IF(INT(K$6/$X45)*$X$7&gt;K44*($X$7+$Z45)*$Y45,K44*($X$7+$Z45)-SUM($B46:J46),INT(K$6/$X45)*$X$7-K44*($X$7+$Z45)*($Y45-1)-SUM($B46:J46))+IF($Y45&gt;1,IF(INT(K$6/$X45)&gt;0,$Z45-$AA45,0),-$AA45)</f>
        <v>0</v>
      </c>
      <c r="L46" s="511" t="n">
        <f aca="false">IF(INT(L$6/$X45)*$X$7&gt;L44*($X$7+$Z45)*$Y45,L44*($X$7+$Z45)-SUM($B46:K46),INT(L$6/$X45)*$X$7-L44*($X$7+$Z45)*($Y45-1)-SUM($B46:K46))+IF($Y45&gt;1,IF(INT(L$6/$X45)&gt;0,$Z45-$AA45,0),-$AA45)</f>
        <v>0</v>
      </c>
      <c r="M46" s="511" t="n">
        <f aca="false">IF(INT(M$6/$X45)*$X$7&gt;M44*($X$7+$Z45)*$Y45,M44*($X$7+$Z45)-SUM($B46:L46),INT(M$6/$X45)*$X$7-M44*($X$7+$Z45)*($Y45-1)-SUM($B46:L46))+IF($Y45&gt;1,IF(INT(M$6/$X45)&gt;0,$Z45-$AA45,0),-$AA45)</f>
        <v>0</v>
      </c>
      <c r="N46" s="511" t="n">
        <f aca="false">IF(INT(N$6/$X45)*$X$7&gt;N44*($X$7+$Z45)*$Y45,N44*($X$7+$Z45)-SUM($B46:M46),INT(N$6/$X45)*$X$7-N44*($X$7+$Z45)*($Y45-1)-SUM($B46:M46))+IF($Y45&gt;1,IF(INT(N$6/$X45)&gt;0,$Z45-$AA45,0),-$AA45)</f>
        <v>0</v>
      </c>
      <c r="O46" s="511" t="n">
        <f aca="false">IF(INT(O$6/$X45)*$X$7&gt;O44*($X$7+$Z45)*$Y45,O44*($X$7+$Z45)-SUM($B46:N46),INT(O$6/$X45)*$X$7-O44*($X$7+$Z45)*($Y45-1)-SUM($B46:N46))+IF($Y45&gt;1,IF(INT(O$6/$X45)&gt;0,$Z45-$AA45,0),-$AA45)</f>
        <v>0</v>
      </c>
      <c r="P46" s="511" t="n">
        <f aca="false">IF(INT(P$6/$X45)*$X$7&gt;P44*($X$7+$Z45)*$Y45,P44*($X$7+$Z45)-SUM($B46:O46),INT(P$6/$X45)*$X$7-P44*($X$7+$Z45)*($Y45-1)-SUM($B46:O46))+IF($Y45&gt;1,IF(INT(P$6/$X45)&gt;0,$Z45-$AA45,0),-$AA45)</f>
        <v>0</v>
      </c>
      <c r="Q46" s="511" t="n">
        <f aca="false">IF(INT(Q$6/$X45)*$X$7&gt;Q44*($X$7+$Z45)*$Y45,Q44*($X$7+$Z45)-SUM($B46:P46),INT(Q$6/$X45)*$X$7-Q44*($X$7+$Z45)*($Y45-1)-SUM($B46:P46))+IF($Y45&gt;1,IF(INT(Q$6/$X45)&gt;0,$Z45-$AA45,0),-$AA45)</f>
        <v>0</v>
      </c>
      <c r="R46" s="511" t="n">
        <f aca="false">IF(INT(R$6/$X45)*$X$7&gt;R44*($X$7+$Z45)*$Y45,R44*($X$7+$Z45)-SUM($B46:Q46),INT(R$6/$X45)*$X$7-R44*($X$7+$Z45)*($Y45-1)-SUM($B46:Q46))+IF($Y45&gt;1,IF(INT(R$6/$X45)&gt;0,$Z45-$AA45,0),-$AA45)</f>
        <v>0</v>
      </c>
      <c r="S46" s="511" t="n">
        <f aca="false">IF(INT(S$6/$X45)*$X$7&gt;S44*($X$7+$Z45)*$Y45,S44*($X$7+$Z45)-SUM($B46:R46),INT(S$6/$X45)*$X$7-S44*($X$7+$Z45)*($Y45-1)-SUM($B46:R46))+IF($Y45&gt;1,IF(INT(S$6/$X45)&gt;0,$Z45-$AA45,0),-$AA45)</f>
        <v>0</v>
      </c>
      <c r="T46" s="511" t="n">
        <f aca="false">IF(INT(T$6/$X45)*$X$7&gt;T44*($X$7+$Z45)*$Y45,T44*($X$7+$Z45)-SUM($B46:S46),INT(T$6/$X45)*$X$7-T44*($X$7+$Z45)*($Y45-1)-SUM($B46:S46))+IF($Y45&gt;1,IF(INT(T$6/$X45)&gt;0,$Z45-$AA45,0),-$AA45)</f>
        <v>0</v>
      </c>
      <c r="U46" s="511" t="n">
        <f aca="false">IF(INT(U$6/$X45)*$X$7&gt;U44*($X$7+$Z45)*$Y45,U44*($X$7+$Z45)-SUM($B46:T46),INT(U$6/$X45)*$X$7-U44*($X$7+$Z45)*($Y45-1)-SUM($B46:T46))+IF($Y45&gt;1,IF(INT(U$6/$X45)&gt;0,$Z45-$AA45,0),-$AA45)</f>
        <v>0</v>
      </c>
      <c r="V46" s="511" t="n">
        <f aca="false">IF(INT(V$6/$X45)*$X$7&gt;V44*($X$7+$Z45)*$Y45,V44*($X$7+$Z45)-SUM($B46:U46),INT(V$6/$X45)*$X$7-V44*($X$7+$Z45)*($Y45-1)-SUM($B46:U46))+IF($Y45&gt;1,IF(INT(V$6/$X45)&gt;0,$Z45-$AA45,0),-$AA45)</f>
        <v>0</v>
      </c>
      <c r="W46" s="803"/>
      <c r="AA46" s="157"/>
      <c r="AB46" s="157"/>
    </row>
    <row r="47" customFormat="false" ht="12.75" hidden="false" customHeight="false" outlineLevel="0" collapsed="false">
      <c r="A47" s="157"/>
      <c r="B47" s="518"/>
      <c r="C47" s="518"/>
      <c r="D47" s="518"/>
      <c r="E47" s="518"/>
      <c r="F47" s="518"/>
      <c r="G47" s="518"/>
      <c r="H47" s="518"/>
      <c r="I47" s="518"/>
      <c r="J47" s="518"/>
      <c r="K47" s="518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785"/>
      <c r="X47" s="157"/>
      <c r="Y47" s="157"/>
      <c r="Z47" s="157"/>
      <c r="AA47" s="157"/>
      <c r="AB47" s="157"/>
    </row>
    <row r="48" customFormat="false" ht="12.75" hidden="true" customHeight="false" outlineLevel="0" collapsed="false">
      <c r="A48" s="153" t="s">
        <v>1395</v>
      </c>
      <c r="B48" s="511"/>
      <c r="C48" s="153" t="n">
        <f aca="false">INT((INT(C$6/$X49)*$X$7+$X$7+$Z49-1)/($X$7+$Z49)/$Y49)</f>
        <v>0</v>
      </c>
      <c r="D48" s="153" t="n">
        <f aca="false">INT((INT(D$6/$X49)*$X$7+$X$7+$Z49-1)/($X$7+$Z49)/$Y49)</f>
        <v>0</v>
      </c>
      <c r="E48" s="153" t="n">
        <f aca="false">INT((INT(E$6/$X49)*$X$7+$X$7+$Z49-1)/($X$7+$Z49)/$Y49)</f>
        <v>0</v>
      </c>
      <c r="F48" s="153" t="n">
        <f aca="false">INT((INT(F$6/$X49)*$X$7+$X$7+$Z49-1)/($X$7+$Z49)/$Y49)</f>
        <v>0</v>
      </c>
      <c r="G48" s="153" t="n">
        <f aca="false">INT((INT(G$6/$X49)*$X$7+$X$7+$Z49-1)/($X$7+$Z49)/$Y49)</f>
        <v>0</v>
      </c>
      <c r="H48" s="153" t="n">
        <f aca="false">INT((INT(H$6/$X49)*$X$7+$X$7+$Z49-1)/($X$7+$Z49)/$Y49)</f>
        <v>0</v>
      </c>
      <c r="I48" s="153" t="n">
        <f aca="false">INT((INT(I$6/$X49)*$X$7+$X$7+$Z49-1)/($X$7+$Z49)/$Y49)</f>
        <v>0</v>
      </c>
      <c r="J48" s="153" t="n">
        <f aca="false">INT((INT(J$6/$X49)*$X$7+$X$7+$Z49-1)/($X$7+$Z49)/$Y49)</f>
        <v>0</v>
      </c>
      <c r="K48" s="153" t="n">
        <f aca="false">INT((INT(K$6/$X49)*$X$7+$X$7+$Z49-1)/($X$7+$Z49)/$Y49)</f>
        <v>0</v>
      </c>
      <c r="L48" s="153" t="n">
        <f aca="false">INT((INT(L$6/$X49)*$X$7+$X$7+$Z49-1)/($X$7+$Z49)/$Y49)</f>
        <v>0</v>
      </c>
      <c r="M48" s="153" t="n">
        <f aca="false">INT((INT(M$6/$X49)*$X$7+$X$7+$Z49-1)/($X$7+$Z49)/$Y49)</f>
        <v>0</v>
      </c>
      <c r="N48" s="153" t="n">
        <f aca="false">INT((INT(N$6/$X49)*$X$7+$X$7+$Z49-1)/($X$7+$Z49)/$Y49)</f>
        <v>0</v>
      </c>
      <c r="O48" s="153" t="n">
        <f aca="false">INT((INT(O$6/$X49)*$X$7+$X$7+$Z49-1)/($X$7+$Z49)/$Y49)</f>
        <v>0</v>
      </c>
      <c r="P48" s="153" t="n">
        <f aca="false">INT((INT(P$6/$X49)*$X$7+$X$7+$Z49-1)/($X$7+$Z49)/$Y49)</f>
        <v>0</v>
      </c>
      <c r="Q48" s="153" t="n">
        <f aca="false">INT((INT(Q$6/$X49)*$X$7+$X$7+$Z49-1)/($X$7+$Z49)/$Y49)</f>
        <v>0</v>
      </c>
      <c r="R48" s="153" t="n">
        <f aca="false">INT((INT(R$6/$X49)*$X$7+$X$7+$Z49-1)/($X$7+$Z49)/$Y49)</f>
        <v>0</v>
      </c>
      <c r="S48" s="153" t="n">
        <f aca="false">INT((INT(S$6/$X49)*$X$7+$X$7+$Z49-1)/($X$7+$Z49)/$Y49)</f>
        <v>0</v>
      </c>
      <c r="T48" s="153" t="n">
        <f aca="false">INT((INT(T$6/$X49)*$X$7+$X$7+$Z49-1)/($X$7+$Z49)/$Y49)</f>
        <v>0</v>
      </c>
      <c r="U48" s="153" t="n">
        <f aca="false">INT((INT(U$6/$X49)*$X$7+$X$7+$Z49-1)/($X$7+$Z49)/$Y49)</f>
        <v>0</v>
      </c>
      <c r="V48" s="153" t="n">
        <f aca="false">INT((INT(V$6/$X49)*$X$7+$X$7+$Z49-1)/($X$7+$Z49)/$Y49)</f>
        <v>0</v>
      </c>
      <c r="W48" s="157"/>
      <c r="X48" s="157"/>
      <c r="Y48" s="157"/>
      <c r="Z48" s="157"/>
      <c r="AA48" s="157"/>
      <c r="AB48" s="157"/>
    </row>
    <row r="49" customFormat="false" ht="12.75" hidden="false" customHeight="false" outlineLevel="0" collapsed="false">
      <c r="A49" s="153" t="s">
        <v>1396</v>
      </c>
      <c r="B49" s="511" t="s">
        <v>1007</v>
      </c>
      <c r="C49" s="511" t="n">
        <f aca="false">IF($Y49=1,0,$X$7*(INT(C$6/$X49)-INT(B$6/$X49))-IF(SUM($B49:B49)&gt;0,C50,0))</f>
        <v>0</v>
      </c>
      <c r="D49" s="511" t="n">
        <f aca="false">IF($Y49=1,0,$X$7*(INT(D$6/$X49)-INT(C$6/$X49))-IF(SUM($B49:C49)&gt;0,D50,0))</f>
        <v>0</v>
      </c>
      <c r="E49" s="511" t="n">
        <f aca="false">IF($Y49=1,0,$X$7*(INT(E$6/$X49)-INT(D$6/$X49))-IF(SUM($B49:D49)&gt;0,E50,0))</f>
        <v>0</v>
      </c>
      <c r="F49" s="511" t="n">
        <f aca="false">IF($Y49=1,0,$X$7*(INT(F$6/$X49)-INT(E$6/$X49))-IF(SUM($B49:E49)&gt;0,F50,0))</f>
        <v>0</v>
      </c>
      <c r="G49" s="511" t="n">
        <f aca="false">IF($Y49=1,0,$X$7*(INT(G$6/$X49)-INT(F$6/$X49))-IF(SUM($B49:F49)&gt;0,G50,0))</f>
        <v>0</v>
      </c>
      <c r="H49" s="511" t="n">
        <f aca="false">IF($Y49=1,0,$X$7*(INT(H$6/$X49)-INT(G$6/$X49))-IF(SUM($B49:G49)&gt;0,H50,0))</f>
        <v>0</v>
      </c>
      <c r="I49" s="511" t="n">
        <f aca="false">IF($Y49=1,0,$X$7*(INT(I$6/$X49)-INT(H$6/$X49))-IF(SUM($B49:H49)&gt;0,I50,0))</f>
        <v>0</v>
      </c>
      <c r="J49" s="511" t="n">
        <f aca="false">IF($Y49=1,0,$X$7*(INT(J$6/$X49)-INT(I$6/$X49))-IF(SUM($B49:I49)&gt;0,J50,0))</f>
        <v>0</v>
      </c>
      <c r="K49" s="511" t="n">
        <f aca="false">IF($Y49=1,0,$X$7*(INT(K$6/$X49)-INT(J$6/$X49))-IF(SUM($B49:J49)&gt;0,K50,0))</f>
        <v>0</v>
      </c>
      <c r="L49" s="511" t="n">
        <f aca="false">IF($Y49=1,0,$X$7*(INT(L$6/$X49)-INT(K$6/$X49))-IF(SUM($B49:K49)&gt;0,L50,0))</f>
        <v>0</v>
      </c>
      <c r="M49" s="511" t="n">
        <f aca="false">IF($Y49=1,0,$X$7*(INT(M$6/$X49)-INT(L$6/$X49))-IF(SUM($B49:L49)&gt;0,M50,0))</f>
        <v>0</v>
      </c>
      <c r="N49" s="511" t="n">
        <f aca="false">IF($Y49=1,0,$X$7*(INT(N$6/$X49)-INT(M$6/$X49))-IF(SUM($B49:M49)&gt;0,N50,0))</f>
        <v>0</v>
      </c>
      <c r="O49" s="511" t="n">
        <f aca="false">IF($Y49=1,0,$X$7*(INT(O$6/$X49)-INT(N$6/$X49))-IF(SUM($B49:N49)&gt;0,O50,0))</f>
        <v>0</v>
      </c>
      <c r="P49" s="511" t="n">
        <f aca="false">IF($Y49=1,0,$X$7*(INT(P$6/$X49)-INT(O$6/$X49))-IF(SUM($B49:O49)&gt;0,P50,0))</f>
        <v>0</v>
      </c>
      <c r="Q49" s="511" t="n">
        <f aca="false">IF($Y49=1,0,$X$7*(INT(Q$6/$X49)-INT(P$6/$X49))-IF(SUM($B49:P49)&gt;0,Q50,0))</f>
        <v>0</v>
      </c>
      <c r="R49" s="511" t="n">
        <f aca="false">IF($Y49=1,0,$X$7*(INT(R$6/$X49)-INT(Q$6/$X49))-IF(SUM($B49:Q49)&gt;0,R50,0))</f>
        <v>0</v>
      </c>
      <c r="S49" s="511" t="n">
        <f aca="false">IF($Y49=1,0,$X$7*(INT(S$6/$X49)-INT(R$6/$X49))-IF(SUM($B49:R49)&gt;0,S50,0))</f>
        <v>0</v>
      </c>
      <c r="T49" s="511" t="n">
        <f aca="false">IF($Y49=1,0,$X$7*(INT(T$6/$X49)-INT(S$6/$X49))-IF(SUM($B49:S49)&gt;0,T50,0))</f>
        <v>0</v>
      </c>
      <c r="U49" s="511" t="n">
        <f aca="false">IF($Y49=1,0,$X$7*(INT(U$6/$X49)-INT(T$6/$X49))-IF(SUM($B49:T49)&gt;0,U50,0))</f>
        <v>0</v>
      </c>
      <c r="V49" s="511" t="n">
        <f aca="false">IF($Y49=1,0,$X$7*(INT(V$6/$X49)-INT(U$6/$X49))-IF(SUM($B49:U49)&gt;0,V50,0))</f>
        <v>0</v>
      </c>
      <c r="W49" s="800" t="str">
        <f aca="false">'GT schd cost(6B)'!A23</f>
        <v>2ND STAGE SHROUDS</v>
      </c>
      <c r="X49" s="800" t="n">
        <f aca="false">IF($AD$6=1,'GTDB(6B)'!B25,'GTDB(6B)'!H25)</f>
        <v>24000</v>
      </c>
      <c r="Y49" s="800" t="n">
        <f aca="false">IF($AD$6=1,'GTDB(6B)'!C25,'GTDB(6B)'!I25)</f>
        <v>3</v>
      </c>
      <c r="Z49" s="801" t="n">
        <v>2</v>
      </c>
      <c r="AA49" s="776" t="n">
        <f aca="false">'Initial_Spares(6B)'!$D$19</f>
        <v>0</v>
      </c>
      <c r="AB49" s="764" t="n">
        <f aca="false">'GT schd cost(6B)'!X23+'GT schd cost(6B)'!X46</f>
        <v>130</v>
      </c>
    </row>
    <row r="50" customFormat="false" ht="12.75" hidden="false" customHeight="false" outlineLevel="0" collapsed="false">
      <c r="A50" s="153" t="s">
        <v>1397</v>
      </c>
      <c r="B50" s="511" t="s">
        <v>1007</v>
      </c>
      <c r="C50" s="511" t="n">
        <f aca="false">IF(INT(C$6/$X49)*$X$7&gt;C48*($X$7+$Z49)*$Y49,C48*($X$7+$Z49)-SUM($B50:B50),INT(C$6/$X49)*$X$7-C48*($X$7+$Z49)*($Y49-1)-SUM($B50:B50))+IF($Y49&gt;1,IF(INT(C$6/$X49)&gt;0,$Z49-$AA49,0),-$AA49)</f>
        <v>0</v>
      </c>
      <c r="D50" s="511" t="n">
        <f aca="false">IF(INT(D$6/$X49)*$X$7&gt;D48*($X$7+$Z49)*$Y49,D48*($X$7+$Z49)-SUM($B50:C50),INT(D$6/$X49)*$X$7-D48*($X$7+$Z49)*($Y49-1)-SUM($B50:C50))+IF($Y49&gt;1,IF(INT(D$6/$X49)&gt;0,$Z49-$AA49,0),-$AA49)</f>
        <v>0</v>
      </c>
      <c r="E50" s="511" t="n">
        <f aca="false">IF(INT(E$6/$X49)*$X$7&gt;E48*($X$7+$Z49)*$Y49,E48*($X$7+$Z49)-SUM($B50:D50),INT(E$6/$X49)*$X$7-E48*($X$7+$Z49)*($Y49-1)-SUM($B50:D50))+IF($Y49&gt;1,IF(INT(E$6/$X49)&gt;0,$Z49-$AA49,0),-$AA49)</f>
        <v>2</v>
      </c>
      <c r="F50" s="511" t="n">
        <f aca="false">IF(INT(F$6/$X49)*$X$7&gt;F48*($X$7+$Z49)*$Y49,F48*($X$7+$Z49)-SUM($B50:E50),INT(F$6/$X49)*$X$7-F48*($X$7+$Z49)*($Y49-1)-SUM($B50:E50))+IF($Y49&gt;1,IF(INT(F$6/$X49)&gt;0,$Z49-$AA49,0),-$AA49)</f>
        <v>0</v>
      </c>
      <c r="G50" s="511" t="n">
        <f aca="false">IF(INT(G$6/$X49)*$X$7&gt;G48*($X$7+$Z49)*$Y49,G48*($X$7+$Z49)-SUM($B50:F50),INT(G$6/$X49)*$X$7-G48*($X$7+$Z49)*($Y49-1)-SUM($B50:F50))+IF($Y49&gt;1,IF(INT(G$6/$X49)&gt;0,$Z49-$AA49,0),-$AA49)</f>
        <v>0</v>
      </c>
      <c r="H50" s="511" t="n">
        <f aca="false">IF(INT(H$6/$X49)*$X$7&gt;H48*($X$7+$Z49)*$Y49,H48*($X$7+$Z49)-SUM($B50:G50),INT(H$6/$X49)*$X$7-H48*($X$7+$Z49)*($Y49-1)-SUM($B50:G50))+IF($Y49&gt;1,IF(INT(H$6/$X49)&gt;0,$Z49-$AA49,0),-$AA49)</f>
        <v>0</v>
      </c>
      <c r="I50" s="511" t="n">
        <f aca="false">IF(INT(I$6/$X49)*$X$7&gt;I48*($X$7+$Z49)*$Y49,I48*($X$7+$Z49)-SUM($B50:H50),INT(I$6/$X49)*$X$7-I48*($X$7+$Z49)*($Y49-1)-SUM($B50:H50))+IF($Y49&gt;1,IF(INT(I$6/$X49)&gt;0,$Z49-$AA49,0),-$AA49)</f>
        <v>0</v>
      </c>
      <c r="J50" s="511" t="n">
        <f aca="false">IF(INT(J$6/$X49)*$X$7&gt;J48*($X$7+$Z49)*$Y49,J48*($X$7+$Z49)-SUM($B50:I50),INT(J$6/$X49)*$X$7-J48*($X$7+$Z49)*($Y49-1)-SUM($B50:I50))+IF($Y49&gt;1,IF(INT(J$6/$X49)&gt;0,$Z49-$AA49,0),-$AA49)</f>
        <v>0</v>
      </c>
      <c r="K50" s="511" t="n">
        <f aca="false">IF(INT(K$6/$X49)*$X$7&gt;K48*($X$7+$Z49)*$Y49,K48*($X$7+$Z49)-SUM($B50:J50),INT(K$6/$X49)*$X$7-K48*($X$7+$Z49)*($Y49-1)-SUM($B50:J50))+IF($Y49&gt;1,IF(INT(K$6/$X49)&gt;0,$Z49-$AA49,0),-$AA49)</f>
        <v>0</v>
      </c>
      <c r="L50" s="511" t="n">
        <f aca="false">IF(INT(L$6/$X49)*$X$7&gt;L48*($X$7+$Z49)*$Y49,L48*($X$7+$Z49)-SUM($B50:K50),INT(L$6/$X49)*$X$7-L48*($X$7+$Z49)*($Y49-1)-SUM($B50:K50))+IF($Y49&gt;1,IF(INT(L$6/$X49)&gt;0,$Z49-$AA49,0),-$AA49)</f>
        <v>0</v>
      </c>
      <c r="M50" s="511" t="n">
        <f aca="false">IF(INT(M$6/$X49)*$X$7&gt;M48*($X$7+$Z49)*$Y49,M48*($X$7+$Z49)-SUM($B50:L50),INT(M$6/$X49)*$X$7-M48*($X$7+$Z49)*($Y49-1)-SUM($B50:L50))+IF($Y49&gt;1,IF(INT(M$6/$X49)&gt;0,$Z49-$AA49,0),-$AA49)</f>
        <v>0</v>
      </c>
      <c r="N50" s="511" t="n">
        <f aca="false">IF(INT(N$6/$X49)*$X$7&gt;N48*($X$7+$Z49)*$Y49,N48*($X$7+$Z49)-SUM($B50:M50),INT(N$6/$X49)*$X$7-N48*($X$7+$Z49)*($Y49-1)-SUM($B50:M50))+IF($Y49&gt;1,IF(INT(N$6/$X49)&gt;0,$Z49-$AA49,0),-$AA49)</f>
        <v>0</v>
      </c>
      <c r="O50" s="511" t="n">
        <f aca="false">IF(INT(O$6/$X49)*$X$7&gt;O48*($X$7+$Z49)*$Y49,O48*($X$7+$Z49)-SUM($B50:N50),INT(O$6/$X49)*$X$7-O48*($X$7+$Z49)*($Y49-1)-SUM($B50:N50))+IF($Y49&gt;1,IF(INT(O$6/$X49)&gt;0,$Z49-$AA49,0),-$AA49)</f>
        <v>0</v>
      </c>
      <c r="P50" s="511" t="n">
        <f aca="false">IF(INT(P$6/$X49)*$X$7&gt;P48*($X$7+$Z49)*$Y49,P48*($X$7+$Z49)-SUM($B50:O50),INT(P$6/$X49)*$X$7-P48*($X$7+$Z49)*($Y49-1)-SUM($B50:O50))+IF($Y49&gt;1,IF(INT(P$6/$X49)&gt;0,$Z49-$AA49,0),-$AA49)</f>
        <v>0</v>
      </c>
      <c r="Q50" s="511" t="n">
        <f aca="false">IF(INT(Q$6/$X49)*$X$7&gt;Q48*($X$7+$Z49)*$Y49,Q48*($X$7+$Z49)-SUM($B50:P50),INT(Q$6/$X49)*$X$7-Q48*($X$7+$Z49)*($Y49-1)-SUM($B50:P50))+IF($Y49&gt;1,IF(INT(Q$6/$X49)&gt;0,$Z49-$AA49,0),-$AA49)</f>
        <v>0</v>
      </c>
      <c r="R50" s="511" t="n">
        <f aca="false">IF(INT(R$6/$X49)*$X$7&gt;R48*($X$7+$Z49)*$Y49,R48*($X$7+$Z49)-SUM($B50:Q50),INT(R$6/$X49)*$X$7-R48*($X$7+$Z49)*($Y49-1)-SUM($B50:Q50))+IF($Y49&gt;1,IF(INT(R$6/$X49)&gt;0,$Z49-$AA49,0),-$AA49)</f>
        <v>0</v>
      </c>
      <c r="S50" s="511" t="n">
        <f aca="false">IF(INT(S$6/$X49)*$X$7&gt;S48*($X$7+$Z49)*$Y49,S48*($X$7+$Z49)-SUM($B50:R50),INT(S$6/$X49)*$X$7-S48*($X$7+$Z49)*($Y49-1)-SUM($B50:R50))+IF($Y49&gt;1,IF(INT(S$6/$X49)&gt;0,$Z49-$AA49,0),-$AA49)</f>
        <v>0</v>
      </c>
      <c r="T50" s="511" t="n">
        <f aca="false">IF(INT(T$6/$X49)*$X$7&gt;T48*($X$7+$Z49)*$Y49,T48*($X$7+$Z49)-SUM($B50:S50),INT(T$6/$X49)*$X$7-T48*($X$7+$Z49)*($Y49-1)-SUM($B50:S50))+IF($Y49&gt;1,IF(INT(T$6/$X49)&gt;0,$Z49-$AA49,0),-$AA49)</f>
        <v>0</v>
      </c>
      <c r="U50" s="511" t="n">
        <f aca="false">IF(INT(U$6/$X49)*$X$7&gt;U48*($X$7+$Z49)*$Y49,U48*($X$7+$Z49)-SUM($B50:T50),INT(U$6/$X49)*$X$7-U48*($X$7+$Z49)*($Y49-1)-SUM($B50:T50))+IF($Y49&gt;1,IF(INT(U$6/$X49)&gt;0,$Z49-$AA49,0),-$AA49)</f>
        <v>0</v>
      </c>
      <c r="V50" s="511" t="n">
        <f aca="false">IF(INT(V$6/$X49)*$X$7&gt;V48*($X$7+$Z49)*$Y49,V48*($X$7+$Z49)-SUM($B50:U50),INT(V$6/$X49)*$X$7-V48*($X$7+$Z49)*($Y49-1)-SUM($B50:U50))+IF($Y49&gt;1,IF(INT(V$6/$X49)&gt;0,$Z49-$AA49,0),-$AA49)</f>
        <v>0</v>
      </c>
      <c r="W50" s="803"/>
      <c r="AA50" s="157"/>
      <c r="AB50" s="157"/>
    </row>
    <row r="51" customFormat="false" ht="12.75" hidden="false" customHeight="false" outlineLevel="0" collapsed="false">
      <c r="A51" s="157"/>
      <c r="B51" s="518"/>
      <c r="C51" s="518"/>
      <c r="D51" s="518"/>
      <c r="E51" s="518"/>
      <c r="F51" s="518"/>
      <c r="G51" s="518"/>
      <c r="H51" s="518"/>
      <c r="I51" s="518"/>
      <c r="J51" s="518"/>
      <c r="K51" s="518"/>
      <c r="L51" s="518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785"/>
      <c r="X51" s="157"/>
      <c r="Y51" s="157"/>
      <c r="Z51" s="157"/>
      <c r="AA51" s="157"/>
      <c r="AB51" s="157"/>
    </row>
    <row r="52" customFormat="false" ht="12.75" hidden="false" customHeight="false" outlineLevel="0" collapsed="false">
      <c r="A52" s="153" t="s">
        <v>1395</v>
      </c>
      <c r="B52" s="511"/>
      <c r="C52" s="153" t="n">
        <f aca="false">INT((INT(C$6/$X53)*$X$7+$X$7+$Z53-1)/($X$7+$Z53)/$Y53)</f>
        <v>0</v>
      </c>
      <c r="D52" s="153" t="n">
        <f aca="false">INT((INT(D$6/$X53)*$X$7+$X$7+$Z53-1)/($X$7+$Z53)/$Y53)</f>
        <v>0</v>
      </c>
      <c r="E52" s="153" t="n">
        <f aca="false">INT((INT(E$6/$X53)*$X$7+$X$7+$Z53-1)/($X$7+$Z53)/$Y53)</f>
        <v>0</v>
      </c>
      <c r="F52" s="153" t="n">
        <f aca="false">INT((INT(F$6/$X53)*$X$7+$X$7+$Z53-1)/($X$7+$Z53)/$Y53)</f>
        <v>0</v>
      </c>
      <c r="G52" s="153" t="n">
        <f aca="false">INT((INT(G$6/$X53)*$X$7+$X$7+$Z53-1)/($X$7+$Z53)/$Y53)</f>
        <v>0</v>
      </c>
      <c r="H52" s="153" t="n">
        <f aca="false">INT((INT(H$6/$X53)*$X$7+$X$7+$Z53-1)/($X$7+$Z53)/$Y53)</f>
        <v>0</v>
      </c>
      <c r="I52" s="153" t="n">
        <f aca="false">INT((INT(I$6/$X53)*$X$7+$X$7+$Z53-1)/($X$7+$Z53)/$Y53)</f>
        <v>0</v>
      </c>
      <c r="J52" s="153" t="n">
        <f aca="false">INT((INT(J$6/$X53)*$X$7+$X$7+$Z53-1)/($X$7+$Z53)/$Y53)</f>
        <v>0</v>
      </c>
      <c r="K52" s="153" t="n">
        <f aca="false">INT((INT(K$6/$X53)*$X$7+$X$7+$Z53-1)/($X$7+$Z53)/$Y53)</f>
        <v>0</v>
      </c>
      <c r="L52" s="153" t="n">
        <f aca="false">INT((INT(L$6/$X53)*$X$7+$X$7+$Z53-1)/($X$7+$Z53)/$Y53)</f>
        <v>0</v>
      </c>
      <c r="M52" s="153" t="n">
        <f aca="false">INT((INT(M$6/$X53)*$X$7+$X$7+$Z53-1)/($X$7+$Z53)/$Y53)</f>
        <v>0</v>
      </c>
      <c r="N52" s="153" t="n">
        <f aca="false">INT((INT(N$6/$X53)*$X$7+$X$7+$Z53-1)/($X$7+$Z53)/$Y53)</f>
        <v>0</v>
      </c>
      <c r="O52" s="153" t="n">
        <f aca="false">INT((INT(O$6/$X53)*$X$7+$X$7+$Z53-1)/($X$7+$Z53)/$Y53)</f>
        <v>0</v>
      </c>
      <c r="P52" s="153" t="n">
        <f aca="false">INT((INT(P$6/$X53)*$X$7+$X$7+$Z53-1)/($X$7+$Z53)/$Y53)</f>
        <v>0</v>
      </c>
      <c r="Q52" s="153" t="n">
        <f aca="false">INT((INT(Q$6/$X53)*$X$7+$X$7+$Z53-1)/($X$7+$Z53)/$Y53)</f>
        <v>0</v>
      </c>
      <c r="R52" s="153" t="n">
        <f aca="false">INT((INT(R$6/$X53)*$X$7+$X$7+$Z53-1)/($X$7+$Z53)/$Y53)</f>
        <v>0</v>
      </c>
      <c r="S52" s="153" t="n">
        <f aca="false">INT((INT(S$6/$X53)*$X$7+$X$7+$Z53-1)/($X$7+$Z53)/$Y53)</f>
        <v>0</v>
      </c>
      <c r="T52" s="153" t="n">
        <f aca="false">INT((INT(T$6/$X53)*$X$7+$X$7+$Z53-1)/($X$7+$Z53)/$Y53)</f>
        <v>0</v>
      </c>
      <c r="U52" s="153" t="n">
        <f aca="false">INT((INT(U$6/$X53)*$X$7+$X$7+$Z53-1)/($X$7+$Z53)/$Y53)</f>
        <v>0</v>
      </c>
      <c r="V52" s="153" t="n">
        <f aca="false">INT((INT(V$6/$X53)*$X$7+$X$7+$Z53-1)/($X$7+$Z53)/$Y53)</f>
        <v>0</v>
      </c>
      <c r="W52" s="157"/>
      <c r="X52" s="157"/>
      <c r="Y52" s="157"/>
      <c r="Z52" s="157"/>
      <c r="AA52" s="157"/>
      <c r="AB52" s="157"/>
    </row>
    <row r="53" customFormat="false" ht="12.75" hidden="false" customHeight="false" outlineLevel="0" collapsed="false">
      <c r="A53" s="153" t="s">
        <v>1396</v>
      </c>
      <c r="B53" s="511" t="s">
        <v>1007</v>
      </c>
      <c r="C53" s="511" t="n">
        <f aca="false">IF($Y53=1,0,$X$7*(INT(C$6/$X53)-INT(B$6/$X53))-IF(SUM($B53:B53)&gt;0,C54,0))</f>
        <v>0</v>
      </c>
      <c r="D53" s="511" t="n">
        <f aca="false">IF($Y53=1,0,$X$7*(INT(D$6/$X53)-INT(C$6/$X53))-IF(SUM($B53:C53)&gt;0,D54,0))</f>
        <v>0</v>
      </c>
      <c r="E53" s="511" t="n">
        <f aca="false">IF($Y53=1,0,$X$7*(INT(E$6/$X53)-INT(D$6/$X53))-IF(SUM($B53:D53)&gt;0,E54,0))</f>
        <v>0</v>
      </c>
      <c r="F53" s="511" t="n">
        <f aca="false">IF($Y53=1,0,$X$7*(INT(F$6/$X53)-INT(E$6/$X53))-IF(SUM($B53:E53)&gt;0,F54,0))</f>
        <v>0</v>
      </c>
      <c r="G53" s="511" t="n">
        <f aca="false">IF($Y53=1,0,$X$7*(INT(G$6/$X53)-INT(F$6/$X53))-IF(SUM($B53:F53)&gt;0,G54,0))</f>
        <v>0</v>
      </c>
      <c r="H53" s="511" t="n">
        <f aca="false">IF($Y53=1,0,$X$7*(INT(H$6/$X53)-INT(G$6/$X53))-IF(SUM($B53:G53)&gt;0,H54,0))</f>
        <v>0</v>
      </c>
      <c r="I53" s="511" t="n">
        <f aca="false">IF($Y53=1,0,$X$7*(INT(I$6/$X53)-INT(H$6/$X53))-IF(SUM($B53:H53)&gt;0,I54,0))</f>
        <v>0</v>
      </c>
      <c r="J53" s="511" t="n">
        <f aca="false">IF($Y53=1,0,$X$7*(INT(J$6/$X53)-INT(I$6/$X53))-IF(SUM($B53:I53)&gt;0,J54,0))</f>
        <v>0</v>
      </c>
      <c r="K53" s="511" t="n">
        <f aca="false">IF($Y53=1,0,$X$7*(INT(K$6/$X53)-INT(J$6/$X53))-IF(SUM($B53:J53)&gt;0,K54,0))</f>
        <v>0</v>
      </c>
      <c r="L53" s="511" t="n">
        <f aca="false">IF($Y53=1,0,$X$7*(INT(L$6/$X53)-INT(K$6/$X53))-IF(SUM($B53:K53)&gt;0,L54,0))</f>
        <v>0</v>
      </c>
      <c r="M53" s="511" t="n">
        <f aca="false">IF($Y53=1,0,$X$7*(INT(M$6/$X53)-INT(L$6/$X53))-IF(SUM($B53:L53)&gt;0,M54,0))</f>
        <v>0</v>
      </c>
      <c r="N53" s="511" t="n">
        <f aca="false">IF($Y53=1,0,$X$7*(INT(N$6/$X53)-INT(M$6/$X53))-IF(SUM($B53:M53)&gt;0,N54,0))</f>
        <v>0</v>
      </c>
      <c r="O53" s="511" t="n">
        <f aca="false">IF($Y53=1,0,$X$7*(INT(O$6/$X53)-INT(N$6/$X53))-IF(SUM($B53:N53)&gt;0,O54,0))</f>
        <v>0</v>
      </c>
      <c r="P53" s="511" t="n">
        <f aca="false">IF($Y53=1,0,$X$7*(INT(P$6/$X53)-INT(O$6/$X53))-IF(SUM($B53:O53)&gt;0,P54,0))</f>
        <v>0</v>
      </c>
      <c r="Q53" s="511" t="n">
        <f aca="false">IF($Y53=1,0,$X$7*(INT(Q$6/$X53)-INT(P$6/$X53))-IF(SUM($B53:P53)&gt;0,Q54,0))</f>
        <v>0</v>
      </c>
      <c r="R53" s="511" t="n">
        <f aca="false">IF($Y53=1,0,$X$7*(INT(R$6/$X53)-INT(Q$6/$X53))-IF(SUM($B53:Q53)&gt;0,R54,0))</f>
        <v>0</v>
      </c>
      <c r="S53" s="511" t="n">
        <f aca="false">IF($Y53=1,0,$X$7*(INT(S$6/$X53)-INT(R$6/$X53))-IF(SUM($B53:R53)&gt;0,S54,0))</f>
        <v>0</v>
      </c>
      <c r="T53" s="511" t="n">
        <f aca="false">IF($Y53=1,0,$X$7*(INT(T$6/$X53)-INT(S$6/$X53))-IF(SUM($B53:S53)&gt;0,T54,0))</f>
        <v>0</v>
      </c>
      <c r="U53" s="511" t="n">
        <f aca="false">IF($Y53=1,0,$X$7*(INT(U$6/$X53)-INT(T$6/$X53))-IF(SUM($B53:T53)&gt;0,U54,0))</f>
        <v>0</v>
      </c>
      <c r="V53" s="511" t="n">
        <f aca="false">IF($Y53=1,0,$X$7*(INT(V$6/$X53)-INT(U$6/$X53))-IF(SUM($B53:U53)&gt;0,V54,0))</f>
        <v>0</v>
      </c>
      <c r="W53" s="799" t="str">
        <f aca="false">'GT schd cost(6B)'!A24</f>
        <v>3RD STAGE SHROUDS</v>
      </c>
      <c r="X53" s="800" t="n">
        <f aca="false">IF($AD$6=1,'GTDB(6B)'!B26,'GTDB(6B)'!H26)</f>
        <v>24000</v>
      </c>
      <c r="Y53" s="800" t="n">
        <f aca="false">IF($AD$6=1,'GTDB(6B)'!C26,'GTDB(6B)'!I26)</f>
        <v>3</v>
      </c>
      <c r="Z53" s="801" t="n">
        <v>1</v>
      </c>
      <c r="AA53" s="776" t="n">
        <f aca="false">'Initial_Spares(6B)'!$D$20</f>
        <v>0</v>
      </c>
      <c r="AB53" s="764" t="n">
        <f aca="false">'GT schd cost(6B)'!X24+'GT schd cost(6B)'!X47</f>
        <v>40</v>
      </c>
    </row>
    <row r="54" customFormat="false" ht="12.75" hidden="false" customHeight="false" outlineLevel="0" collapsed="false">
      <c r="A54" s="153" t="s">
        <v>1397</v>
      </c>
      <c r="B54" s="511" t="s">
        <v>1007</v>
      </c>
      <c r="C54" s="511" t="n">
        <f aca="false">IF(INT(C$6/$X53)*$X$7&gt;C52*($X$7+$Z53)*$Y53,C52*($X$7+$Z53)-SUM($B54:B54),INT(C$6/$X53)*$X$7-C52*($X$7+$Z53)*($Y53-1)-SUM($B54:B54))+IF($Y53&gt;1,IF(INT(C$6/$X53)&gt;0,$Z53-$AA53,0),-$AA53)</f>
        <v>0</v>
      </c>
      <c r="D54" s="511" t="n">
        <f aca="false">IF(INT(D$6/$X53)*$X$7&gt;D52*($X$7+$Z53)*$Y53,D52*($X$7+$Z53)-SUM($B54:C54),INT(D$6/$X53)*$X$7-D52*($X$7+$Z53)*($Y53-1)-SUM($B54:C54))+IF($Y53&gt;1,IF(INT(D$6/$X53)&gt;0,$Z53-$AA53,0),-$AA53)</f>
        <v>0</v>
      </c>
      <c r="E54" s="511" t="n">
        <f aca="false">IF(INT(E$6/$X53)*$X$7&gt;E52*($X$7+$Z53)*$Y53,E52*($X$7+$Z53)-SUM($B54:D54),INT(E$6/$X53)*$X$7-E52*($X$7+$Z53)*($Y53-1)-SUM($B54:D54))+IF($Y53&gt;1,IF(INT(E$6/$X53)&gt;0,$Z53-$AA53,0),-$AA53)</f>
        <v>1</v>
      </c>
      <c r="F54" s="511" t="n">
        <f aca="false">IF(INT(F$6/$X53)*$X$7&gt;F52*($X$7+$Z53)*$Y53,F52*($X$7+$Z53)-SUM($B54:E54),INT(F$6/$X53)*$X$7-F52*($X$7+$Z53)*($Y53-1)-SUM($B54:E54))+IF($Y53&gt;1,IF(INT(F$6/$X53)&gt;0,$Z53-$AA53,0),-$AA53)</f>
        <v>0</v>
      </c>
      <c r="G54" s="511" t="n">
        <f aca="false">IF(INT(G$6/$X53)*$X$7&gt;G52*($X$7+$Z53)*$Y53,G52*($X$7+$Z53)-SUM($B54:F54),INT(G$6/$X53)*$X$7-G52*($X$7+$Z53)*($Y53-1)-SUM($B54:F54))+IF($Y53&gt;1,IF(INT(G$6/$X53)&gt;0,$Z53-$AA53,0),-$AA53)</f>
        <v>0</v>
      </c>
      <c r="H54" s="511" t="n">
        <f aca="false">IF(INT(H$6/$X53)*$X$7&gt;H52*($X$7+$Z53)*$Y53,H52*($X$7+$Z53)-SUM($B54:G54),INT(H$6/$X53)*$X$7-H52*($X$7+$Z53)*($Y53-1)-SUM($B54:G54))+IF($Y53&gt;1,IF(INT(H$6/$X53)&gt;0,$Z53-$AA53,0),-$AA53)</f>
        <v>0</v>
      </c>
      <c r="I54" s="511" t="n">
        <f aca="false">IF(INT(I$6/$X53)*$X$7&gt;I52*($X$7+$Z53)*$Y53,I52*($X$7+$Z53)-SUM($B54:H54),INT(I$6/$X53)*$X$7-I52*($X$7+$Z53)*($Y53-1)-SUM($B54:H54))+IF($Y53&gt;1,IF(INT(I$6/$X53)&gt;0,$Z53-$AA53,0),-$AA53)</f>
        <v>0</v>
      </c>
      <c r="J54" s="511" t="n">
        <f aca="false">IF(INT(J$6/$X53)*$X$7&gt;J52*($X$7+$Z53)*$Y53,J52*($X$7+$Z53)-SUM($B54:I54),INT(J$6/$X53)*$X$7-J52*($X$7+$Z53)*($Y53-1)-SUM($B54:I54))+IF($Y53&gt;1,IF(INT(J$6/$X53)&gt;0,$Z53-$AA53,0),-$AA53)</f>
        <v>0</v>
      </c>
      <c r="K54" s="511" t="n">
        <f aca="false">IF(INT(K$6/$X53)*$X$7&gt;K52*($X$7+$Z53)*$Y53,K52*($X$7+$Z53)-SUM($B54:J54),INT(K$6/$X53)*$X$7-K52*($X$7+$Z53)*($Y53-1)-SUM($B54:J54))+IF($Y53&gt;1,IF(INT(K$6/$X53)&gt;0,$Z53-$AA53,0),-$AA53)</f>
        <v>0</v>
      </c>
      <c r="L54" s="511" t="n">
        <f aca="false">IF(INT(L$6/$X53)*$X$7&gt;L52*($X$7+$Z53)*$Y53,L52*($X$7+$Z53)-SUM($B54:K54),INT(L$6/$X53)*$X$7-L52*($X$7+$Z53)*($Y53-1)-SUM($B54:K54))+IF($Y53&gt;1,IF(INT(L$6/$X53)&gt;0,$Z53-$AA53,0),-$AA53)</f>
        <v>0</v>
      </c>
      <c r="M54" s="511" t="n">
        <f aca="false">IF(INT(M$6/$X53)*$X$7&gt;M52*($X$7+$Z53)*$Y53,M52*($X$7+$Z53)-SUM($B54:L54),INT(M$6/$X53)*$X$7-M52*($X$7+$Z53)*($Y53-1)-SUM($B54:L54))+IF($Y53&gt;1,IF(INT(M$6/$X53)&gt;0,$Z53-$AA53,0),-$AA53)</f>
        <v>0</v>
      </c>
      <c r="N54" s="511" t="n">
        <f aca="false">IF(INT(N$6/$X53)*$X$7&gt;N52*($X$7+$Z53)*$Y53,N52*($X$7+$Z53)-SUM($B54:M54),INT(N$6/$X53)*$X$7-N52*($X$7+$Z53)*($Y53-1)-SUM($B54:M54))+IF($Y53&gt;1,IF(INT(N$6/$X53)&gt;0,$Z53-$AA53,0),-$AA53)</f>
        <v>0</v>
      </c>
      <c r="O54" s="511" t="n">
        <f aca="false">IF(INT(O$6/$X53)*$X$7&gt;O52*($X$7+$Z53)*$Y53,O52*($X$7+$Z53)-SUM($B54:N54),INT(O$6/$X53)*$X$7-O52*($X$7+$Z53)*($Y53-1)-SUM($B54:N54))+IF($Y53&gt;1,IF(INT(O$6/$X53)&gt;0,$Z53-$AA53,0),-$AA53)</f>
        <v>0</v>
      </c>
      <c r="P54" s="511" t="n">
        <f aca="false">IF(INT(P$6/$X53)*$X$7&gt;P52*($X$7+$Z53)*$Y53,P52*($X$7+$Z53)-SUM($B54:O54),INT(P$6/$X53)*$X$7-P52*($X$7+$Z53)*($Y53-1)-SUM($B54:O54))+IF($Y53&gt;1,IF(INT(P$6/$X53)&gt;0,$Z53-$AA53,0),-$AA53)</f>
        <v>0</v>
      </c>
      <c r="Q54" s="511" t="n">
        <f aca="false">IF(INT(Q$6/$X53)*$X$7&gt;Q52*($X$7+$Z53)*$Y53,Q52*($X$7+$Z53)-SUM($B54:P54),INT(Q$6/$X53)*$X$7-Q52*($X$7+$Z53)*($Y53-1)-SUM($B54:P54))+IF($Y53&gt;1,IF(INT(Q$6/$X53)&gt;0,$Z53-$AA53,0),-$AA53)</f>
        <v>0</v>
      </c>
      <c r="R54" s="511" t="n">
        <f aca="false">IF(INT(R$6/$X53)*$X$7&gt;R52*($X$7+$Z53)*$Y53,R52*($X$7+$Z53)-SUM($B54:Q54),INT(R$6/$X53)*$X$7-R52*($X$7+$Z53)*($Y53-1)-SUM($B54:Q54))+IF($Y53&gt;1,IF(INT(R$6/$X53)&gt;0,$Z53-$AA53,0),-$AA53)</f>
        <v>0</v>
      </c>
      <c r="S54" s="511" t="n">
        <f aca="false">IF(INT(S$6/$X53)*$X$7&gt;S52*($X$7+$Z53)*$Y53,S52*($X$7+$Z53)-SUM($B54:R54),INT(S$6/$X53)*$X$7-S52*($X$7+$Z53)*($Y53-1)-SUM($B54:R54))+IF($Y53&gt;1,IF(INT(S$6/$X53)&gt;0,$Z53-$AA53,0),-$AA53)</f>
        <v>0</v>
      </c>
      <c r="T54" s="511" t="n">
        <f aca="false">IF(INT(T$6/$X53)*$X$7&gt;T52*($X$7+$Z53)*$Y53,T52*($X$7+$Z53)-SUM($B54:S54),INT(T$6/$X53)*$X$7-T52*($X$7+$Z53)*($Y53-1)-SUM($B54:S54))+IF($Y53&gt;1,IF(INT(T$6/$X53)&gt;0,$Z53-$AA53,0),-$AA53)</f>
        <v>0</v>
      </c>
      <c r="U54" s="511" t="n">
        <f aca="false">IF(INT(U$6/$X53)*$X$7&gt;U52*($X$7+$Z53)*$Y53,U52*($X$7+$Z53)-SUM($B54:T54),INT(U$6/$X53)*$X$7-U52*($X$7+$Z53)*($Y53-1)-SUM($B54:T54))+IF($Y53&gt;1,IF(INT(U$6/$X53)&gt;0,$Z53-$AA53,0),-$AA53)</f>
        <v>0</v>
      </c>
      <c r="V54" s="511" t="n">
        <f aca="false">IF(INT(V$6/$X53)*$X$7&gt;V52*($X$7+$Z53)*$Y53,V52*($X$7+$Z53)-SUM($B54:U54),INT(V$6/$X53)*$X$7-V52*($X$7+$Z53)*($Y53-1)-SUM($B54:U54))+IF($Y53&gt;1,IF(INT(V$6/$X53)&gt;0,$Z53-$AA53,0),-$AA53)</f>
        <v>0</v>
      </c>
      <c r="W54" s="803"/>
      <c r="AA54" s="157"/>
      <c r="AB54" s="157"/>
    </row>
    <row r="55" customFormat="false" ht="12.75" hidden="false" customHeight="false" outlineLevel="0" collapsed="false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785"/>
      <c r="X55" s="157"/>
      <c r="Y55" s="157"/>
      <c r="Z55" s="157"/>
      <c r="AA55" s="157"/>
      <c r="AB55" s="157"/>
    </row>
    <row r="56" customFormat="false" ht="12.75" hidden="false" customHeight="false" outlineLevel="0" collapsed="false">
      <c r="A56" s="153" t="s">
        <v>1395</v>
      </c>
      <c r="B56" s="511"/>
      <c r="C56" s="153" t="n">
        <f aca="false">INT((INT(C$6/$X57)*$X$7+$X$7+$Z57-1)/($X$7+$Z57)/$Y57)</f>
        <v>0</v>
      </c>
      <c r="D56" s="153" t="n">
        <f aca="false">INT((INT(D$6/$X57)*$X$7+$X$7+$Z57-1)/($X$7+$Z57)/$Y57)</f>
        <v>0</v>
      </c>
      <c r="E56" s="153" t="n">
        <f aca="false">INT((INT(E$6/$X57)*$X$7+$X$7+$Z57-1)/($X$7+$Z57)/$Y57)</f>
        <v>0</v>
      </c>
      <c r="F56" s="153" t="n">
        <f aca="false">INT((INT(F$6/$X57)*$X$7+$X$7+$Z57-1)/($X$7+$Z57)/$Y57)</f>
        <v>0</v>
      </c>
      <c r="G56" s="153" t="n">
        <f aca="false">INT((INT(G$6/$X57)*$X$7+$X$7+$Z57-1)/($X$7+$Z57)/$Y57)</f>
        <v>0</v>
      </c>
      <c r="H56" s="153" t="n">
        <f aca="false">INT((INT(H$6/$X57)*$X$7+$X$7+$Z57-1)/($X$7+$Z57)/$Y57)</f>
        <v>0</v>
      </c>
      <c r="I56" s="153" t="n">
        <f aca="false">INT((INT(I$6/$X57)*$X$7+$X$7+$Z57-1)/($X$7+$Z57)/$Y57)</f>
        <v>0</v>
      </c>
      <c r="J56" s="153" t="n">
        <f aca="false">INT((INT(J$6/$X57)*$X$7+$X$7+$Z57-1)/($X$7+$Z57)/$Y57)</f>
        <v>0</v>
      </c>
      <c r="K56" s="153" t="n">
        <f aca="false">INT((INT(K$6/$X57)*$X$7+$X$7+$Z57-1)/($X$7+$Z57)/$Y57)</f>
        <v>0</v>
      </c>
      <c r="L56" s="153" t="n">
        <f aca="false">INT((INT(L$6/$X57)*$X$7+$X$7+$Z57-1)/($X$7+$Z57)/$Y57)</f>
        <v>0</v>
      </c>
      <c r="M56" s="153" t="n">
        <f aca="false">INT((INT(M$6/$X57)*$X$7+$X$7+$Z57-1)/($X$7+$Z57)/$Y57)</f>
        <v>0</v>
      </c>
      <c r="N56" s="153" t="n">
        <f aca="false">INT((INT(N$6/$X57)*$X$7+$X$7+$Z57-1)/($X$7+$Z57)/$Y57)</f>
        <v>0</v>
      </c>
      <c r="O56" s="153" t="n">
        <f aca="false">INT((INT(O$6/$X57)*$X$7+$X$7+$Z57-1)/($X$7+$Z57)/$Y57)</f>
        <v>0</v>
      </c>
      <c r="P56" s="153" t="n">
        <f aca="false">INT((INT(P$6/$X57)*$X$7+$X$7+$Z57-1)/($X$7+$Z57)/$Y57)</f>
        <v>0</v>
      </c>
      <c r="Q56" s="153" t="n">
        <f aca="false">INT((INT(Q$6/$X57)*$X$7+$X$7+$Z57-1)/($X$7+$Z57)/$Y57)</f>
        <v>0</v>
      </c>
      <c r="R56" s="153" t="n">
        <f aca="false">INT((INT(R$6/$X57)*$X$7+$X$7+$Z57-1)/($X$7+$Z57)/$Y57)</f>
        <v>0</v>
      </c>
      <c r="S56" s="153" t="n">
        <f aca="false">INT((INT(S$6/$X57)*$X$7+$X$7+$Z57-1)/($X$7+$Z57)/$Y57)</f>
        <v>0</v>
      </c>
      <c r="T56" s="153" t="n">
        <f aca="false">INT((INT(T$6/$X57)*$X$7+$X$7+$Z57-1)/($X$7+$Z57)/$Y57)</f>
        <v>0</v>
      </c>
      <c r="U56" s="153" t="n">
        <f aca="false">INT((INT(U$6/$X57)*$X$7+$X$7+$Z57-1)/($X$7+$Z57)/$Y57)</f>
        <v>0</v>
      </c>
      <c r="V56" s="153" t="n">
        <f aca="false">INT((INT(V$6/$X57)*$X$7+$X$7+$Z57-1)/($X$7+$Z57)/$Y57)</f>
        <v>0</v>
      </c>
      <c r="W56" s="157"/>
      <c r="X56" s="157"/>
      <c r="Y56" s="157"/>
      <c r="Z56" s="157"/>
      <c r="AA56" s="157"/>
      <c r="AB56" s="157"/>
    </row>
    <row r="57" customFormat="false" ht="12.75" hidden="false" customHeight="false" outlineLevel="0" collapsed="false">
      <c r="A57" s="153" t="s">
        <v>1396</v>
      </c>
      <c r="B57" s="511" t="s">
        <v>1007</v>
      </c>
      <c r="C57" s="511" t="n">
        <f aca="false">IF($Y57=1,0,$X$7*(INT(C$6/$X57)-INT(B$6/$X57))-IF(SUM($B57:B57)&gt;0,C58,0))</f>
        <v>0</v>
      </c>
      <c r="D57" s="511" t="n">
        <f aca="false">IF($Y57=1,0,$X$7*(INT(D$6/$X57)-INT(C$6/$X57))-IF(SUM($B57:C57)&gt;0,D58,0))</f>
        <v>0</v>
      </c>
      <c r="E57" s="511" t="n">
        <f aca="false">IF($Y57=1,0,$X$7*(INT(E$6/$X57)-INT(D$6/$X57))-IF(SUM($B57:D57)&gt;0,E58,0))</f>
        <v>0</v>
      </c>
      <c r="F57" s="511" t="n">
        <f aca="false">IF($Y57=1,0,$X$7*(INT(F$6/$X57)-INT(E$6/$X57))-IF(SUM($B57:E57)&gt;0,F58,0))</f>
        <v>0</v>
      </c>
      <c r="G57" s="511" t="n">
        <f aca="false">IF($Y57=1,0,$X$7*(INT(G$6/$X57)-INT(F$6/$X57))-IF(SUM($B57:F57)&gt;0,G58,0))</f>
        <v>0</v>
      </c>
      <c r="H57" s="511" t="n">
        <f aca="false">IF($Y57=1,0,$X$7*(INT(H$6/$X57)-INT(G$6/$X57))-IF(SUM($B57:G57)&gt;0,H58,0))</f>
        <v>0</v>
      </c>
      <c r="I57" s="511" t="n">
        <f aca="false">IF($Y57=1,0,$X$7*(INT(I$6/$X57)-INT(H$6/$X57))-IF(SUM($B57:H57)&gt;0,I58,0))</f>
        <v>0</v>
      </c>
      <c r="J57" s="511" t="n">
        <f aca="false">IF($Y57=1,0,$X$7*(INT(J$6/$X57)-INT(I$6/$X57))-IF(SUM($B57:I57)&gt;0,J58,0))</f>
        <v>0</v>
      </c>
      <c r="K57" s="511" t="n">
        <f aca="false">IF($Y57=1,0,$X$7*(INT(K$6/$X57)-INT(J$6/$X57))-IF(SUM($B57:J57)&gt;0,K58,0))</f>
        <v>0</v>
      </c>
      <c r="L57" s="511" t="n">
        <f aca="false">IF($Y57=1,0,$X$7*(INT(L$6/$X57)-INT(K$6/$X57))-IF(SUM($B57:K57)&gt;0,L58,0))</f>
        <v>0</v>
      </c>
      <c r="M57" s="511" t="n">
        <f aca="false">IF($Y57=1,0,$X$7*(INT(M$6/$X57)-INT(L$6/$X57))-IF(SUM($B57:L57)&gt;0,M58,0))</f>
        <v>0</v>
      </c>
      <c r="N57" s="511" t="n">
        <f aca="false">IF($Y57=1,0,$X$7*(INT(N$6/$X57)-INT(M$6/$X57))-IF(SUM($B57:M57)&gt;0,N58,0))</f>
        <v>0</v>
      </c>
      <c r="O57" s="511" t="n">
        <f aca="false">IF($Y57=1,0,$X$7*(INT(O$6/$X57)-INT(N$6/$X57))-IF(SUM($B57:N57)&gt;0,O58,0))</f>
        <v>0</v>
      </c>
      <c r="P57" s="511" t="n">
        <f aca="false">IF($Y57=1,0,$X$7*(INT(P$6/$X57)-INT(O$6/$X57))-IF(SUM($B57:O57)&gt;0,P58,0))</f>
        <v>0</v>
      </c>
      <c r="Q57" s="511" t="n">
        <f aca="false">IF($Y57=1,0,$X$7*(INT(Q$6/$X57)-INT(P$6/$X57))-IF(SUM($B57:P57)&gt;0,Q58,0))</f>
        <v>0</v>
      </c>
      <c r="R57" s="511" t="n">
        <f aca="false">IF($Y57=1,0,$X$7*(INT(R$6/$X57)-INT(Q$6/$X57))-IF(SUM($B57:Q57)&gt;0,R58,0))</f>
        <v>0</v>
      </c>
      <c r="S57" s="511" t="n">
        <f aca="false">IF($Y57=1,0,$X$7*(INT(S$6/$X57)-INT(R$6/$X57))-IF(SUM($B57:R57)&gt;0,S58,0))</f>
        <v>0</v>
      </c>
      <c r="T57" s="511" t="n">
        <f aca="false">IF($Y57=1,0,$X$7*(INT(T$6/$X57)-INT(S$6/$X57))-IF(SUM($B57:S57)&gt;0,T58,0))</f>
        <v>0</v>
      </c>
      <c r="U57" s="511" t="n">
        <f aca="false">IF($Y57=1,0,$X$7*(INT(U$6/$X57)-INT(T$6/$X57))-IF(SUM($B57:T57)&gt;0,U58,0))</f>
        <v>0</v>
      </c>
      <c r="V57" s="511" t="n">
        <f aca="false">IF($Y57=1,0,$X$7*(INT(V$6/$X57)-INT(U$6/$X57))-IF(SUM($B57:U57)&gt;0,V58,0))</f>
        <v>0</v>
      </c>
      <c r="W57" s="800" t="str">
        <f aca="false">'GT schd cost(6B)'!A25</f>
        <v>1ST STAGE NOZZLES</v>
      </c>
      <c r="X57" s="800" t="n">
        <f aca="false">IF($AD$6=1,'GTDB(6B)'!B27,'GTDB(6B)'!H27)</f>
        <v>24000</v>
      </c>
      <c r="Y57" s="800" t="n">
        <f aca="false">IF($AD$6=1,'GTDB(6B)'!C27,'GTDB(6B)'!I27)</f>
        <v>3</v>
      </c>
      <c r="Z57" s="801" t="n">
        <v>1</v>
      </c>
      <c r="AA57" s="776" t="n">
        <f aca="false">'Initial_Spares(6B)'!$D$21</f>
        <v>0</v>
      </c>
      <c r="AB57" s="807" t="n">
        <f aca="false">'GT schd cost(6B)'!X25+'GT schd cost(6B)'!X48</f>
        <v>315</v>
      </c>
    </row>
    <row r="58" customFormat="false" ht="12.75" hidden="false" customHeight="false" outlineLevel="0" collapsed="false">
      <c r="A58" s="153" t="s">
        <v>1397</v>
      </c>
      <c r="B58" s="511" t="s">
        <v>1007</v>
      </c>
      <c r="C58" s="511" t="n">
        <f aca="false">IF(INT(C$6/$X57)*$X$7&gt;C56*($X$7+$Z57)*$Y57,C56*($X$7+$Z57)-SUM($B58:B58),INT(C$6/$X57)*$X$7-C56*($X$7+$Z57)*($Y57-1)-SUM($B58:B58))+IF($Y57&gt;1,IF(INT(C$6/$X57)&gt;0,$Z57-$AA57,0),-$AA57)</f>
        <v>0</v>
      </c>
      <c r="D58" s="511" t="n">
        <f aca="false">IF(INT(D$6/$X57)*$X$7&gt;D56*($X$7+$Z57)*$Y57,D56*($X$7+$Z57)-SUM($B58:C58),INT(D$6/$X57)*$X$7-D56*($X$7+$Z57)*($Y57-1)-SUM($B58:C58))+IF($Y57&gt;1,IF(INT(D$6/$X57)&gt;0,$Z57-$AA57,0),-$AA57)</f>
        <v>0</v>
      </c>
      <c r="E58" s="511" t="n">
        <f aca="false">IF(INT(E$6/$X57)*$X$7&gt;E56*($X$7+$Z57)*$Y57,E56*($X$7+$Z57)-SUM($B58:D58),INT(E$6/$X57)*$X$7-E56*($X$7+$Z57)*($Y57-1)-SUM($B58:D58))+IF($Y57&gt;1,IF(INT(E$6/$X57)&gt;0,$Z57-$AA57,0),-$AA57)</f>
        <v>1</v>
      </c>
      <c r="F58" s="511" t="n">
        <f aca="false">IF(INT(F$6/$X57)*$X$7&gt;F56*($X$7+$Z57)*$Y57,F56*($X$7+$Z57)-SUM($B58:E58),INT(F$6/$X57)*$X$7-F56*($X$7+$Z57)*($Y57-1)-SUM($B58:E58))+IF($Y57&gt;1,IF(INT(F$6/$X57)&gt;0,$Z57-$AA57,0),-$AA57)</f>
        <v>0</v>
      </c>
      <c r="G58" s="511" t="n">
        <f aca="false">IF(INT(G$6/$X57)*$X$7&gt;G56*($X$7+$Z57)*$Y57,G56*($X$7+$Z57)-SUM($B58:F58),INT(G$6/$X57)*$X$7-G56*($X$7+$Z57)*($Y57-1)-SUM($B58:F58))+IF($Y57&gt;1,IF(INT(G$6/$X57)&gt;0,$Z57-$AA57,0),-$AA57)</f>
        <v>0</v>
      </c>
      <c r="H58" s="511" t="n">
        <f aca="false">IF(INT(H$6/$X57)*$X$7&gt;H56*($X$7+$Z57)*$Y57,H56*($X$7+$Z57)-SUM($B58:G58),INT(H$6/$X57)*$X$7-H56*($X$7+$Z57)*($Y57-1)-SUM($B58:G58))+IF($Y57&gt;1,IF(INT(H$6/$X57)&gt;0,$Z57-$AA57,0),-$AA57)</f>
        <v>0</v>
      </c>
      <c r="I58" s="511" t="n">
        <f aca="false">IF(INT(I$6/$X57)*$X$7&gt;I56*($X$7+$Z57)*$Y57,I56*($X$7+$Z57)-SUM($B58:H58),INT(I$6/$X57)*$X$7-I56*($X$7+$Z57)*($Y57-1)-SUM($B58:H58))+IF($Y57&gt;1,IF(INT(I$6/$X57)&gt;0,$Z57-$AA57,0),-$AA57)</f>
        <v>0</v>
      </c>
      <c r="J58" s="511" t="n">
        <f aca="false">IF(INT(J$6/$X57)*$X$7&gt;J56*($X$7+$Z57)*$Y57,J56*($X$7+$Z57)-SUM($B58:I58),INT(J$6/$X57)*$X$7-J56*($X$7+$Z57)*($Y57-1)-SUM($B58:I58))+IF($Y57&gt;1,IF(INT(J$6/$X57)&gt;0,$Z57-$AA57,0),-$AA57)</f>
        <v>0</v>
      </c>
      <c r="K58" s="511" t="n">
        <f aca="false">IF(INT(K$6/$X57)*$X$7&gt;K56*($X$7+$Z57)*$Y57,K56*($X$7+$Z57)-SUM($B58:J58),INT(K$6/$X57)*$X$7-K56*($X$7+$Z57)*($Y57-1)-SUM($B58:J58))+IF($Y57&gt;1,IF(INT(K$6/$X57)&gt;0,$Z57-$AA57,0),-$AA57)</f>
        <v>0</v>
      </c>
      <c r="L58" s="511" t="n">
        <f aca="false">IF(INT(L$6/$X57)*$X$7&gt;L56*($X$7+$Z57)*$Y57,L56*($X$7+$Z57)-SUM($B58:K58),INT(L$6/$X57)*$X$7-L56*($X$7+$Z57)*($Y57-1)-SUM($B58:K58))+IF($Y57&gt;1,IF(INT(L$6/$X57)&gt;0,$Z57-$AA57,0),-$AA57)</f>
        <v>0</v>
      </c>
      <c r="M58" s="511" t="n">
        <f aca="false">IF(INT(M$6/$X57)*$X$7&gt;M56*($X$7+$Z57)*$Y57,M56*($X$7+$Z57)-SUM($B58:L58),INT(M$6/$X57)*$X$7-M56*($X$7+$Z57)*($Y57-1)-SUM($B58:L58))+IF($Y57&gt;1,IF(INT(M$6/$X57)&gt;0,$Z57-$AA57,0),-$AA57)</f>
        <v>0</v>
      </c>
      <c r="N58" s="511" t="n">
        <f aca="false">IF(INT(N$6/$X57)*$X$7&gt;N56*($X$7+$Z57)*$Y57,N56*($X$7+$Z57)-SUM($B58:M58),INT(N$6/$X57)*$X$7-N56*($X$7+$Z57)*($Y57-1)-SUM($B58:M58))+IF($Y57&gt;1,IF(INT(N$6/$X57)&gt;0,$Z57-$AA57,0),-$AA57)</f>
        <v>0</v>
      </c>
      <c r="O58" s="511" t="n">
        <f aca="false">IF(INT(O$6/$X57)*$X$7&gt;O56*($X$7+$Z57)*$Y57,O56*($X$7+$Z57)-SUM($B58:N58),INT(O$6/$X57)*$X$7-O56*($X$7+$Z57)*($Y57-1)-SUM($B58:N58))+IF($Y57&gt;1,IF(INT(O$6/$X57)&gt;0,$Z57-$AA57,0),-$AA57)</f>
        <v>0</v>
      </c>
      <c r="P58" s="511" t="n">
        <f aca="false">IF(INT(P$6/$X57)*$X$7&gt;P56*($X$7+$Z57)*$Y57,P56*($X$7+$Z57)-SUM($B58:O58),INT(P$6/$X57)*$X$7-P56*($X$7+$Z57)*($Y57-1)-SUM($B58:O58))+IF($Y57&gt;1,IF(INT(P$6/$X57)&gt;0,$Z57-$AA57,0),-$AA57)</f>
        <v>0</v>
      </c>
      <c r="Q58" s="511" t="n">
        <f aca="false">IF(INT(Q$6/$X57)*$X$7&gt;Q56*($X$7+$Z57)*$Y57,Q56*($X$7+$Z57)-SUM($B58:P58),INT(Q$6/$X57)*$X$7-Q56*($X$7+$Z57)*($Y57-1)-SUM($B58:P58))+IF($Y57&gt;1,IF(INT(Q$6/$X57)&gt;0,$Z57-$AA57,0),-$AA57)</f>
        <v>0</v>
      </c>
      <c r="R58" s="511" t="n">
        <f aca="false">IF(INT(R$6/$X57)*$X$7&gt;R56*($X$7+$Z57)*$Y57,R56*($X$7+$Z57)-SUM($B58:Q58),INT(R$6/$X57)*$X$7-R56*($X$7+$Z57)*($Y57-1)-SUM($B58:Q58))+IF($Y57&gt;1,IF(INT(R$6/$X57)&gt;0,$Z57-$AA57,0),-$AA57)</f>
        <v>0</v>
      </c>
      <c r="S58" s="511" t="n">
        <f aca="false">IF(INT(S$6/$X57)*$X$7&gt;S56*($X$7+$Z57)*$Y57,S56*($X$7+$Z57)-SUM($B58:R58),INT(S$6/$X57)*$X$7-S56*($X$7+$Z57)*($Y57-1)-SUM($B58:R58))+IF($Y57&gt;1,IF(INT(S$6/$X57)&gt;0,$Z57-$AA57,0),-$AA57)</f>
        <v>0</v>
      </c>
      <c r="T58" s="511" t="n">
        <f aca="false">IF(INT(T$6/$X57)*$X$7&gt;T56*($X$7+$Z57)*$Y57,T56*($X$7+$Z57)-SUM($B58:S58),INT(T$6/$X57)*$X$7-T56*($X$7+$Z57)*($Y57-1)-SUM($B58:S58))+IF($Y57&gt;1,IF(INT(T$6/$X57)&gt;0,$Z57-$AA57,0),-$AA57)</f>
        <v>0</v>
      </c>
      <c r="U58" s="511" t="n">
        <f aca="false">IF(INT(U$6/$X57)*$X$7&gt;U56*($X$7+$Z57)*$Y57,U56*($X$7+$Z57)-SUM($B58:T58),INT(U$6/$X57)*$X$7-U56*($X$7+$Z57)*($Y57-1)-SUM($B58:T58))+IF($Y57&gt;1,IF(INT(U$6/$X57)&gt;0,$Z57-$AA57,0),-$AA57)</f>
        <v>0</v>
      </c>
      <c r="V58" s="511" t="n">
        <f aca="false">IF(INT(V$6/$X57)*$X$7&gt;V56*($X$7+$Z57)*$Y57,V56*($X$7+$Z57)-SUM($B58:U58),INT(V$6/$X57)*$X$7-V56*($X$7+$Z57)*($Y57-1)-SUM($B58:U58))+IF($Y57&gt;1,IF(INT(V$6/$X57)&gt;0,$Z57-$AA57,0),-$AA57)</f>
        <v>0</v>
      </c>
      <c r="W58" s="803"/>
      <c r="AA58" s="157"/>
      <c r="AB58" s="157"/>
    </row>
    <row r="60" customFormat="false" ht="12.75" hidden="false" customHeight="false" outlineLevel="0" collapsed="false">
      <c r="A60" s="153" t="s">
        <v>1395</v>
      </c>
      <c r="B60" s="511"/>
      <c r="C60" s="153" t="n">
        <f aca="false">INT((INT(C$6/$X61)*$X$7+$X$7+$Z61-1)/($X$7+$Z61)/$Y61)</f>
        <v>0</v>
      </c>
      <c r="D60" s="153" t="n">
        <f aca="false">INT((INT(D$6/$X61)*$X$7+$X$7+$Z61-1)/($X$7+$Z61)/$Y61)</f>
        <v>0</v>
      </c>
      <c r="E60" s="153" t="n">
        <f aca="false">INT((INT(E$6/$X61)*$X$7+$X$7+$Z61-1)/($X$7+$Z61)/$Y61)</f>
        <v>0</v>
      </c>
      <c r="F60" s="153" t="n">
        <f aca="false">INT((INT(F$6/$X61)*$X$7+$X$7+$Z61-1)/($X$7+$Z61)/$Y61)</f>
        <v>0</v>
      </c>
      <c r="G60" s="153" t="n">
        <f aca="false">INT((INT(G$6/$X61)*$X$7+$X$7+$Z61-1)/($X$7+$Z61)/$Y61)</f>
        <v>0</v>
      </c>
      <c r="H60" s="153" t="n">
        <f aca="false">INT((INT(H$6/$X61)*$X$7+$X$7+$Z61-1)/($X$7+$Z61)/$Y61)</f>
        <v>0</v>
      </c>
      <c r="I60" s="153" t="n">
        <f aca="false">INT((INT(I$6/$X61)*$X$7+$X$7+$Z61-1)/($X$7+$Z61)/$Y61)</f>
        <v>0</v>
      </c>
      <c r="J60" s="153" t="n">
        <f aca="false">INT((INT(J$6/$X61)*$X$7+$X$7+$Z61-1)/($X$7+$Z61)/$Y61)</f>
        <v>0</v>
      </c>
      <c r="K60" s="153" t="n">
        <f aca="false">INT((INT(K$6/$X61)*$X$7+$X$7+$Z61-1)/($X$7+$Z61)/$Y61)</f>
        <v>0</v>
      </c>
      <c r="L60" s="153" t="n">
        <f aca="false">INT((INT(L$6/$X61)*$X$7+$X$7+$Z61-1)/($X$7+$Z61)/$Y61)</f>
        <v>0</v>
      </c>
      <c r="M60" s="153" t="n">
        <f aca="false">INT((INT(M$6/$X61)*$X$7+$X$7+$Z61-1)/($X$7+$Z61)/$Y61)</f>
        <v>0</v>
      </c>
      <c r="N60" s="153" t="n">
        <f aca="false">INT((INT(N$6/$X61)*$X$7+$X$7+$Z61-1)/($X$7+$Z61)/$Y61)</f>
        <v>0</v>
      </c>
      <c r="O60" s="153" t="n">
        <f aca="false">INT((INT(O$6/$X61)*$X$7+$X$7+$Z61-1)/($X$7+$Z61)/$Y61)</f>
        <v>0</v>
      </c>
      <c r="P60" s="153" t="n">
        <f aca="false">INT((INT(P$6/$X61)*$X$7+$X$7+$Z61-1)/($X$7+$Z61)/$Y61)</f>
        <v>0</v>
      </c>
      <c r="Q60" s="153" t="n">
        <f aca="false">INT((INT(Q$6/$X61)*$X$7+$X$7+$Z61-1)/($X$7+$Z61)/$Y61)</f>
        <v>0</v>
      </c>
      <c r="R60" s="153" t="n">
        <f aca="false">INT((INT(R$6/$X61)*$X$7+$X$7+$Z61-1)/($X$7+$Z61)/$Y61)</f>
        <v>0</v>
      </c>
      <c r="S60" s="153" t="n">
        <f aca="false">INT((INT(S$6/$X61)*$X$7+$X$7+$Z61-1)/($X$7+$Z61)/$Y61)</f>
        <v>0</v>
      </c>
      <c r="T60" s="153" t="n">
        <f aca="false">INT((INT(T$6/$X61)*$X$7+$X$7+$Z61-1)/($X$7+$Z61)/$Y61)</f>
        <v>0</v>
      </c>
      <c r="U60" s="153" t="n">
        <f aca="false">INT((INT(U$6/$X61)*$X$7+$X$7+$Z61-1)/($X$7+$Z61)/$Y61)</f>
        <v>0</v>
      </c>
      <c r="V60" s="153" t="n">
        <f aca="false">INT((INT(V$6/$X61)*$X$7+$X$7+$Z61-1)/($X$7+$Z61)/$Y61)</f>
        <v>0</v>
      </c>
    </row>
    <row r="61" customFormat="false" ht="12.75" hidden="false" customHeight="false" outlineLevel="0" collapsed="false">
      <c r="A61" s="153" t="s">
        <v>1396</v>
      </c>
      <c r="B61" s="511" t="s">
        <v>1007</v>
      </c>
      <c r="C61" s="511" t="n">
        <f aca="false">IF($Y61=1,0,$X$7*(INT(C$6/$X61)-INT(B$6/$X61))-IF(SUM($B61:B61)&gt;0,C62,0))</f>
        <v>0</v>
      </c>
      <c r="D61" s="511" t="n">
        <f aca="false">IF($Y61=1,0,$X$7*(INT(D$6/$X61)-INT(C$6/$X61))-IF(SUM($B61:C61)&gt;0,D62,0))</f>
        <v>0</v>
      </c>
      <c r="E61" s="511" t="n">
        <f aca="false">IF($Y61=1,0,$X$7*(INT(E$6/$X61)-INT(D$6/$X61))-IF(SUM($B61:D61)&gt;0,E62,0))</f>
        <v>0</v>
      </c>
      <c r="F61" s="511" t="n">
        <f aca="false">IF($Y61=1,0,$X$7*(INT(F$6/$X61)-INT(E$6/$X61))-IF(SUM($B61:E61)&gt;0,F62,0))</f>
        <v>0</v>
      </c>
      <c r="G61" s="511" t="n">
        <f aca="false">IF($Y61=1,0,$X$7*(INT(G$6/$X61)-INT(F$6/$X61))-IF(SUM($B61:F61)&gt;0,G62,0))</f>
        <v>0</v>
      </c>
      <c r="H61" s="511" t="n">
        <f aca="false">IF($Y61=1,0,$X$7*(INT(H$6/$X61)-INT(G$6/$X61))-IF(SUM($B61:G61)&gt;0,H62,0))</f>
        <v>0</v>
      </c>
      <c r="I61" s="511" t="n">
        <f aca="false">IF($Y61=1,0,$X$7*(INT(I$6/$X61)-INT(H$6/$X61))-IF(SUM($B61:H61)&gt;0,I62,0))</f>
        <v>0</v>
      </c>
      <c r="J61" s="511" t="n">
        <f aca="false">IF($Y61=1,0,$X$7*(INT(J$6/$X61)-INT(I$6/$X61))-IF(SUM($B61:I61)&gt;0,J62,0))</f>
        <v>0</v>
      </c>
      <c r="K61" s="511" t="n">
        <f aca="false">IF($Y61=1,0,$X$7*(INT(K$6/$X61)-INT(J$6/$X61))-IF(SUM($B61:J61)&gt;0,K62,0))</f>
        <v>0</v>
      </c>
      <c r="L61" s="511" t="n">
        <f aca="false">IF($Y61=1,0,$X$7*(INT(L$6/$X61)-INT(K$6/$X61))-IF(SUM($B61:K61)&gt;0,L62,0))</f>
        <v>0</v>
      </c>
      <c r="M61" s="511" t="n">
        <f aca="false">IF($Y61=1,0,$X$7*(INT(M$6/$X61)-INT(L$6/$X61))-IF(SUM($B61:L61)&gt;0,M62,0))</f>
        <v>0</v>
      </c>
      <c r="N61" s="511" t="n">
        <f aca="false">IF($Y61=1,0,$X$7*(INT(N$6/$X61)-INT(M$6/$X61))-IF(SUM($B61:M61)&gt;0,N62,0))</f>
        <v>0</v>
      </c>
      <c r="O61" s="511" t="n">
        <f aca="false">IF($Y61=1,0,$X$7*(INT(O$6/$X61)-INT(N$6/$X61))-IF(SUM($B61:N61)&gt;0,O62,0))</f>
        <v>0</v>
      </c>
      <c r="P61" s="511" t="n">
        <f aca="false">IF($Y61=1,0,$X$7*(INT(P$6/$X61)-INT(O$6/$X61))-IF(SUM($B61:O61)&gt;0,P62,0))</f>
        <v>0</v>
      </c>
      <c r="Q61" s="511" t="n">
        <f aca="false">IF($Y61=1,0,$X$7*(INT(Q$6/$X61)-INT(P$6/$X61))-IF(SUM($B61:P61)&gt;0,Q62,0))</f>
        <v>0</v>
      </c>
      <c r="R61" s="511" t="n">
        <f aca="false">IF($Y61=1,0,$X$7*(INT(R$6/$X61)-INT(Q$6/$X61))-IF(SUM($B61:Q61)&gt;0,R62,0))</f>
        <v>0</v>
      </c>
      <c r="S61" s="511" t="n">
        <f aca="false">IF($Y61=1,0,$X$7*(INT(S$6/$X61)-INT(R$6/$X61))-IF(SUM($B61:R61)&gt;0,S62,0))</f>
        <v>0</v>
      </c>
      <c r="T61" s="511" t="n">
        <f aca="false">IF($Y61=1,0,$X$7*(INT(T$6/$X61)-INT(S$6/$X61))-IF(SUM($B61:S61)&gt;0,T62,0))</f>
        <v>0</v>
      </c>
      <c r="U61" s="511" t="n">
        <f aca="false">IF($Y61=1,0,$X$7*(INT(U$6/$X61)-INT(T$6/$X61))-IF(SUM($B61:T61)&gt;0,U62,0))</f>
        <v>0</v>
      </c>
      <c r="V61" s="511" t="n">
        <f aca="false">IF($Y61=1,0,$X$7*(INT(V$6/$X61)-INT(U$6/$X61))-IF(SUM($B61:U61)&gt;0,V62,0))</f>
        <v>0</v>
      </c>
      <c r="W61" s="799" t="str">
        <f aca="false">'GT schd cost(6B)'!A26</f>
        <v>2ND STAGE NOZZLES</v>
      </c>
      <c r="X61" s="800" t="n">
        <f aca="false">IF($AD$6=1,'GTDB(6B)'!B28,'GTDB(6B)'!H28)</f>
        <v>24000</v>
      </c>
      <c r="Y61" s="800" t="n">
        <f aca="false">IF($AD$6=1,'GTDB(6B)'!C28,'GTDB(6B)'!I28)</f>
        <v>3</v>
      </c>
      <c r="Z61" s="801" t="n">
        <v>1</v>
      </c>
      <c r="AA61" s="776" t="n">
        <f aca="false">'Initial_Spares(6B)'!$D$22</f>
        <v>0</v>
      </c>
      <c r="AB61" s="807" t="n">
        <f aca="false">'GT schd cost(6B)'!X26+'GT schd cost(6B)'!X49</f>
        <v>33</v>
      </c>
    </row>
    <row r="62" customFormat="false" ht="12.75" hidden="false" customHeight="false" outlineLevel="0" collapsed="false">
      <c r="A62" s="153" t="s">
        <v>1397</v>
      </c>
      <c r="B62" s="511" t="s">
        <v>1007</v>
      </c>
      <c r="C62" s="511" t="n">
        <f aca="false">IF(INT(C$6/$X61)*$X$7&gt;C59*($X$7+$Z61)*$Y61,C59*($X$7+$Z61)-SUM($B62:B62),INT(C$6/$X61)*$X$7-C59*($X$7+$Z61)*($Y61-1)-SUM($B62:B62))+IF($Y61&gt;1,IF(INT(C$6/$X61)&gt;0,$Z61-$AA61,0),-$AA61)</f>
        <v>0</v>
      </c>
      <c r="D62" s="511" t="n">
        <f aca="false">IF(INT(D$6/$X61)*$X$7&gt;D59*($X$7+$Z61)*$Y61,D59*($X$7+$Z61)-SUM($B62:C62),INT(D$6/$X61)*$X$7-D59*($X$7+$Z61)*($Y61-1)-SUM($B62:C62))+IF($Y61&gt;1,IF(INT(D$6/$X61)&gt;0,$Z61-$AA61,0),-$AA61)</f>
        <v>0</v>
      </c>
      <c r="E62" s="511" t="n">
        <f aca="false">IF(INT(E$6/$X61)*$X$7&gt;E59*($X$7+$Z61)*$Y61,E59*($X$7+$Z61)-SUM($B62:D62),INT(E$6/$X61)*$X$7-E59*($X$7+$Z61)*($Y61-1)-SUM($B62:D62))+IF($Y61&gt;1,IF(INT(E$6/$X61)&gt;0,$Z61-$AA61,0),-$AA61)</f>
        <v>1</v>
      </c>
      <c r="F62" s="511" t="n">
        <f aca="false">IF(INT(F$6/$X61)*$X$7&gt;F59*($X$7+$Z61)*$Y61,F59*($X$7+$Z61)-SUM($B62:E62),INT(F$6/$X61)*$X$7-F59*($X$7+$Z61)*($Y61-1)-SUM($B62:E62))+IF($Y61&gt;1,IF(INT(F$6/$X61)&gt;0,$Z61-$AA61,0),-$AA61)</f>
        <v>0</v>
      </c>
      <c r="G62" s="511" t="n">
        <f aca="false">IF(INT(G$6/$X61)*$X$7&gt;G59*($X$7+$Z61)*$Y61,G59*($X$7+$Z61)-SUM($B62:F62),INT(G$6/$X61)*$X$7-G59*($X$7+$Z61)*($Y61-1)-SUM($B62:F62))+IF($Y61&gt;1,IF(INT(G$6/$X61)&gt;0,$Z61-$AA61,0),-$AA61)</f>
        <v>0</v>
      </c>
      <c r="H62" s="511" t="n">
        <f aca="false">IF(INT(H$6/$X61)*$X$7&gt;H59*($X$7+$Z61)*$Y61,H59*($X$7+$Z61)-SUM($B62:G62),INT(H$6/$X61)*$X$7-H59*($X$7+$Z61)*($Y61-1)-SUM($B62:G62))+IF($Y61&gt;1,IF(INT(H$6/$X61)&gt;0,$Z61-$AA61,0),-$AA61)</f>
        <v>0</v>
      </c>
      <c r="I62" s="511" t="n">
        <f aca="false">IF(INT(I$6/$X61)*$X$7&gt;I59*($X$7+$Z61)*$Y61,I59*($X$7+$Z61)-SUM($B62:H62),INT(I$6/$X61)*$X$7-I59*($X$7+$Z61)*($Y61-1)-SUM($B62:H62))+IF($Y61&gt;1,IF(INT(I$6/$X61)&gt;0,$Z61-$AA61,0),-$AA61)</f>
        <v>0</v>
      </c>
      <c r="J62" s="511" t="n">
        <f aca="false">IF(INT(J$6/$X61)*$X$7&gt;J59*($X$7+$Z61)*$Y61,J59*($X$7+$Z61)-SUM($B62:I62),INT(J$6/$X61)*$X$7-J59*($X$7+$Z61)*($Y61-1)-SUM($B62:I62))+IF($Y61&gt;1,IF(INT(J$6/$X61)&gt;0,$Z61-$AA61,0),-$AA61)</f>
        <v>0</v>
      </c>
      <c r="K62" s="511" t="n">
        <f aca="false">IF(INT(K$6/$X61)*$X$7&gt;K59*($X$7+$Z61)*$Y61,K59*($X$7+$Z61)-SUM($B62:J62),INT(K$6/$X61)*$X$7-K59*($X$7+$Z61)*($Y61-1)-SUM($B62:J62))+IF($Y61&gt;1,IF(INT(K$6/$X61)&gt;0,$Z61-$AA61,0),-$AA61)</f>
        <v>0</v>
      </c>
      <c r="L62" s="511" t="n">
        <f aca="false">IF(INT(L$6/$X61)*$X$7&gt;L59*($X$7+$Z61)*$Y61,L59*($X$7+$Z61)-SUM($B62:K62),INT(L$6/$X61)*$X$7-L59*($X$7+$Z61)*($Y61-1)-SUM($B62:K62))+IF($Y61&gt;1,IF(INT(L$6/$X61)&gt;0,$Z61-$AA61,0),-$AA61)</f>
        <v>0</v>
      </c>
      <c r="M62" s="511" t="n">
        <f aca="false">IF(INT(M$6/$X61)*$X$7&gt;M59*($X$7+$Z61)*$Y61,M59*($X$7+$Z61)-SUM($B62:L62),INT(M$6/$X61)*$X$7-M59*($X$7+$Z61)*($Y61-1)-SUM($B62:L62))+IF($Y61&gt;1,IF(INT(M$6/$X61)&gt;0,$Z61-$AA61,0),-$AA61)</f>
        <v>0</v>
      </c>
      <c r="N62" s="511" t="n">
        <f aca="false">IF(INT(N$6/$X61)*$X$7&gt;N59*($X$7+$Z61)*$Y61,N59*($X$7+$Z61)-SUM($B62:M62),INT(N$6/$X61)*$X$7-N59*($X$7+$Z61)*($Y61-1)-SUM($B62:M62))+IF($Y61&gt;1,IF(INT(N$6/$X61)&gt;0,$Z61-$AA61,0),-$AA61)</f>
        <v>0</v>
      </c>
      <c r="O62" s="511" t="n">
        <f aca="false">IF(INT(O$6/$X61)*$X$7&gt;O59*($X$7+$Z61)*$Y61,O59*($X$7+$Z61)-SUM($B62:N62),INT(O$6/$X61)*$X$7-O59*($X$7+$Z61)*($Y61-1)-SUM($B62:N62))+IF($Y61&gt;1,IF(INT(O$6/$X61)&gt;0,$Z61-$AA61,0),-$AA61)</f>
        <v>0</v>
      </c>
      <c r="P62" s="511" t="n">
        <f aca="false">IF(INT(P$6/$X61)*$X$7&gt;P59*($X$7+$Z61)*$Y61,P59*($X$7+$Z61)-SUM($B62:O62),INT(P$6/$X61)*$X$7-P59*($X$7+$Z61)*($Y61-1)-SUM($B62:O62))+IF($Y61&gt;1,IF(INT(P$6/$X61)&gt;0,$Z61-$AA61,0),-$AA61)</f>
        <v>0</v>
      </c>
      <c r="Q62" s="511" t="n">
        <f aca="false">IF(INT(Q$6/$X61)*$X$7&gt;Q59*($X$7+$Z61)*$Y61,Q59*($X$7+$Z61)-SUM($B62:P62),INT(Q$6/$X61)*$X$7-Q59*($X$7+$Z61)*($Y61-1)-SUM($B62:P62))+IF($Y61&gt;1,IF(INT(Q$6/$X61)&gt;0,$Z61-$AA61,0),-$AA61)</f>
        <v>0</v>
      </c>
      <c r="R62" s="511" t="n">
        <f aca="false">IF(INT(R$6/$X61)*$X$7&gt;R59*($X$7+$Z61)*$Y61,R59*($X$7+$Z61)-SUM($B62:Q62),INT(R$6/$X61)*$X$7-R59*($X$7+$Z61)*($Y61-1)-SUM($B62:Q62))+IF($Y61&gt;1,IF(INT(R$6/$X61)&gt;0,$Z61-$AA61,0),-$AA61)</f>
        <v>0</v>
      </c>
      <c r="S62" s="511" t="n">
        <f aca="false">IF(INT(S$6/$X61)*$X$7&gt;S59*($X$7+$Z61)*$Y61,S59*($X$7+$Z61)-SUM($B62:R62),INT(S$6/$X61)*$X$7-S59*($X$7+$Z61)*($Y61-1)-SUM($B62:R62))+IF($Y61&gt;1,IF(INT(S$6/$X61)&gt;0,$Z61-$AA61,0),-$AA61)</f>
        <v>0</v>
      </c>
      <c r="T62" s="511" t="n">
        <f aca="false">IF(INT(T$6/$X61)*$X$7&gt;T59*($X$7+$Z61)*$Y61,T59*($X$7+$Z61)-SUM($B62:S62),INT(T$6/$X61)*$X$7-T59*($X$7+$Z61)*($Y61-1)-SUM($B62:S62))+IF($Y61&gt;1,IF(INT(T$6/$X61)&gt;0,$Z61-$AA61,0),-$AA61)</f>
        <v>0</v>
      </c>
      <c r="U62" s="511" t="n">
        <f aca="false">IF(INT(U$6/$X61)*$X$7&gt;U59*($X$7+$Z61)*$Y61,U59*($X$7+$Z61)-SUM($B62:T62),INT(U$6/$X61)*$X$7-U59*($X$7+$Z61)*($Y61-1)-SUM($B62:T62))+IF($Y61&gt;1,IF(INT(U$6/$X61)&gt;0,$Z61-$AA61,0),-$AA61)</f>
        <v>0</v>
      </c>
      <c r="V62" s="511" t="n">
        <f aca="false">IF(INT(V$6/$X61)*$X$7&gt;V59*($X$7+$Z61)*$Y61,V59*($X$7+$Z61)-SUM($B62:U62),INT(V$6/$X61)*$X$7-V59*($X$7+$Z61)*($Y61-1)-SUM($B62:U62))+IF($Y61&gt;1,IF(INT(V$6/$X61)&gt;0,$Z61-$AA61,0),-$AA61)</f>
        <v>0</v>
      </c>
      <c r="W62" s="803"/>
      <c r="AA62" s="157"/>
      <c r="AB62" s="157"/>
    </row>
    <row r="64" customFormat="false" ht="12.75" hidden="false" customHeight="false" outlineLevel="0" collapsed="false">
      <c r="A64" s="153" t="s">
        <v>1395</v>
      </c>
      <c r="B64" s="511"/>
      <c r="C64" s="153" t="n">
        <f aca="false">INT((INT(C$6/$X65)*$X$7+$X$7+$Z65-1)/($X$7+$Z65)/$Y65)</f>
        <v>0</v>
      </c>
      <c r="D64" s="153" t="n">
        <f aca="false">INT((INT(D$6/$X65)*$X$7+$X$7+$Z65-1)/($X$7+$Z65)/$Y65)</f>
        <v>0</v>
      </c>
      <c r="E64" s="153" t="n">
        <f aca="false">INT((INT(E$6/$X65)*$X$7+$X$7+$Z65-1)/($X$7+$Z65)/$Y65)</f>
        <v>0</v>
      </c>
      <c r="F64" s="153" t="n">
        <f aca="false">INT((INT(F$6/$X65)*$X$7+$X$7+$Z65-1)/($X$7+$Z65)/$Y65)</f>
        <v>0</v>
      </c>
      <c r="G64" s="153" t="n">
        <f aca="false">INT((INT(G$6/$X65)*$X$7+$X$7+$Z65-1)/($X$7+$Z65)/$Y65)</f>
        <v>0</v>
      </c>
      <c r="H64" s="153" t="n">
        <f aca="false">INT((INT(H$6/$X65)*$X$7+$X$7+$Z65-1)/($X$7+$Z65)/$Y65)</f>
        <v>0</v>
      </c>
      <c r="I64" s="153" t="n">
        <f aca="false">INT((INT(I$6/$X65)*$X$7+$X$7+$Z65-1)/($X$7+$Z65)/$Y65)</f>
        <v>0</v>
      </c>
      <c r="J64" s="153" t="n">
        <f aca="false">INT((INT(J$6/$X65)*$X$7+$X$7+$Z65-1)/($X$7+$Z65)/$Y65)</f>
        <v>0</v>
      </c>
      <c r="K64" s="153" t="n">
        <f aca="false">INT((INT(K$6/$X65)*$X$7+$X$7+$Z65-1)/($X$7+$Z65)/$Y65)</f>
        <v>0</v>
      </c>
      <c r="L64" s="153" t="n">
        <f aca="false">INT((INT(L$6/$X65)*$X$7+$X$7+$Z65-1)/($X$7+$Z65)/$Y65)</f>
        <v>0</v>
      </c>
      <c r="M64" s="153" t="n">
        <f aca="false">INT((INT(M$6/$X65)*$X$7+$X$7+$Z65-1)/($X$7+$Z65)/$Y65)</f>
        <v>0</v>
      </c>
      <c r="N64" s="153" t="n">
        <f aca="false">INT((INT(N$6/$X65)*$X$7+$X$7+$Z65-1)/($X$7+$Z65)/$Y65)</f>
        <v>0</v>
      </c>
      <c r="O64" s="153" t="n">
        <f aca="false">INT((INT(O$6/$X65)*$X$7+$X$7+$Z65-1)/($X$7+$Z65)/$Y65)</f>
        <v>0</v>
      </c>
      <c r="P64" s="153" t="n">
        <f aca="false">INT((INT(P$6/$X65)*$X$7+$X$7+$Z65-1)/($X$7+$Z65)/$Y65)</f>
        <v>0</v>
      </c>
      <c r="Q64" s="153" t="n">
        <f aca="false">INT((INT(Q$6/$X65)*$X$7+$X$7+$Z65-1)/($X$7+$Z65)/$Y65)</f>
        <v>0</v>
      </c>
      <c r="R64" s="153" t="n">
        <f aca="false">INT((INT(R$6/$X65)*$X$7+$X$7+$Z65-1)/($X$7+$Z65)/$Y65)</f>
        <v>0</v>
      </c>
      <c r="S64" s="153" t="n">
        <f aca="false">INT((INT(S$6/$X65)*$X$7+$X$7+$Z65-1)/($X$7+$Z65)/$Y65)</f>
        <v>0</v>
      </c>
      <c r="T64" s="153" t="n">
        <f aca="false">INT((INT(T$6/$X65)*$X$7+$X$7+$Z65-1)/($X$7+$Z65)/$Y65)</f>
        <v>0</v>
      </c>
      <c r="U64" s="153" t="n">
        <f aca="false">INT((INT(U$6/$X65)*$X$7+$X$7+$Z65-1)/($X$7+$Z65)/$Y65)</f>
        <v>0</v>
      </c>
      <c r="V64" s="153" t="n">
        <f aca="false">INT((INT(V$6/$X65)*$X$7+$X$7+$Z65-1)/($X$7+$Z65)/$Y65)</f>
        <v>0</v>
      </c>
    </row>
    <row r="65" customFormat="false" ht="12.75" hidden="false" customHeight="false" outlineLevel="0" collapsed="false">
      <c r="A65" s="153" t="s">
        <v>1396</v>
      </c>
      <c r="B65" s="511" t="s">
        <v>1007</v>
      </c>
      <c r="C65" s="511" t="n">
        <f aca="false">IF($Y65=1,0,$X$7*(INT(C$6/$X65)-INT(B$6/$X65))-IF(SUM($B65:B65)&gt;0,C66,0))</f>
        <v>0</v>
      </c>
      <c r="D65" s="511" t="n">
        <f aca="false">IF($Y65=1,0,$X$7*(INT(D$6/$X65)-INT(C$6/$X65))-IF(SUM($B65:C65)&gt;0,D66,0))</f>
        <v>0</v>
      </c>
      <c r="E65" s="511" t="n">
        <f aca="false">IF($Y65=1,0,$X$7*(INT(E$6/$X65)-INT(D$6/$X65))-IF(SUM($B65:D65)&gt;0,E66,0))</f>
        <v>0</v>
      </c>
      <c r="F65" s="511" t="n">
        <f aca="false">IF($Y65=1,0,$X$7*(INT(F$6/$X65)-INT(E$6/$X65))-IF(SUM($B65:E65)&gt;0,F66,0))</f>
        <v>0</v>
      </c>
      <c r="G65" s="511" t="n">
        <f aca="false">IF($Y65=1,0,$X$7*(INT(G$6/$X65)-INT(F$6/$X65))-IF(SUM($B65:F65)&gt;0,G66,0))</f>
        <v>0</v>
      </c>
      <c r="H65" s="511" t="n">
        <f aca="false">IF($Y65=1,0,$X$7*(INT(H$6/$X65)-INT(G$6/$X65))-IF(SUM($B65:G65)&gt;0,H66,0))</f>
        <v>0</v>
      </c>
      <c r="I65" s="511" t="n">
        <f aca="false">IF($Y65=1,0,$X$7*(INT(I$6/$X65)-INT(H$6/$X65))-IF(SUM($B65:H65)&gt;0,I66,0))</f>
        <v>0</v>
      </c>
      <c r="J65" s="511" t="n">
        <f aca="false">IF($Y65=1,0,$X$7*(INT(J$6/$X65)-INT(I$6/$X65))-IF(SUM($B65:I65)&gt;0,J66,0))</f>
        <v>0</v>
      </c>
      <c r="K65" s="511" t="n">
        <f aca="false">IF($Y65=1,0,$X$7*(INT(K$6/$X65)-INT(J$6/$X65))-IF(SUM($B65:J65)&gt;0,K66,0))</f>
        <v>0</v>
      </c>
      <c r="L65" s="511" t="n">
        <f aca="false">IF($Y65=1,0,$X$7*(INT(L$6/$X65)-INT(K$6/$X65))-IF(SUM($B65:K65)&gt;0,L66,0))</f>
        <v>0</v>
      </c>
      <c r="M65" s="511" t="n">
        <f aca="false">IF($Y65=1,0,$X$7*(INT(M$6/$X65)-INT(L$6/$X65))-IF(SUM($B65:L65)&gt;0,M66,0))</f>
        <v>0</v>
      </c>
      <c r="N65" s="511" t="n">
        <f aca="false">IF($Y65=1,0,$X$7*(INT(N$6/$X65)-INT(M$6/$X65))-IF(SUM($B65:M65)&gt;0,N66,0))</f>
        <v>0</v>
      </c>
      <c r="O65" s="511" t="n">
        <f aca="false">IF($Y65=1,0,$X$7*(INT(O$6/$X65)-INT(N$6/$X65))-IF(SUM($B65:N65)&gt;0,O66,0))</f>
        <v>0</v>
      </c>
      <c r="P65" s="511" t="n">
        <f aca="false">IF($Y65=1,0,$X$7*(INT(P$6/$X65)-INT(O$6/$X65))-IF(SUM($B65:O65)&gt;0,P66,0))</f>
        <v>0</v>
      </c>
      <c r="Q65" s="511" t="n">
        <f aca="false">IF($Y65=1,0,$X$7*(INT(Q$6/$X65)-INT(P$6/$X65))-IF(SUM($B65:P65)&gt;0,Q66,0))</f>
        <v>0</v>
      </c>
      <c r="R65" s="511" t="n">
        <f aca="false">IF($Y65=1,0,$X$7*(INT(R$6/$X65)-INT(Q$6/$X65))-IF(SUM($B65:Q65)&gt;0,R66,0))</f>
        <v>0</v>
      </c>
      <c r="S65" s="511" t="n">
        <f aca="false">IF($Y65=1,0,$X$7*(INT(S$6/$X65)-INT(R$6/$X65))-IF(SUM($B65:R65)&gt;0,S66,0))</f>
        <v>0</v>
      </c>
      <c r="T65" s="511" t="n">
        <f aca="false">IF($Y65=1,0,$X$7*(INT(T$6/$X65)-INT(S$6/$X65))-IF(SUM($B65:S65)&gt;0,T66,0))</f>
        <v>0</v>
      </c>
      <c r="U65" s="511" t="n">
        <f aca="false">IF($Y65=1,0,$X$7*(INT(U$6/$X65)-INT(T$6/$X65))-IF(SUM($B65:T65)&gt;0,U66,0))</f>
        <v>0</v>
      </c>
      <c r="V65" s="511" t="n">
        <f aca="false">IF($Y65=1,0,$X$7*(INT(V$6/$X65)-INT(U$6/$X65))-IF(SUM($B65:U65)&gt;0,V66,0))</f>
        <v>0</v>
      </c>
      <c r="W65" s="799" t="str">
        <f aca="false">'GT schd cost(6B)'!A27</f>
        <v>3RD STAGE NOZZLES</v>
      </c>
      <c r="X65" s="800" t="n">
        <f aca="false">IF($AD$6=1,'GTDB(6B)'!B29,'GTDB(6B)'!H29)</f>
        <v>24000</v>
      </c>
      <c r="Y65" s="800" t="n">
        <f aca="false">IF($AD$6=1,'GTDB(6B)'!C29,'GTDB(6B)'!I29)</f>
        <v>3</v>
      </c>
      <c r="Z65" s="801" t="n">
        <v>1</v>
      </c>
      <c r="AA65" s="776" t="n">
        <f aca="false">'Initial_Spares(6B)'!$D$23</f>
        <v>0</v>
      </c>
      <c r="AB65" s="807" t="n">
        <f aca="false">'GT schd cost(6B)'!X27+'GT schd cost(6B)'!X50</f>
        <v>0</v>
      </c>
    </row>
    <row r="66" customFormat="false" ht="12.75" hidden="false" customHeight="false" outlineLevel="0" collapsed="false">
      <c r="A66" s="153" t="s">
        <v>1397</v>
      </c>
      <c r="B66" s="511" t="s">
        <v>1007</v>
      </c>
      <c r="C66" s="511" t="n">
        <f aca="false">IF(INT(C$6/$X65)*$X$7&gt;C63*($X$7+$Z65)*$Y65,C63*($X$7+$Z65)-SUM($B66:B66),INT(C$6/$X65)*$X$7-C63*($X$7+$Z65)*($Y65-1)-SUM($B66:B66))+IF($Y65&gt;1,IF(INT(C$6/$X65)&gt;0,$Z65-$AA65,0),-$AA65)</f>
        <v>0</v>
      </c>
      <c r="D66" s="511" t="n">
        <f aca="false">IF(INT(D$6/$X65)*$X$7&gt;D63*($X$7+$Z65)*$Y65,D63*($X$7+$Z65)-SUM($B66:C66),INT(D$6/$X65)*$X$7-D63*($X$7+$Z65)*($Y65-1)-SUM($B66:C66))+IF($Y65&gt;1,IF(INT(D$6/$X65)&gt;0,$Z65-$AA65,0),-$AA65)</f>
        <v>0</v>
      </c>
      <c r="E66" s="511" t="n">
        <f aca="false">IF(INT(E$6/$X65)*$X$7&gt;E63*($X$7+$Z65)*$Y65,E63*($X$7+$Z65)-SUM($B66:D66),INT(E$6/$X65)*$X$7-E63*($X$7+$Z65)*($Y65-1)-SUM($B66:D66))+IF($Y65&gt;1,IF(INT(E$6/$X65)&gt;0,$Z65-$AA65,0),-$AA65)</f>
        <v>1</v>
      </c>
      <c r="F66" s="511" t="n">
        <f aca="false">IF(INT(F$6/$X65)*$X$7&gt;F63*($X$7+$Z65)*$Y65,F63*($X$7+$Z65)-SUM($B66:E66),INT(F$6/$X65)*$X$7-F63*($X$7+$Z65)*($Y65-1)-SUM($B66:E66))+IF($Y65&gt;1,IF(INT(F$6/$X65)&gt;0,$Z65-$AA65,0),-$AA65)</f>
        <v>0</v>
      </c>
      <c r="G66" s="511" t="n">
        <f aca="false">IF(INT(G$6/$X65)*$X$7&gt;G63*($X$7+$Z65)*$Y65,G63*($X$7+$Z65)-SUM($B66:F66),INT(G$6/$X65)*$X$7-G63*($X$7+$Z65)*($Y65-1)-SUM($B66:F66))+IF($Y65&gt;1,IF(INT(G$6/$X65)&gt;0,$Z65-$AA65,0),-$AA65)</f>
        <v>0</v>
      </c>
      <c r="H66" s="511" t="n">
        <f aca="false">IF(INT(H$6/$X65)*$X$7&gt;H63*($X$7+$Z65)*$Y65,H63*($X$7+$Z65)-SUM($B66:G66),INT(H$6/$X65)*$X$7-H63*($X$7+$Z65)*($Y65-1)-SUM($B66:G66))+IF($Y65&gt;1,IF(INT(H$6/$X65)&gt;0,$Z65-$AA65,0),-$AA65)</f>
        <v>0</v>
      </c>
      <c r="I66" s="511" t="n">
        <f aca="false">IF(INT(I$6/$X65)*$X$7&gt;I63*($X$7+$Z65)*$Y65,I63*($X$7+$Z65)-SUM($B66:H66),INT(I$6/$X65)*$X$7-I63*($X$7+$Z65)*($Y65-1)-SUM($B66:H66))+IF($Y65&gt;1,IF(INT(I$6/$X65)&gt;0,$Z65-$AA65,0),-$AA65)</f>
        <v>0</v>
      </c>
      <c r="J66" s="511" t="n">
        <f aca="false">IF(INT(J$6/$X65)*$X$7&gt;J63*($X$7+$Z65)*$Y65,J63*($X$7+$Z65)-SUM($B66:I66),INT(J$6/$X65)*$X$7-J63*($X$7+$Z65)*($Y65-1)-SUM($B66:I66))+IF($Y65&gt;1,IF(INT(J$6/$X65)&gt;0,$Z65-$AA65,0),-$AA65)</f>
        <v>0</v>
      </c>
      <c r="K66" s="511" t="n">
        <f aca="false">IF(INT(K$6/$X65)*$X$7&gt;K63*($X$7+$Z65)*$Y65,K63*($X$7+$Z65)-SUM($B66:J66),INT(K$6/$X65)*$X$7-K63*($X$7+$Z65)*($Y65-1)-SUM($B66:J66))+IF($Y65&gt;1,IF(INT(K$6/$X65)&gt;0,$Z65-$AA65,0),-$AA65)</f>
        <v>0</v>
      </c>
      <c r="L66" s="511" t="n">
        <f aca="false">IF(INT(L$6/$X65)*$X$7&gt;L63*($X$7+$Z65)*$Y65,L63*($X$7+$Z65)-SUM($B66:K66),INT(L$6/$X65)*$X$7-L63*($X$7+$Z65)*($Y65-1)-SUM($B66:K66))+IF($Y65&gt;1,IF(INT(L$6/$X65)&gt;0,$Z65-$AA65,0),-$AA65)</f>
        <v>0</v>
      </c>
      <c r="M66" s="511" t="n">
        <f aca="false">IF(INT(M$6/$X65)*$X$7&gt;M63*($X$7+$Z65)*$Y65,M63*($X$7+$Z65)-SUM($B66:L66),INT(M$6/$X65)*$X$7-M63*($X$7+$Z65)*($Y65-1)-SUM($B66:L66))+IF($Y65&gt;1,IF(INT(M$6/$X65)&gt;0,$Z65-$AA65,0),-$AA65)</f>
        <v>0</v>
      </c>
      <c r="N66" s="511" t="n">
        <f aca="false">IF(INT(N$6/$X65)*$X$7&gt;N63*($X$7+$Z65)*$Y65,N63*($X$7+$Z65)-SUM($B66:M66),INT(N$6/$X65)*$X$7-N63*($X$7+$Z65)*($Y65-1)-SUM($B66:M66))+IF($Y65&gt;1,IF(INT(N$6/$X65)&gt;0,$Z65-$AA65,0),-$AA65)</f>
        <v>0</v>
      </c>
      <c r="O66" s="511" t="n">
        <f aca="false">IF(INT(O$6/$X65)*$X$7&gt;O63*($X$7+$Z65)*$Y65,O63*($X$7+$Z65)-SUM($B66:N66),INT(O$6/$X65)*$X$7-O63*($X$7+$Z65)*($Y65-1)-SUM($B66:N66))+IF($Y65&gt;1,IF(INT(O$6/$X65)&gt;0,$Z65-$AA65,0),-$AA65)</f>
        <v>0</v>
      </c>
      <c r="P66" s="511" t="n">
        <f aca="false">IF(INT(P$6/$X65)*$X$7&gt;P63*($X$7+$Z65)*$Y65,P63*($X$7+$Z65)-SUM($B66:O66),INT(P$6/$X65)*$X$7-P63*($X$7+$Z65)*($Y65-1)-SUM($B66:O66))+IF($Y65&gt;1,IF(INT(P$6/$X65)&gt;0,$Z65-$AA65,0),-$AA65)</f>
        <v>0</v>
      </c>
      <c r="Q66" s="511" t="n">
        <f aca="false">IF(INT(Q$6/$X65)*$X$7&gt;Q63*($X$7+$Z65)*$Y65,Q63*($X$7+$Z65)-SUM($B66:P66),INT(Q$6/$X65)*$X$7-Q63*($X$7+$Z65)*($Y65-1)-SUM($B66:P66))+IF($Y65&gt;1,IF(INT(Q$6/$X65)&gt;0,$Z65-$AA65,0),-$AA65)</f>
        <v>0</v>
      </c>
      <c r="R66" s="511" t="n">
        <f aca="false">IF(INT(R$6/$X65)*$X$7&gt;R63*($X$7+$Z65)*$Y65,R63*($X$7+$Z65)-SUM($B66:Q66),INT(R$6/$X65)*$X$7-R63*($X$7+$Z65)*($Y65-1)-SUM($B66:Q66))+IF($Y65&gt;1,IF(INT(R$6/$X65)&gt;0,$Z65-$AA65,0),-$AA65)</f>
        <v>0</v>
      </c>
      <c r="S66" s="511" t="n">
        <f aca="false">IF(INT(S$6/$X65)*$X$7&gt;S63*($X$7+$Z65)*$Y65,S63*($X$7+$Z65)-SUM($B66:R66),INT(S$6/$X65)*$X$7-S63*($X$7+$Z65)*($Y65-1)-SUM($B66:R66))+IF($Y65&gt;1,IF(INT(S$6/$X65)&gt;0,$Z65-$AA65,0),-$AA65)</f>
        <v>0</v>
      </c>
      <c r="T66" s="511" t="n">
        <f aca="false">IF(INT(T$6/$X65)*$X$7&gt;T63*($X$7+$Z65)*$Y65,T63*($X$7+$Z65)-SUM($B66:S66),INT(T$6/$X65)*$X$7-T63*($X$7+$Z65)*($Y65-1)-SUM($B66:S66))+IF($Y65&gt;1,IF(INT(T$6/$X65)&gt;0,$Z65-$AA65,0),-$AA65)</f>
        <v>0</v>
      </c>
      <c r="U66" s="511" t="n">
        <f aca="false">IF(INT(U$6/$X65)*$X$7&gt;U63*($X$7+$Z65)*$Y65,U63*($X$7+$Z65)-SUM($B66:T66),INT(U$6/$X65)*$X$7-U63*($X$7+$Z65)*($Y65-1)-SUM($B66:T66))+IF($Y65&gt;1,IF(INT(U$6/$X65)&gt;0,$Z65-$AA65,0),-$AA65)</f>
        <v>0</v>
      </c>
      <c r="V66" s="511" t="n">
        <f aca="false">IF(INT(V$6/$X65)*$X$7&gt;V63*($X$7+$Z65)*$Y65,V63*($X$7+$Z65)-SUM($B66:U66),INT(V$6/$X65)*$X$7-V63*($X$7+$Z65)*($Y65-1)-SUM($B66:U66))+IF($Y65&gt;1,IF(INT(V$6/$X65)&gt;0,$Z65-$AA65,0),-$AA65)</f>
        <v>0</v>
      </c>
      <c r="W66" s="803"/>
      <c r="AA66" s="157"/>
      <c r="AB66" s="1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Q43"/>
  <sheetViews>
    <sheetView showFormulas="false" showGridLines="true" showRowColHeaders="true" showZeros="true" rightToLeft="false" tabSelected="false" showOutlineSymbols="true" defaultGridColor="true" view="normal" topLeftCell="A3" colorId="64" zoomScale="75" zoomScaleNormal="75" zoomScalePageLayoutView="100" workbookViewId="0">
      <selection pane="topLeft" activeCell="D23" activeCellId="0" sqref="D2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8" min="8" style="0" width="9.28"/>
  </cols>
  <sheetData>
    <row r="2" customFormat="false" ht="21" hidden="false" customHeight="true" outlineLevel="0" collapsed="false">
      <c r="A2" s="809" t="s">
        <v>1398</v>
      </c>
      <c r="B2" s="157"/>
      <c r="C2" s="157"/>
      <c r="D2" s="157"/>
      <c r="E2" s="157"/>
      <c r="F2" s="157"/>
    </row>
    <row r="3" customFormat="false" ht="11.25" hidden="false" customHeight="true" outlineLevel="0" collapsed="false">
      <c r="A3" s="809"/>
      <c r="B3" s="157"/>
      <c r="C3" s="157"/>
      <c r="D3" s="157"/>
      <c r="E3" s="157"/>
      <c r="F3" s="157"/>
    </row>
    <row r="4" customFormat="false" ht="12.75" hidden="false" customHeight="false" outlineLevel="0" collapsed="false">
      <c r="A4" s="518" t="s">
        <v>1399</v>
      </c>
      <c r="B4" s="810" t="s">
        <v>1439</v>
      </c>
      <c r="C4" s="810"/>
      <c r="D4" s="157"/>
      <c r="E4" s="157"/>
      <c r="F4" s="157"/>
    </row>
    <row r="5" customFormat="false" ht="12.75" hidden="false" customHeight="false" outlineLevel="0" collapsed="false">
      <c r="A5" s="518" t="s">
        <v>1400</v>
      </c>
      <c r="B5" s="810" t="s">
        <v>1454</v>
      </c>
      <c r="C5" s="810"/>
      <c r="D5" s="157"/>
      <c r="E5" s="157" t="s">
        <v>1007</v>
      </c>
      <c r="F5" s="157"/>
    </row>
    <row r="6" customFormat="false" ht="12.75" hidden="false" customHeight="false" outlineLevel="0" collapsed="false">
      <c r="A6" s="518" t="s">
        <v>1401</v>
      </c>
      <c r="B6" s="811" t="n">
        <v>36600</v>
      </c>
      <c r="C6" s="157"/>
      <c r="D6" s="157"/>
      <c r="E6" s="157" t="s">
        <v>1007</v>
      </c>
      <c r="F6" s="157"/>
    </row>
    <row r="7" customFormat="false" ht="12.75" hidden="false" customHeight="false" outlineLevel="0" collapsed="false">
      <c r="A7" s="518" t="s">
        <v>1402</v>
      </c>
      <c r="B7" s="157" t="s">
        <v>1403</v>
      </c>
      <c r="C7" s="157"/>
      <c r="D7" s="157"/>
      <c r="E7" s="157"/>
      <c r="F7" s="157"/>
    </row>
    <row r="8" customFormat="false" ht="12.75" hidden="false" customHeight="false" outlineLevel="0" collapsed="false">
      <c r="A8" s="518" t="s">
        <v>1007</v>
      </c>
      <c r="B8" s="157"/>
      <c r="C8" s="157"/>
      <c r="D8" s="157"/>
      <c r="E8" s="157"/>
      <c r="F8" s="157"/>
    </row>
    <row r="9" customFormat="false" ht="12.75" hidden="false" customHeight="false" outlineLevel="0" collapsed="false">
      <c r="A9" s="518" t="s">
        <v>1007</v>
      </c>
      <c r="B9" s="157" t="s">
        <v>1007</v>
      </c>
      <c r="C9" s="157"/>
      <c r="D9" s="157"/>
      <c r="E9" s="157"/>
      <c r="F9" s="157"/>
    </row>
    <row r="10" customFormat="false" ht="12.75" hidden="false" customHeight="false" outlineLevel="0" collapsed="false">
      <c r="A10" s="667"/>
      <c r="B10" s="667"/>
      <c r="C10" s="667"/>
      <c r="D10" s="667"/>
      <c r="E10" s="667"/>
      <c r="F10" s="667"/>
      <c r="G10" s="667"/>
      <c r="H10" s="667"/>
    </row>
    <row r="11" customFormat="false" ht="26.25" hidden="false" customHeight="false" outlineLevel="0" collapsed="false">
      <c r="A11" s="812" t="s">
        <v>1007</v>
      </c>
      <c r="B11" s="812" t="s">
        <v>1404</v>
      </c>
      <c r="C11" s="812" t="s">
        <v>1405</v>
      </c>
      <c r="D11" s="812" t="s">
        <v>1406</v>
      </c>
      <c r="E11" s="667"/>
      <c r="F11" s="667"/>
      <c r="G11" s="667"/>
      <c r="H11" s="812" t="s">
        <v>1407</v>
      </c>
    </row>
    <row r="12" customFormat="false" ht="12.75" hidden="false" customHeight="false" outlineLevel="0" collapsed="false">
      <c r="A12" s="813" t="s">
        <v>1408</v>
      </c>
      <c r="B12" s="814" t="n">
        <v>12000</v>
      </c>
      <c r="C12" s="843" t="n">
        <f aca="false">F12/1000</f>
        <v>45.744</v>
      </c>
      <c r="D12" s="843" t="n">
        <f aca="false">G12/1000</f>
        <v>34</v>
      </c>
      <c r="F12" s="0" t="n">
        <v>45744</v>
      </c>
      <c r="G12" s="0" t="n">
        <v>34000</v>
      </c>
      <c r="H12" s="814" t="n">
        <v>1200</v>
      </c>
    </row>
    <row r="13" customFormat="false" ht="12.75" hidden="false" customHeight="false" outlineLevel="0" collapsed="false">
      <c r="A13" s="153" t="s">
        <v>1409</v>
      </c>
      <c r="B13" s="816" t="n">
        <v>24000</v>
      </c>
      <c r="C13" s="843" t="n">
        <f aca="false">F13/1000</f>
        <v>84.124</v>
      </c>
      <c r="D13" s="843" t="n">
        <f aca="false">G13/1000</f>
        <v>44</v>
      </c>
      <c r="F13" s="0" t="n">
        <v>84124</v>
      </c>
      <c r="G13" s="0" t="n">
        <v>44000</v>
      </c>
      <c r="H13" s="816" t="n">
        <v>1200</v>
      </c>
    </row>
    <row r="14" customFormat="false" ht="12.75" hidden="false" customHeight="false" outlineLevel="0" collapsed="false">
      <c r="A14" s="153" t="s">
        <v>1410</v>
      </c>
      <c r="B14" s="816" t="n">
        <v>48000</v>
      </c>
      <c r="C14" s="843" t="n">
        <f aca="false">F14/1000</f>
        <v>178.908</v>
      </c>
      <c r="D14" s="843" t="n">
        <f aca="false">G14/1000</f>
        <v>162</v>
      </c>
      <c r="F14" s="0" t="n">
        <v>178908</v>
      </c>
      <c r="G14" s="0" t="n">
        <v>162000</v>
      </c>
      <c r="H14" s="816" t="n">
        <v>2400</v>
      </c>
      <c r="N14" s="792"/>
    </row>
    <row r="16" customFormat="false" ht="39" hidden="false" customHeight="false" outlineLevel="0" collapsed="false">
      <c r="A16" s="817" t="s">
        <v>1411</v>
      </c>
      <c r="B16" s="817" t="s">
        <v>1412</v>
      </c>
      <c r="C16" s="817" t="s">
        <v>1413</v>
      </c>
      <c r="D16" s="817" t="s">
        <v>1414</v>
      </c>
      <c r="E16" s="817" t="s">
        <v>1415</v>
      </c>
      <c r="F16" s="818"/>
      <c r="G16" s="818"/>
      <c r="H16" s="812" t="s">
        <v>1416</v>
      </c>
      <c r="I16" s="812" t="s">
        <v>1417</v>
      </c>
    </row>
    <row r="17" customFormat="false" ht="12.75" hidden="false" customHeight="false" outlineLevel="0" collapsed="false">
      <c r="A17" s="819" t="s">
        <v>1455</v>
      </c>
      <c r="B17" s="820" t="n">
        <v>12000</v>
      </c>
      <c r="C17" s="820" t="n">
        <v>3</v>
      </c>
      <c r="D17" s="819" t="n">
        <f aca="false">F17/1000</f>
        <v>8</v>
      </c>
      <c r="E17" s="819" t="n">
        <f aca="false">G17/1000</f>
        <v>13</v>
      </c>
      <c r="F17" s="862" t="n">
        <v>8000</v>
      </c>
      <c r="G17" s="810" t="n">
        <v>13000</v>
      </c>
      <c r="H17" s="821" t="n">
        <v>1200</v>
      </c>
      <c r="I17" s="822" t="n">
        <v>3</v>
      </c>
      <c r="M17" s="792"/>
    </row>
    <row r="18" customFormat="false" ht="12.75" hidden="false" customHeight="false" outlineLevel="0" collapsed="false">
      <c r="A18" s="823" t="s">
        <v>1456</v>
      </c>
      <c r="B18" s="820" t="n">
        <v>12000</v>
      </c>
      <c r="C18" s="824" t="n">
        <v>3</v>
      </c>
      <c r="D18" s="819" t="n">
        <f aca="false">F18/1000</f>
        <v>2</v>
      </c>
      <c r="E18" s="819" t="n">
        <f aca="false">G18/1000</f>
        <v>10.5</v>
      </c>
      <c r="F18" s="862" t="n">
        <v>2000</v>
      </c>
      <c r="G18" s="810" t="n">
        <v>10500</v>
      </c>
      <c r="H18" s="821" t="n">
        <v>1200</v>
      </c>
      <c r="I18" s="825" t="n">
        <v>3</v>
      </c>
      <c r="Q18" s="792"/>
    </row>
    <row r="19" customFormat="false" ht="12.75" hidden="false" customHeight="false" outlineLevel="0" collapsed="false">
      <c r="A19" s="823" t="s">
        <v>1457</v>
      </c>
      <c r="B19" s="820" t="n">
        <v>12000</v>
      </c>
      <c r="C19" s="824" t="n">
        <v>5</v>
      </c>
      <c r="D19" s="819" t="n">
        <f aca="false">F19/1000</f>
        <v>14.575</v>
      </c>
      <c r="E19" s="819" t="n">
        <f aca="false">G19/1000</f>
        <v>87</v>
      </c>
      <c r="F19" s="862" t="n">
        <v>14575</v>
      </c>
      <c r="G19" s="810" t="n">
        <v>87000</v>
      </c>
      <c r="H19" s="821" t="n">
        <v>1200</v>
      </c>
      <c r="I19" s="825" t="n">
        <v>5</v>
      </c>
    </row>
    <row r="20" customFormat="false" ht="12.75" hidden="false" customHeight="false" outlineLevel="0" collapsed="false">
      <c r="A20" s="823" t="s">
        <v>1458</v>
      </c>
      <c r="B20" s="820" t="n">
        <v>12000</v>
      </c>
      <c r="C20" s="824" t="n">
        <v>6</v>
      </c>
      <c r="D20" s="819" t="n">
        <f aca="false">F20/1000</f>
        <v>20.4</v>
      </c>
      <c r="E20" s="819" t="n">
        <f aca="false">G20/1000</f>
        <v>127</v>
      </c>
      <c r="F20" s="862" t="n">
        <v>20400</v>
      </c>
      <c r="G20" s="810" t="n">
        <v>127000</v>
      </c>
      <c r="H20" s="821" t="n">
        <v>1200</v>
      </c>
      <c r="I20" s="825" t="n">
        <v>6</v>
      </c>
      <c r="L20" s="792"/>
    </row>
    <row r="21" customFormat="false" ht="12.75" hidden="false" customHeight="false" outlineLevel="0" collapsed="false">
      <c r="A21" s="826" t="s">
        <v>1459</v>
      </c>
      <c r="B21" s="827" t="n">
        <v>24000</v>
      </c>
      <c r="C21" s="827" t="n">
        <v>2</v>
      </c>
      <c r="D21" s="863" t="n">
        <f aca="false">F21/1000</f>
        <v>86.4</v>
      </c>
      <c r="E21" s="863" t="n">
        <f aca="false">G21/1000</f>
        <v>375</v>
      </c>
      <c r="F21" s="864" t="n">
        <v>86400</v>
      </c>
      <c r="G21" s="865" t="n">
        <v>375000</v>
      </c>
      <c r="H21" s="821" t="n">
        <v>1200</v>
      </c>
      <c r="I21" s="825" t="n">
        <v>3</v>
      </c>
    </row>
    <row r="22" customFormat="false" ht="12.75" hidden="false" customHeight="false" outlineLevel="0" collapsed="false">
      <c r="A22" s="826" t="s">
        <v>1460</v>
      </c>
      <c r="B22" s="827" t="n">
        <v>24000</v>
      </c>
      <c r="C22" s="827" t="n">
        <v>3</v>
      </c>
      <c r="D22" s="863" t="n">
        <f aca="false">F22/1000</f>
        <v>39.84</v>
      </c>
      <c r="E22" s="863" t="n">
        <f aca="false">G22/1000</f>
        <v>275</v>
      </c>
      <c r="F22" s="864" t="n">
        <v>39840</v>
      </c>
      <c r="G22" s="865" t="n">
        <v>275000</v>
      </c>
      <c r="H22" s="821" t="n">
        <v>1200</v>
      </c>
      <c r="I22" s="825" t="n">
        <v>4</v>
      </c>
    </row>
    <row r="23" customFormat="false" ht="12.75" hidden="false" customHeight="false" outlineLevel="0" collapsed="false">
      <c r="A23" s="826" t="s">
        <v>1461</v>
      </c>
      <c r="B23" s="827" t="n">
        <v>24000</v>
      </c>
      <c r="C23" s="827" t="n">
        <v>3</v>
      </c>
      <c r="D23" s="863" t="n">
        <f aca="false">F23/1000</f>
        <v>42.13</v>
      </c>
      <c r="E23" s="863" t="n">
        <f aca="false">G23/1000</f>
        <v>270</v>
      </c>
      <c r="F23" s="864" t="n">
        <v>42130</v>
      </c>
      <c r="G23" s="865" t="n">
        <v>270000</v>
      </c>
      <c r="H23" s="821" t="n">
        <v>1200</v>
      </c>
      <c r="I23" s="825" t="n">
        <v>4</v>
      </c>
    </row>
    <row r="24" customFormat="false" ht="12.75" hidden="false" customHeight="false" outlineLevel="0" collapsed="false">
      <c r="A24" s="826" t="s">
        <v>1462</v>
      </c>
      <c r="B24" s="827" t="n">
        <v>24000</v>
      </c>
      <c r="C24" s="827" t="n">
        <v>2</v>
      </c>
      <c r="D24" s="863" t="n">
        <f aca="false">F24/1000</f>
        <v>15.6</v>
      </c>
      <c r="E24" s="863" t="n">
        <f aca="false">G24/1000</f>
        <v>75</v>
      </c>
      <c r="F24" s="864" t="n">
        <v>15600</v>
      </c>
      <c r="G24" s="865" t="n">
        <v>75000</v>
      </c>
      <c r="H24" s="821" t="n">
        <v>1200</v>
      </c>
      <c r="I24" s="825" t="n">
        <v>2</v>
      </c>
    </row>
    <row r="25" customFormat="false" ht="12.75" hidden="false" customHeight="false" outlineLevel="0" collapsed="false">
      <c r="A25" s="826" t="s">
        <v>1463</v>
      </c>
      <c r="B25" s="827" t="n">
        <v>24000</v>
      </c>
      <c r="C25" s="827" t="n">
        <v>3</v>
      </c>
      <c r="D25" s="863" t="n">
        <f aca="false">F25/1000</f>
        <v>11</v>
      </c>
      <c r="E25" s="863" t="n">
        <f aca="false">G25/1000</f>
        <v>65</v>
      </c>
      <c r="F25" s="864" t="n">
        <v>11000</v>
      </c>
      <c r="G25" s="865" t="n">
        <v>65000</v>
      </c>
      <c r="H25" s="821" t="n">
        <v>1200</v>
      </c>
      <c r="I25" s="825" t="n">
        <v>4</v>
      </c>
      <c r="L25" s="792"/>
    </row>
    <row r="26" customFormat="false" ht="12.75" hidden="false" customHeight="false" outlineLevel="0" collapsed="false">
      <c r="A26" s="826" t="s">
        <v>1464</v>
      </c>
      <c r="B26" s="827" t="n">
        <v>24000</v>
      </c>
      <c r="C26" s="827" t="n">
        <v>3</v>
      </c>
      <c r="D26" s="863" t="n">
        <f aca="false">F26/1000</f>
        <v>12.9</v>
      </c>
      <c r="E26" s="863" t="n">
        <f aca="false">G26/1000</f>
        <v>40</v>
      </c>
      <c r="F26" s="864" t="n">
        <v>12900</v>
      </c>
      <c r="G26" s="865" t="n">
        <v>40000</v>
      </c>
      <c r="H26" s="821" t="n">
        <v>1200</v>
      </c>
      <c r="I26" s="825" t="n">
        <v>4</v>
      </c>
    </row>
    <row r="27" customFormat="false" ht="12.75" hidden="false" customHeight="false" outlineLevel="0" collapsed="false">
      <c r="A27" s="826" t="s">
        <v>1465</v>
      </c>
      <c r="B27" s="827" t="n">
        <v>24000</v>
      </c>
      <c r="C27" s="827" t="n">
        <v>3</v>
      </c>
      <c r="D27" s="863" t="n">
        <f aca="false">F27/1000</f>
        <v>65.5</v>
      </c>
      <c r="E27" s="863" t="n">
        <f aca="false">G27/1000</f>
        <v>315</v>
      </c>
      <c r="F27" s="864" t="n">
        <v>65500</v>
      </c>
      <c r="G27" s="865" t="n">
        <v>315000</v>
      </c>
      <c r="H27" s="821" t="n">
        <v>1200</v>
      </c>
      <c r="I27" s="825" t="n">
        <v>3</v>
      </c>
    </row>
    <row r="28" customFormat="false" ht="12.75" hidden="false" customHeight="false" outlineLevel="0" collapsed="false">
      <c r="A28" s="826" t="s">
        <v>1466</v>
      </c>
      <c r="B28" s="827" t="n">
        <v>24000</v>
      </c>
      <c r="C28" s="827" t="n">
        <v>3</v>
      </c>
      <c r="D28" s="863" t="n">
        <f aca="false">F28/1000</f>
        <v>33</v>
      </c>
      <c r="E28" s="863" t="n">
        <f aca="false">G28/1000</f>
        <v>370</v>
      </c>
      <c r="F28" s="864" t="n">
        <v>33000</v>
      </c>
      <c r="G28" s="866" t="n">
        <v>370000</v>
      </c>
      <c r="H28" s="821" t="n">
        <v>1200</v>
      </c>
      <c r="I28" s="825" t="n">
        <v>3</v>
      </c>
    </row>
    <row r="29" customFormat="false" ht="12.75" hidden="false" customHeight="false" outlineLevel="0" collapsed="false">
      <c r="A29" s="826" t="s">
        <v>1467</v>
      </c>
      <c r="B29" s="827" t="n">
        <v>24000</v>
      </c>
      <c r="C29" s="827" t="n">
        <v>3</v>
      </c>
      <c r="D29" s="863" t="n">
        <f aca="false">F29/1000</f>
        <v>25.07</v>
      </c>
      <c r="E29" s="863" t="n">
        <f aca="false">G29/1000</f>
        <v>325</v>
      </c>
      <c r="F29" s="864" t="n">
        <v>25070</v>
      </c>
      <c r="G29" s="865" t="n">
        <v>325000</v>
      </c>
      <c r="H29" s="821" t="n">
        <v>1200</v>
      </c>
      <c r="I29" s="867" t="n">
        <v>3</v>
      </c>
    </row>
    <row r="30" customFormat="false" ht="12.75" hidden="true" customHeight="false" outlineLevel="0" collapsed="false">
      <c r="A30" s="826" t="s">
        <v>1468</v>
      </c>
      <c r="B30" s="827"/>
      <c r="C30" s="827"/>
      <c r="D30" s="838"/>
      <c r="E30" s="843" t="n">
        <f aca="false">G30/1000</f>
        <v>34</v>
      </c>
      <c r="F30" s="868"/>
      <c r="G30" s="785" t="n">
        <v>34000</v>
      </c>
      <c r="H30" s="828" t="n">
        <v>1200</v>
      </c>
      <c r="I30" s="838"/>
    </row>
    <row r="31" customFormat="false" ht="12.75" hidden="true" customHeight="false" outlineLevel="0" collapsed="false">
      <c r="A31" s="826" t="s">
        <v>1469</v>
      </c>
      <c r="B31" s="827"/>
      <c r="C31" s="827"/>
      <c r="D31" s="838"/>
      <c r="E31" s="843" t="n">
        <f aca="false">G31/1000</f>
        <v>44</v>
      </c>
      <c r="F31" s="868"/>
      <c r="G31" s="785" t="n">
        <v>44000</v>
      </c>
      <c r="H31" s="828" t="n">
        <v>1200</v>
      </c>
      <c r="I31" s="838"/>
    </row>
    <row r="32" customFormat="false" ht="12.75" hidden="true" customHeight="false" outlineLevel="0" collapsed="false">
      <c r="A32" s="848" t="s">
        <v>1470</v>
      </c>
      <c r="B32" s="827"/>
      <c r="C32" s="827"/>
      <c r="D32" s="838"/>
      <c r="E32" s="843" t="n">
        <f aca="false">G32/1000</f>
        <v>162</v>
      </c>
      <c r="F32" s="868"/>
      <c r="G32" s="785" t="n">
        <v>162000</v>
      </c>
      <c r="H32" s="828" t="n">
        <v>1200</v>
      </c>
      <c r="I32" s="838"/>
    </row>
    <row r="33" customFormat="false" ht="12.75" hidden="true" customHeight="false" outlineLevel="0" collapsed="false">
      <c r="A33" s="848" t="s">
        <v>1471</v>
      </c>
      <c r="B33" s="827"/>
      <c r="C33" s="827"/>
      <c r="D33" s="838"/>
      <c r="E33" s="843" t="n">
        <f aca="false">G33/1000</f>
        <v>11.07</v>
      </c>
      <c r="F33" s="868"/>
      <c r="G33" s="785" t="n">
        <v>11070</v>
      </c>
      <c r="H33" s="828" t="n">
        <v>1200</v>
      </c>
      <c r="I33" s="838"/>
    </row>
    <row r="34" customFormat="false" ht="12.75" hidden="false" customHeight="false" outlineLevel="0" collapsed="false">
      <c r="A34" s="869"/>
      <c r="B34" s="831"/>
      <c r="C34" s="831"/>
      <c r="D34" s="869"/>
      <c r="E34" s="869"/>
      <c r="F34" s="624"/>
      <c r="G34" s="624"/>
      <c r="H34" s="869"/>
      <c r="I34" s="869"/>
    </row>
    <row r="35" customFormat="false" ht="12.75" hidden="false" customHeight="false" outlineLevel="0" collapsed="false">
      <c r="A35" s="830"/>
      <c r="B35" s="831"/>
      <c r="C35" s="831"/>
      <c r="D35" s="830"/>
      <c r="E35" s="830"/>
      <c r="F35" s="686"/>
      <c r="G35" s="624"/>
      <c r="H35" s="869"/>
      <c r="I35" s="869"/>
    </row>
    <row r="36" customFormat="false" ht="12.75" hidden="false" customHeight="false" outlineLevel="0" collapsed="false">
      <c r="A36" s="830"/>
      <c r="B36" s="831"/>
      <c r="C36" s="831"/>
      <c r="D36" s="830"/>
      <c r="E36" s="830"/>
      <c r="F36" s="686"/>
      <c r="G36" s="624"/>
      <c r="H36" s="869"/>
      <c r="I36" s="869"/>
    </row>
    <row r="37" customFormat="false" ht="12.75" hidden="false" customHeight="false" outlineLevel="0" collapsed="false">
      <c r="A37" s="830"/>
      <c r="B37" s="831"/>
      <c r="C37" s="831"/>
      <c r="D37" s="830"/>
      <c r="E37" s="830"/>
      <c r="F37" s="686"/>
      <c r="G37" s="624"/>
      <c r="H37" s="869"/>
      <c r="I37" s="869"/>
    </row>
    <row r="39" customFormat="false" ht="12.75" hidden="false" customHeight="false" outlineLevel="0" collapsed="false">
      <c r="A39" s="839" t="s">
        <v>1437</v>
      </c>
      <c r="B39" s="840"/>
      <c r="C39" s="840"/>
      <c r="D39" s="840"/>
      <c r="E39" s="841"/>
      <c r="F39" s="157"/>
    </row>
    <row r="40" customFormat="false" ht="12.75" hidden="false" customHeight="false" outlineLevel="0" collapsed="false">
      <c r="A40" s="395"/>
      <c r="B40" s="157"/>
      <c r="C40" s="157"/>
      <c r="D40" s="157"/>
      <c r="E40" s="503"/>
      <c r="F40" s="157"/>
    </row>
    <row r="41" customFormat="false" ht="12.75" hidden="false" customHeight="false" outlineLevel="0" collapsed="false">
      <c r="A41" s="395"/>
      <c r="B41" s="157"/>
      <c r="C41" s="157"/>
      <c r="D41" s="157"/>
      <c r="E41" s="503"/>
      <c r="F41" s="157"/>
    </row>
    <row r="42" customFormat="false" ht="12.75" hidden="false" customHeight="false" outlineLevel="0" collapsed="false">
      <c r="A42" s="395"/>
      <c r="B42" s="157"/>
      <c r="C42" s="157"/>
      <c r="D42" s="157"/>
      <c r="E42" s="503"/>
      <c r="F42" s="157"/>
    </row>
    <row r="43" customFormat="false" ht="12.75" hidden="false" customHeight="false" outlineLevel="0" collapsed="false">
      <c r="A43" s="842"/>
      <c r="B43" s="520"/>
      <c r="C43" s="520"/>
      <c r="D43" s="520"/>
      <c r="E43" s="521"/>
      <c r="F43" s="1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X67"/>
  <sheetViews>
    <sheetView showFormulas="false" showGridLines="true" showRowColHeaders="true" showZeros="true" rightToLeft="false" tabSelected="false" showOutlineSymbols="true" defaultGridColor="true" view="normal" topLeftCell="F20" colorId="64" zoomScale="75" zoomScaleNormal="75" zoomScalePageLayoutView="100" workbookViewId="0">
      <selection pane="topLeft" activeCell="F37" activeCellId="0" sqref="F37:G3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756" width="18.28"/>
    <col collapsed="false" customWidth="true" hidden="false" outlineLevel="0" max="2" min="2" style="0" width="10.28"/>
    <col collapsed="false" customWidth="true" hidden="false" outlineLevel="0" max="4" min="3" style="0" width="9.28"/>
    <col collapsed="false" customWidth="true" hidden="false" outlineLevel="0" max="24" min="24" style="757" width="9.85"/>
  </cols>
  <sheetData>
    <row r="2" customFormat="false" ht="18" hidden="false" customHeight="false" outlineLevel="0" collapsed="false">
      <c r="A2" s="758" t="str">
        <f aca="false">CONCATENATE('rotation(7FA)'!$X$7,"x",'GTDB(7FA)'!$B$5," GT Scheduled Maintenance  Cost")</f>
        <v>2xGE-Frame 7FA GT Scheduled Maintenance  Cost</v>
      </c>
      <c r="B2" s="11"/>
    </row>
    <row r="4" customFormat="false" ht="12.75" hidden="false" customHeight="false" outlineLevel="0" collapsed="false">
      <c r="A4" s="759" t="s">
        <v>1351</v>
      </c>
      <c r="B4" s="153"/>
      <c r="C4" s="153"/>
      <c r="D4" s="153" t="n">
        <v>1</v>
      </c>
      <c r="E4" s="153" t="n">
        <v>2</v>
      </c>
      <c r="F4" s="153" t="n">
        <v>3</v>
      </c>
      <c r="G4" s="153" t="n">
        <v>4</v>
      </c>
      <c r="H4" s="153" t="n">
        <v>5</v>
      </c>
      <c r="I4" s="153" t="n">
        <v>6</v>
      </c>
      <c r="J4" s="153" t="n">
        <v>7</v>
      </c>
      <c r="K4" s="153" t="n">
        <v>8</v>
      </c>
      <c r="L4" s="153" t="n">
        <v>9</v>
      </c>
      <c r="M4" s="153" t="n">
        <v>10</v>
      </c>
      <c r="N4" s="153" t="n">
        <v>11</v>
      </c>
      <c r="O4" s="153" t="n">
        <v>12</v>
      </c>
      <c r="P4" s="153" t="n">
        <v>13</v>
      </c>
      <c r="Q4" s="153" t="n">
        <v>14</v>
      </c>
      <c r="R4" s="153" t="n">
        <v>15</v>
      </c>
      <c r="S4" s="153" t="n">
        <v>16</v>
      </c>
      <c r="T4" s="153" t="n">
        <v>17</v>
      </c>
      <c r="U4" s="153" t="n">
        <v>18</v>
      </c>
      <c r="V4" s="153" t="n">
        <v>19</v>
      </c>
      <c r="W4" s="153" t="n">
        <v>20</v>
      </c>
      <c r="X4" s="757" t="s">
        <v>1352</v>
      </c>
    </row>
    <row r="5" customFormat="false" ht="12.75" hidden="false" customHeight="false" outlineLevel="0" collapsed="false">
      <c r="A5" s="759" t="s">
        <v>1353</v>
      </c>
      <c r="B5" s="153"/>
      <c r="C5" s="153"/>
      <c r="D5" s="742" t="str">
        <f aca="false">CONCATENATE('rotation(7FA)'!C$12,'rotation(7FA)'!C$13,'rotation(7FA)'!C$14)</f>
        <v>C  </v>
      </c>
      <c r="E5" s="742" t="str">
        <f aca="false">CONCATENATE('rotation(7FA)'!D$12,'rotation(7FA)'!D$13,'rotation(7FA)'!D$14)</f>
        <v>C  </v>
      </c>
      <c r="F5" s="742" t="str">
        <f aca="false">CONCATENATE('rotation(7FA)'!E$12,'rotation(7FA)'!E$13,'rotation(7FA)'!E$14)</f>
        <v> H </v>
      </c>
      <c r="G5" s="742" t="str">
        <f aca="false">CONCATENATE('rotation(7FA)'!F$12,'rotation(7FA)'!F$13,'rotation(7FA)'!F$14)</f>
        <v>C  </v>
      </c>
      <c r="H5" s="742" t="str">
        <f aca="false">CONCATENATE('rotation(7FA)'!G$12,'rotation(7FA)'!G$13,'rotation(7FA)'!G$14)</f>
        <v>C  </v>
      </c>
      <c r="I5" s="742" t="str">
        <f aca="false">CONCATENATE('rotation(7FA)'!H$12,'rotation(7FA)'!H$13,'rotation(7FA)'!H$14)</f>
        <v>  M</v>
      </c>
      <c r="J5" s="742" t="str">
        <f aca="false">CONCATENATE('rotation(7FA)'!I$12,'rotation(7FA)'!I$13,'rotation(7FA)'!I$14)</f>
        <v>C  </v>
      </c>
      <c r="K5" s="742" t="str">
        <f aca="false">CONCATENATE('rotation(7FA)'!J$12,'rotation(7FA)'!J$13,'rotation(7FA)'!J$14)</f>
        <v>C  </v>
      </c>
      <c r="L5" s="742" t="str">
        <f aca="false">CONCATENATE('rotation(7FA)'!K$12,'rotation(7FA)'!K$13,'rotation(7FA)'!K$14)</f>
        <v> H </v>
      </c>
      <c r="M5" s="742" t="str">
        <f aca="false">CONCATENATE('rotation(7FA)'!L$12,'rotation(7FA)'!L$13,'rotation(7FA)'!L$14)</f>
        <v>C  </v>
      </c>
      <c r="N5" s="742" t="str">
        <f aca="false">CONCATENATE('rotation(7FA)'!M$12,'rotation(7FA)'!M$13,'rotation(7FA)'!M$14)</f>
        <v>C  </v>
      </c>
      <c r="O5" s="742" t="str">
        <f aca="false">CONCATENATE('rotation(7FA)'!N$12,'rotation(7FA)'!N$13,'rotation(7FA)'!N$14)</f>
        <v>  M</v>
      </c>
      <c r="P5" s="742" t="str">
        <f aca="false">CONCATENATE('rotation(7FA)'!O$12,'rotation(7FA)'!O$13,'rotation(7FA)'!O$14)</f>
        <v>C  </v>
      </c>
      <c r="Q5" s="742" t="str">
        <f aca="false">CONCATENATE('rotation(7FA)'!P$12,'rotation(7FA)'!P$13,'rotation(7FA)'!P$14)</f>
        <v>C  </v>
      </c>
      <c r="R5" s="742" t="str">
        <f aca="false">CONCATENATE('rotation(7FA)'!Q$12,'rotation(7FA)'!Q$13,'rotation(7FA)'!Q$14)</f>
        <v> H </v>
      </c>
      <c r="S5" s="742" t="str">
        <f aca="false">CONCATENATE('rotation(7FA)'!R$12,'rotation(7FA)'!R$13,'rotation(7FA)'!R$14)</f>
        <v>C  </v>
      </c>
      <c r="T5" s="742" t="str">
        <f aca="false">CONCATENATE('rotation(7FA)'!S$12,'rotation(7FA)'!S$13,'rotation(7FA)'!S$14)</f>
        <v>C  </v>
      </c>
      <c r="U5" s="742" t="str">
        <f aca="false">CONCATENATE('rotation(7FA)'!T$12,'rotation(7FA)'!T$13,'rotation(7FA)'!T$14)</f>
        <v>  M</v>
      </c>
      <c r="V5" s="742" t="str">
        <f aca="false">CONCATENATE('rotation(7FA)'!U$12,'rotation(7FA)'!U$13,'rotation(7FA)'!U$14)</f>
        <v>C  </v>
      </c>
      <c r="W5" s="742" t="str">
        <f aca="false">CONCATENATE('rotation(7FA)'!V$12,'rotation(7FA)'!V$13,'rotation(7FA)'!V$14)</f>
        <v>C  </v>
      </c>
    </row>
    <row r="6" customFormat="false" ht="12.75" hidden="false" customHeight="false" outlineLevel="0" collapsed="false">
      <c r="A6" s="759" t="s">
        <v>1354</v>
      </c>
      <c r="B6" s="153"/>
      <c r="C6" s="153"/>
      <c r="D6" s="742" t="str">
        <f aca="false">IF('rotation(7FA)'!$X$7&lt;2," ",CONCATENATE('rotation(7FA)'!C$12,'rotation(7FA)'!C$13,'rotation(7FA)'!C$14))</f>
        <v>C  </v>
      </c>
      <c r="E6" s="742" t="str">
        <f aca="false">IF('rotation(7FA)'!$X$7&lt;2," ",CONCATENATE('rotation(7FA)'!D$12,'rotation(7FA)'!D$13,'rotation(7FA)'!D$14))</f>
        <v>C  </v>
      </c>
      <c r="F6" s="742" t="str">
        <f aca="false">IF('rotation(7FA)'!$X$7&lt;2," ",CONCATENATE('rotation(7FA)'!E$12,'rotation(7FA)'!E$13,'rotation(7FA)'!E$14))</f>
        <v> H </v>
      </c>
      <c r="G6" s="742" t="str">
        <f aca="false">IF('rotation(7FA)'!$X$7&lt;2," ",CONCATENATE('rotation(7FA)'!F$12,'rotation(7FA)'!F$13,'rotation(7FA)'!F$14))</f>
        <v>C  </v>
      </c>
      <c r="H6" s="742" t="str">
        <f aca="false">IF('rotation(7FA)'!$X$7&lt;2," ",CONCATENATE('rotation(7FA)'!G$12,'rotation(7FA)'!G$13,'rotation(7FA)'!G$14))</f>
        <v>C  </v>
      </c>
      <c r="I6" s="742" t="str">
        <f aca="false">IF('rotation(7FA)'!$X$7&lt;2," ",CONCATENATE('rotation(7FA)'!H$12,'rotation(7FA)'!H$13,'rotation(7FA)'!H$14))</f>
        <v>  M</v>
      </c>
      <c r="J6" s="742" t="str">
        <f aca="false">IF('rotation(7FA)'!$X$7&lt;2," ",CONCATENATE('rotation(7FA)'!I$12,'rotation(7FA)'!I$13,'rotation(7FA)'!I$14))</f>
        <v>C  </v>
      </c>
      <c r="K6" s="742" t="str">
        <f aca="false">IF('rotation(7FA)'!$X$7&lt;2," ",CONCATENATE('rotation(7FA)'!J$12,'rotation(7FA)'!J$13,'rotation(7FA)'!J$14))</f>
        <v>C  </v>
      </c>
      <c r="L6" s="742" t="str">
        <f aca="false">IF('rotation(7FA)'!$X$7&lt;2," ",CONCATENATE('rotation(7FA)'!K$12,'rotation(7FA)'!K$13,'rotation(7FA)'!K$14))</f>
        <v> H </v>
      </c>
      <c r="M6" s="742" t="str">
        <f aca="false">IF('rotation(7FA)'!$X$7&lt;2," ",CONCATENATE('rotation(7FA)'!L$12,'rotation(7FA)'!L$13,'rotation(7FA)'!L$14))</f>
        <v>C  </v>
      </c>
      <c r="N6" s="742" t="str">
        <f aca="false">IF('rotation(7FA)'!$X$7&lt;2," ",CONCATENATE('rotation(7FA)'!M$12,'rotation(7FA)'!M$13,'rotation(7FA)'!M$14))</f>
        <v>C  </v>
      </c>
      <c r="O6" s="742" t="str">
        <f aca="false">IF('rotation(7FA)'!$X$7&lt;2," ",CONCATENATE('rotation(7FA)'!N$12,'rotation(7FA)'!N$13,'rotation(7FA)'!N$14))</f>
        <v>  M</v>
      </c>
      <c r="P6" s="742" t="str">
        <f aca="false">IF('rotation(7FA)'!$X$7&lt;2," ",CONCATENATE('rotation(7FA)'!O$12,'rotation(7FA)'!O$13,'rotation(7FA)'!O$14))</f>
        <v>C  </v>
      </c>
      <c r="Q6" s="742" t="str">
        <f aca="false">IF('rotation(7FA)'!$X$7&lt;2," ",CONCATENATE('rotation(7FA)'!P$12,'rotation(7FA)'!P$13,'rotation(7FA)'!P$14))</f>
        <v>C  </v>
      </c>
      <c r="R6" s="742" t="str">
        <f aca="false">IF('rotation(7FA)'!$X$7&lt;2," ",CONCATENATE('rotation(7FA)'!Q$12,'rotation(7FA)'!Q$13,'rotation(7FA)'!Q$14))</f>
        <v> H </v>
      </c>
      <c r="S6" s="742" t="str">
        <f aca="false">IF('rotation(7FA)'!$X$7&lt;2," ",CONCATENATE('rotation(7FA)'!R$12,'rotation(7FA)'!R$13,'rotation(7FA)'!R$14))</f>
        <v>C  </v>
      </c>
      <c r="T6" s="742" t="str">
        <f aca="false">IF('rotation(7FA)'!$X$7&lt;2," ",CONCATENATE('rotation(7FA)'!S$12,'rotation(7FA)'!S$13,'rotation(7FA)'!S$14))</f>
        <v>C  </v>
      </c>
      <c r="U6" s="742" t="str">
        <f aca="false">IF('rotation(7FA)'!$X$7&lt;2," ",CONCATENATE('rotation(7FA)'!T$12,'rotation(7FA)'!T$13,'rotation(7FA)'!T$14))</f>
        <v>  M</v>
      </c>
      <c r="V6" s="742" t="str">
        <f aca="false">IF('rotation(7FA)'!$X$7&lt;2," ",CONCATENATE('rotation(7FA)'!U$12,'rotation(7FA)'!U$13,'rotation(7FA)'!U$14))</f>
        <v>C  </v>
      </c>
      <c r="W6" s="742" t="str">
        <f aca="false">IF('rotation(7FA)'!$X$7&lt;2," ",CONCATENATE('rotation(7FA)'!V$12,'rotation(7FA)'!V$13,'rotation(7FA)'!V$14))</f>
        <v>C  </v>
      </c>
    </row>
    <row r="7" customFormat="false" ht="12.75" hidden="false" customHeight="false" outlineLevel="0" collapsed="false">
      <c r="A7" s="759" t="s">
        <v>1355</v>
      </c>
      <c r="B7" s="153"/>
      <c r="C7" s="153"/>
      <c r="D7" s="742" t="str">
        <f aca="false">IF('rotation(7FA)'!$X$7&lt;3," ",CONCATENATE('rotation(7FA)'!C$12,'rotation(7FA)'!C$13,'rotation(7FA)'!C$14))</f>
        <v> </v>
      </c>
      <c r="E7" s="742" t="str">
        <f aca="false">IF('rotation(7FA)'!$X$7&lt;3," ",CONCATENATE('rotation(7FA)'!D$12,'rotation(7FA)'!D$13,'rotation(7FA)'!D$14))</f>
        <v> </v>
      </c>
      <c r="F7" s="742" t="str">
        <f aca="false">IF('rotation(7FA)'!$X$7&lt;3," ",CONCATENATE('rotation(7FA)'!E$12,'rotation(7FA)'!E$13,'rotation(7FA)'!E$14))</f>
        <v> </v>
      </c>
      <c r="G7" s="742" t="str">
        <f aca="false">IF('rotation(7FA)'!$X$7&lt;3," ",CONCATENATE('rotation(7FA)'!F$12,'rotation(7FA)'!F$13,'rotation(7FA)'!F$14))</f>
        <v> </v>
      </c>
      <c r="H7" s="742" t="str">
        <f aca="false">IF('rotation(7FA)'!$X$7&lt;3," ",CONCATENATE('rotation(7FA)'!G$12,'rotation(7FA)'!G$13,'rotation(7FA)'!G$14))</f>
        <v> </v>
      </c>
      <c r="I7" s="742" t="str">
        <f aca="false">IF('rotation(7FA)'!$X$7&lt;3," ",CONCATENATE('rotation(7FA)'!H$12,'rotation(7FA)'!H$13,'rotation(7FA)'!H$14))</f>
        <v> </v>
      </c>
      <c r="J7" s="742" t="str">
        <f aca="false">IF('rotation(7FA)'!$X$7&lt;3," ",CONCATENATE('rotation(7FA)'!I$12,'rotation(7FA)'!I$13,'rotation(7FA)'!I$14))</f>
        <v> </v>
      </c>
      <c r="K7" s="742" t="str">
        <f aca="false">IF('rotation(7FA)'!$X$7&lt;3," ",CONCATENATE('rotation(7FA)'!J$12,'rotation(7FA)'!J$13,'rotation(7FA)'!J$14))</f>
        <v> </v>
      </c>
      <c r="L7" s="742" t="str">
        <f aca="false">IF('rotation(7FA)'!$X$7&lt;3," ",CONCATENATE('rotation(7FA)'!K$12,'rotation(7FA)'!K$13,'rotation(7FA)'!K$14))</f>
        <v> </v>
      </c>
      <c r="M7" s="742" t="str">
        <f aca="false">IF('rotation(7FA)'!$X$7&lt;3," ",CONCATENATE('rotation(7FA)'!L$12,'rotation(7FA)'!L$13,'rotation(7FA)'!L$14))</f>
        <v> </v>
      </c>
      <c r="N7" s="742" t="str">
        <f aca="false">IF('rotation(7FA)'!$X$7&lt;3," ",CONCATENATE('rotation(7FA)'!M$12,'rotation(7FA)'!M$13,'rotation(7FA)'!M$14))</f>
        <v> </v>
      </c>
      <c r="O7" s="742" t="str">
        <f aca="false">IF('rotation(7FA)'!$X$7&lt;3," ",CONCATENATE('rotation(7FA)'!N$12,'rotation(7FA)'!N$13,'rotation(7FA)'!N$14))</f>
        <v> </v>
      </c>
      <c r="P7" s="742" t="str">
        <f aca="false">IF('rotation(7FA)'!$X$7&lt;3," ",CONCATENATE('rotation(7FA)'!O$12,'rotation(7FA)'!O$13,'rotation(7FA)'!O$14))</f>
        <v> </v>
      </c>
      <c r="Q7" s="742" t="str">
        <f aca="false">IF('rotation(7FA)'!$X$7&lt;3," ",CONCATENATE('rotation(7FA)'!P$12,'rotation(7FA)'!P$13,'rotation(7FA)'!P$14))</f>
        <v> </v>
      </c>
      <c r="R7" s="742" t="str">
        <f aca="false">IF('rotation(7FA)'!$X$7&lt;3," ",CONCATENATE('rotation(7FA)'!Q$12,'rotation(7FA)'!Q$13,'rotation(7FA)'!Q$14))</f>
        <v> </v>
      </c>
      <c r="S7" s="742" t="str">
        <f aca="false">IF('rotation(7FA)'!$X$7&lt;3," ",CONCATENATE('rotation(7FA)'!R$12,'rotation(7FA)'!R$13,'rotation(7FA)'!R$14))</f>
        <v> </v>
      </c>
      <c r="T7" s="742" t="str">
        <f aca="false">IF('rotation(7FA)'!$X$7&lt;3," ",CONCATENATE('rotation(7FA)'!S$12,'rotation(7FA)'!S$13,'rotation(7FA)'!S$14))</f>
        <v> </v>
      </c>
      <c r="U7" s="742" t="str">
        <f aca="false">IF('rotation(7FA)'!$X$7&lt;3," ",CONCATENATE('rotation(7FA)'!T$12,'rotation(7FA)'!T$13,'rotation(7FA)'!T$14))</f>
        <v> </v>
      </c>
      <c r="V7" s="742" t="str">
        <f aca="false">IF('rotation(7FA)'!$X$7&lt;3," ",CONCATENATE('rotation(7FA)'!U$12,'rotation(7FA)'!U$13,'rotation(7FA)'!U$14))</f>
        <v> </v>
      </c>
      <c r="W7" s="742" t="str">
        <f aca="false">IF('rotation(7FA)'!$X$7&lt;3," ",CONCATENATE('rotation(7FA)'!V$12,'rotation(7FA)'!V$13,'rotation(7FA)'!V$14))</f>
        <v> </v>
      </c>
    </row>
    <row r="8" customFormat="false" ht="12.75" hidden="false" customHeight="false" outlineLevel="0" collapsed="false">
      <c r="A8" s="759" t="s">
        <v>1356</v>
      </c>
      <c r="B8" s="153"/>
      <c r="C8" s="153"/>
      <c r="D8" s="742" t="str">
        <f aca="false">IF('rotation(7FA)'!$X$7&lt;4," ",CONCATENATE('rotation(7FA)'!C$12,'rotation(7FA)'!C$13,'rotation(7FA)'!C$14))</f>
        <v> </v>
      </c>
      <c r="E8" s="742" t="str">
        <f aca="false">IF('rotation(7FA)'!$X$7&lt;4," ",CONCATENATE('rotation(7FA)'!D$12,'rotation(7FA)'!D$13,'rotation(7FA)'!D$14))</f>
        <v> </v>
      </c>
      <c r="F8" s="742" t="str">
        <f aca="false">IF('rotation(7FA)'!$X$7&lt;4," ",CONCATENATE('rotation(7FA)'!E$12,'rotation(7FA)'!E$13,'rotation(7FA)'!E$14))</f>
        <v> </v>
      </c>
      <c r="G8" s="742" t="str">
        <f aca="false">IF('rotation(7FA)'!$X$7&lt;4," ",CONCATENATE('rotation(7FA)'!F$12,'rotation(7FA)'!F$13,'rotation(7FA)'!F$14))</f>
        <v> </v>
      </c>
      <c r="H8" s="742" t="str">
        <f aca="false">IF('rotation(7FA)'!$X$7&lt;4," ",CONCATENATE('rotation(7FA)'!G$12,'rotation(7FA)'!G$13,'rotation(7FA)'!G$14))</f>
        <v> </v>
      </c>
      <c r="I8" s="742" t="str">
        <f aca="false">IF('rotation(7FA)'!$X$7&lt;4," ",CONCATENATE('rotation(7FA)'!H$12,'rotation(7FA)'!H$13,'rotation(7FA)'!H$14))</f>
        <v> </v>
      </c>
      <c r="J8" s="742" t="str">
        <f aca="false">IF('rotation(7FA)'!$X$7&lt;4," ",CONCATENATE('rotation(7FA)'!I$12,'rotation(7FA)'!I$13,'rotation(7FA)'!I$14))</f>
        <v> </v>
      </c>
      <c r="K8" s="742" t="str">
        <f aca="false">IF('rotation(7FA)'!$X$7&lt;4," ",CONCATENATE('rotation(7FA)'!J$12,'rotation(7FA)'!J$13,'rotation(7FA)'!J$14))</f>
        <v> </v>
      </c>
      <c r="L8" s="742" t="str">
        <f aca="false">IF('rotation(7FA)'!$X$7&lt;4," ",CONCATENATE('rotation(7FA)'!K$12,'rotation(7FA)'!K$13,'rotation(7FA)'!K$14))</f>
        <v> </v>
      </c>
      <c r="M8" s="742" t="str">
        <f aca="false">IF('rotation(7FA)'!$X$7&lt;4," ",CONCATENATE('rotation(7FA)'!L$12,'rotation(7FA)'!L$13,'rotation(7FA)'!L$14))</f>
        <v> </v>
      </c>
      <c r="N8" s="742" t="str">
        <f aca="false">IF('rotation(7FA)'!$X$7&lt;4," ",CONCATENATE('rotation(7FA)'!M$12,'rotation(7FA)'!M$13,'rotation(7FA)'!M$14))</f>
        <v> </v>
      </c>
      <c r="O8" s="742" t="str">
        <f aca="false">IF('rotation(7FA)'!$X$7&lt;4," ",CONCATENATE('rotation(7FA)'!N$12,'rotation(7FA)'!N$13,'rotation(7FA)'!N$14))</f>
        <v> </v>
      </c>
      <c r="P8" s="742" t="str">
        <f aca="false">IF('rotation(7FA)'!$X$7&lt;4," ",CONCATENATE('rotation(7FA)'!O$12,'rotation(7FA)'!O$13,'rotation(7FA)'!O$14))</f>
        <v> </v>
      </c>
      <c r="Q8" s="742" t="str">
        <f aca="false">IF('rotation(7FA)'!$X$7&lt;4," ",CONCATENATE('rotation(7FA)'!P$12,'rotation(7FA)'!P$13,'rotation(7FA)'!P$14))</f>
        <v> </v>
      </c>
      <c r="R8" s="742" t="str">
        <f aca="false">IF('rotation(7FA)'!$X$7&lt;4," ",CONCATENATE('rotation(7FA)'!Q$12,'rotation(7FA)'!Q$13,'rotation(7FA)'!Q$14))</f>
        <v> </v>
      </c>
      <c r="S8" s="742" t="str">
        <f aca="false">IF('rotation(7FA)'!$X$7&lt;4," ",CONCATENATE('rotation(7FA)'!R$12,'rotation(7FA)'!R$13,'rotation(7FA)'!R$14))</f>
        <v> </v>
      </c>
      <c r="T8" s="742" t="str">
        <f aca="false">IF('rotation(7FA)'!$X$7&lt;4," ",CONCATENATE('rotation(7FA)'!S$12,'rotation(7FA)'!S$13,'rotation(7FA)'!S$14))</f>
        <v> </v>
      </c>
      <c r="U8" s="742" t="str">
        <f aca="false">IF('rotation(7FA)'!$X$7&lt;4," ",CONCATENATE('rotation(7FA)'!T$12,'rotation(7FA)'!T$13,'rotation(7FA)'!T$14))</f>
        <v> </v>
      </c>
      <c r="V8" s="742" t="str">
        <f aca="false">IF('rotation(7FA)'!$X$7&lt;4," ",CONCATENATE('rotation(7FA)'!U$12,'rotation(7FA)'!U$13,'rotation(7FA)'!U$14))</f>
        <v> </v>
      </c>
      <c r="W8" s="742" t="str">
        <f aca="false">IF('rotation(7FA)'!$X$7&lt;4," ",CONCATENATE('rotation(7FA)'!V$12,'rotation(7FA)'!V$13,'rotation(7FA)'!V$14))</f>
        <v> </v>
      </c>
    </row>
    <row r="10" customFormat="false" ht="12.75" hidden="false" customHeight="false" outlineLevel="0" collapsed="false">
      <c r="A10" s="759" t="s">
        <v>1357</v>
      </c>
      <c r="B10" s="760"/>
      <c r="C10" s="760"/>
      <c r="D10" s="761" t="n">
        <f aca="false">'rotation(7FA)'!C8*'GTDB(7FA)'!$C12+'rotation(7FA)'!C9*'GTDB(7FA)'!$C13+'rotation(7FA)'!C10*'GTDB(7FA)'!$C14</f>
        <v>115.6</v>
      </c>
      <c r="E10" s="761" t="n">
        <f aca="false">'rotation(7FA)'!D8*'GTDB(7FA)'!$C12+'rotation(7FA)'!D9*'GTDB(7FA)'!$C13+'rotation(7FA)'!D10*'GTDB(7FA)'!$C14</f>
        <v>115.6</v>
      </c>
      <c r="F10" s="761" t="n">
        <f aca="false">'rotation(7FA)'!E8*'GTDB(7FA)'!$C12+'rotation(7FA)'!E9*'GTDB(7FA)'!$C13+'rotation(7FA)'!E10*'GTDB(7FA)'!$C14</f>
        <v>344.76</v>
      </c>
      <c r="G10" s="761" t="n">
        <f aca="false">'rotation(7FA)'!F8*'GTDB(7FA)'!$C12+'rotation(7FA)'!F9*'GTDB(7FA)'!$C13+'rotation(7FA)'!F10*'GTDB(7FA)'!$C14</f>
        <v>115.6</v>
      </c>
      <c r="H10" s="761" t="n">
        <f aca="false">'rotation(7FA)'!G8*'GTDB(7FA)'!$C12+'rotation(7FA)'!G9*'GTDB(7FA)'!$C13+'rotation(7FA)'!G10*'GTDB(7FA)'!$C14</f>
        <v>115.6</v>
      </c>
      <c r="I10" s="761" t="n">
        <f aca="false">'rotation(7FA)'!H8*'GTDB(7FA)'!$C12+'rotation(7FA)'!H9*'GTDB(7FA)'!$C13+'rotation(7FA)'!H10*'GTDB(7FA)'!$C14</f>
        <v>861.9</v>
      </c>
      <c r="J10" s="761" t="n">
        <f aca="false">'rotation(7FA)'!I8*'GTDB(7FA)'!$C12+'rotation(7FA)'!I9*'GTDB(7FA)'!$C13+'rotation(7FA)'!I10*'GTDB(7FA)'!$C14</f>
        <v>115.6</v>
      </c>
      <c r="K10" s="761" t="n">
        <f aca="false">'rotation(7FA)'!J8*'GTDB(7FA)'!$C12+'rotation(7FA)'!J9*'GTDB(7FA)'!$C13+'rotation(7FA)'!J10*'GTDB(7FA)'!$C14</f>
        <v>115.6</v>
      </c>
      <c r="L10" s="761" t="n">
        <f aca="false">'rotation(7FA)'!K8*'GTDB(7FA)'!$C12+'rotation(7FA)'!K9*'GTDB(7FA)'!$C13+'rotation(7FA)'!K10*'GTDB(7FA)'!$C14</f>
        <v>344.76</v>
      </c>
      <c r="M10" s="761" t="n">
        <f aca="false">'rotation(7FA)'!L8*'GTDB(7FA)'!$C12+'rotation(7FA)'!L9*'GTDB(7FA)'!$C13+'rotation(7FA)'!L10*'GTDB(7FA)'!$C14</f>
        <v>115.6</v>
      </c>
      <c r="N10" s="761" t="n">
        <f aca="false">'rotation(7FA)'!M8*'GTDB(7FA)'!$C12+'rotation(7FA)'!M9*'GTDB(7FA)'!$C13+'rotation(7FA)'!M10*'GTDB(7FA)'!$C14</f>
        <v>115.6</v>
      </c>
      <c r="O10" s="761" t="n">
        <f aca="false">'rotation(7FA)'!N8*'GTDB(7FA)'!$C12+'rotation(7FA)'!N9*'GTDB(7FA)'!$C13+'rotation(7FA)'!N10*'GTDB(7FA)'!$C14</f>
        <v>861.9</v>
      </c>
      <c r="P10" s="761" t="n">
        <f aca="false">'rotation(7FA)'!O8*'GTDB(7FA)'!$C12+'rotation(7FA)'!O9*'GTDB(7FA)'!$C13+'rotation(7FA)'!O10*'GTDB(7FA)'!$C14</f>
        <v>115.6</v>
      </c>
      <c r="Q10" s="761" t="n">
        <f aca="false">'rotation(7FA)'!P8*'GTDB(7FA)'!$C12+'rotation(7FA)'!P9*'GTDB(7FA)'!$C13+'rotation(7FA)'!P10*'GTDB(7FA)'!$C14</f>
        <v>115.6</v>
      </c>
      <c r="R10" s="761" t="n">
        <f aca="false">'rotation(7FA)'!Q8*'GTDB(7FA)'!$C12+'rotation(7FA)'!Q9*'GTDB(7FA)'!$C13+'rotation(7FA)'!Q10*'GTDB(7FA)'!$C14</f>
        <v>344.76</v>
      </c>
      <c r="S10" s="761" t="n">
        <f aca="false">'rotation(7FA)'!R8*'GTDB(7FA)'!$C12+'rotation(7FA)'!R9*'GTDB(7FA)'!$C13+'rotation(7FA)'!R10*'GTDB(7FA)'!$C14</f>
        <v>115.6</v>
      </c>
      <c r="T10" s="761" t="n">
        <f aca="false">'rotation(7FA)'!S8*'GTDB(7FA)'!$C12+'rotation(7FA)'!S9*'GTDB(7FA)'!$C13+'rotation(7FA)'!S10*'GTDB(7FA)'!$C14</f>
        <v>115.6</v>
      </c>
      <c r="U10" s="761" t="n">
        <f aca="false">'rotation(7FA)'!T8*'GTDB(7FA)'!$C12+'rotation(7FA)'!T9*'GTDB(7FA)'!$C13+'rotation(7FA)'!T10*'GTDB(7FA)'!$C14</f>
        <v>861.9</v>
      </c>
      <c r="V10" s="761" t="n">
        <f aca="false">'rotation(7FA)'!U8*'GTDB(7FA)'!$C12+'rotation(7FA)'!U9*'GTDB(7FA)'!$C13+'rotation(7FA)'!U10*'GTDB(7FA)'!$C14</f>
        <v>115.6</v>
      </c>
      <c r="W10" s="761" t="n">
        <f aca="false">'rotation(7FA)'!V8*'GTDB(7FA)'!$C12+'rotation(7FA)'!V9*'GTDB(7FA)'!$C13+'rotation(7FA)'!V10*'GTDB(7FA)'!$C14</f>
        <v>115.6</v>
      </c>
      <c r="X10" s="762" t="n">
        <f aca="false">SUM(D10:W10)</f>
        <v>5238.38</v>
      </c>
    </row>
    <row r="12" customFormat="false" ht="12.75" hidden="false" customHeight="false" outlineLevel="0" collapsed="false">
      <c r="A12" s="756" t="s">
        <v>1358</v>
      </c>
      <c r="D12" s="0" t="n">
        <v>1</v>
      </c>
      <c r="E12" s="0" t="n">
        <v>2</v>
      </c>
      <c r="F12" s="0" t="n">
        <v>3</v>
      </c>
      <c r="G12" s="0" t="n">
        <v>4</v>
      </c>
      <c r="H12" s="0" t="n">
        <v>5</v>
      </c>
      <c r="I12" s="0" t="n">
        <v>6</v>
      </c>
      <c r="J12" s="0" t="n">
        <v>7</v>
      </c>
      <c r="K12" s="0" t="n">
        <v>8</v>
      </c>
      <c r="L12" s="0" t="n">
        <v>9</v>
      </c>
      <c r="M12" s="0" t="n">
        <v>10</v>
      </c>
      <c r="N12" s="0" t="n">
        <v>11</v>
      </c>
      <c r="O12" s="0" t="n">
        <v>12</v>
      </c>
      <c r="P12" s="0" t="n">
        <v>13</v>
      </c>
      <c r="Q12" s="0" t="n">
        <v>14</v>
      </c>
      <c r="R12" s="0" t="n">
        <v>15</v>
      </c>
      <c r="S12" s="0" t="n">
        <v>16</v>
      </c>
      <c r="T12" s="0" t="n">
        <v>17</v>
      </c>
      <c r="U12" s="0" t="n">
        <v>18</v>
      </c>
      <c r="V12" s="0" t="n">
        <v>19</v>
      </c>
      <c r="W12" s="0" t="n">
        <v>20</v>
      </c>
    </row>
    <row r="13" customFormat="false" ht="12.75" hidden="false" customHeight="false" outlineLevel="0" collapsed="false">
      <c r="A13" s="759" t="s">
        <v>1359</v>
      </c>
      <c r="B13" s="153" t="s">
        <v>1360</v>
      </c>
      <c r="C13" s="153" t="s">
        <v>1361</v>
      </c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</row>
    <row r="14" customFormat="false" ht="12.75" hidden="false" customHeight="false" outlineLevel="0" collapsed="false">
      <c r="A14" s="763" t="str">
        <f aca="false">'GTDB(7FA)'!A17</f>
        <v>Combustion Liners</v>
      </c>
      <c r="B14" s="763" t="n">
        <f aca="false">'GTDB(7FA)'!E17</f>
        <v>573.256</v>
      </c>
      <c r="C14" s="763" t="n">
        <f aca="false">IF('rotation(7FA)'!AA17=0," ",B14*'rotation(7FA)'!AA17)</f>
        <v>573.256</v>
      </c>
      <c r="D14" s="764" t="str">
        <f aca="false">IF('rotation(7FA)'!C18=0," ",$B14*'rotation(7FA)'!C18)</f>
        <v> </v>
      </c>
      <c r="E14" s="764" t="str">
        <f aca="false">IF('rotation(7FA)'!D18=0," ",$B14*'rotation(7FA)'!D18)</f>
        <v> </v>
      </c>
      <c r="F14" s="764" t="str">
        <f aca="false">IF('rotation(7FA)'!E18=0," ",$B14*'rotation(7FA)'!E18)</f>
        <v> </v>
      </c>
      <c r="G14" s="764" t="str">
        <f aca="false">IF('rotation(7FA)'!F18=0," ",$B14*'rotation(7FA)'!F18)</f>
        <v> </v>
      </c>
      <c r="H14" s="764" t="str">
        <f aca="false">IF('rotation(7FA)'!G18=0," ",$B14*'rotation(7FA)'!G18)</f>
        <v> </v>
      </c>
      <c r="I14" s="764" t="str">
        <f aca="false">IF('rotation(7FA)'!H18=0," ",$B14*'rotation(7FA)'!H18)</f>
        <v> </v>
      </c>
      <c r="J14" s="764" t="n">
        <f aca="false">IF('rotation(7FA)'!I18=0," ",$B14*'rotation(7FA)'!I18)</f>
        <v>1146.512</v>
      </c>
      <c r="K14" s="764" t="n">
        <f aca="false">IF('rotation(7FA)'!J18=0," ",$B14*'rotation(7FA)'!J18)</f>
        <v>573.256</v>
      </c>
      <c r="L14" s="764" t="str">
        <f aca="false">IF('rotation(7FA)'!K18=0," ",$B14*'rotation(7FA)'!K18)</f>
        <v> </v>
      </c>
      <c r="M14" s="764" t="str">
        <f aca="false">IF('rotation(7FA)'!L18=0," ",$B14*'rotation(7FA)'!L18)</f>
        <v> </v>
      </c>
      <c r="N14" s="764" t="str">
        <f aca="false">IF('rotation(7FA)'!M18=0," ",$B14*'rotation(7FA)'!M18)</f>
        <v> </v>
      </c>
      <c r="O14" s="764" t="str">
        <f aca="false">IF('rotation(7FA)'!N18=0," ",$B14*'rotation(7FA)'!N18)</f>
        <v> </v>
      </c>
      <c r="P14" s="764" t="str">
        <f aca="false">IF('rotation(7FA)'!O18=0," ",$B14*'rotation(7FA)'!O18)</f>
        <v> </v>
      </c>
      <c r="Q14" s="764" t="n">
        <f aca="false">IF('rotation(7FA)'!P18=0," ",$B14*'rotation(7FA)'!P18)</f>
        <v>573.256</v>
      </c>
      <c r="R14" s="764" t="n">
        <f aca="false">IF('rotation(7FA)'!Q18=0," ",$B14*'rotation(7FA)'!Q18)</f>
        <v>1146.512</v>
      </c>
      <c r="S14" s="764" t="str">
        <f aca="false">IF('rotation(7FA)'!R18=0," ",$B14*'rotation(7FA)'!R18)</f>
        <v> </v>
      </c>
      <c r="T14" s="764" t="str">
        <f aca="false">IF('rotation(7FA)'!S18=0," ",$B14*'rotation(7FA)'!S18)</f>
        <v> </v>
      </c>
      <c r="U14" s="764" t="str">
        <f aca="false">IF('rotation(7FA)'!T18=0," ",$B14*'rotation(7FA)'!T18)</f>
        <v> </v>
      </c>
      <c r="V14" s="764" t="str">
        <f aca="false">IF('rotation(7FA)'!U18=0," ",$B14*'rotation(7FA)'!U18)</f>
        <v> </v>
      </c>
      <c r="W14" s="764" t="str">
        <f aca="false">IF('rotation(7FA)'!V18=0," ",$B14*'rotation(7FA)'!V18)</f>
        <v> </v>
      </c>
      <c r="X14" s="666" t="n">
        <f aca="false">SUM(D14:W14)</f>
        <v>3439.536</v>
      </c>
    </row>
    <row r="15" customFormat="false" ht="12.75" hidden="false" customHeight="false" outlineLevel="0" collapsed="false">
      <c r="A15" s="763" t="str">
        <f aca="false">'GTDB(7FA)'!A18</f>
        <v>Transition Pieces</v>
      </c>
      <c r="B15" s="763" t="n">
        <f aca="false">'GTDB(7FA)'!E18</f>
        <v>1246.131</v>
      </c>
      <c r="C15" s="763" t="n">
        <f aca="false">IF('rotation(7FA)'!AA21=0," ",B15*'rotation(7FA)'!AA21)</f>
        <v>1246.131</v>
      </c>
      <c r="D15" s="764" t="str">
        <f aca="false">IF('rotation(7FA)'!C22=0," ",$B15*'rotation(7FA)'!C22)</f>
        <v> </v>
      </c>
      <c r="E15" s="764" t="str">
        <f aca="false">IF('rotation(7FA)'!D22=0," ",$B15*'rotation(7FA)'!D22)</f>
        <v> </v>
      </c>
      <c r="F15" s="764" t="str">
        <f aca="false">IF('rotation(7FA)'!E22=0," ",$B15*'rotation(7FA)'!E22)</f>
        <v> </v>
      </c>
      <c r="G15" s="764" t="str">
        <f aca="false">IF('rotation(7FA)'!F22=0," ",$B15*'rotation(7FA)'!F22)</f>
        <v> </v>
      </c>
      <c r="H15" s="764" t="str">
        <f aca="false">IF('rotation(7FA)'!G22=0," ",$B15*'rotation(7FA)'!G22)</f>
        <v> </v>
      </c>
      <c r="I15" s="764" t="str">
        <f aca="false">IF('rotation(7FA)'!H22=0," ",$B15*'rotation(7FA)'!H22)</f>
        <v> </v>
      </c>
      <c r="J15" s="764" t="n">
        <f aca="false">IF('rotation(7FA)'!I22=0," ",$B15*'rotation(7FA)'!I22)</f>
        <v>2492.262</v>
      </c>
      <c r="K15" s="764" t="n">
        <f aca="false">IF('rotation(7FA)'!J22=0," ",$B15*'rotation(7FA)'!J22)</f>
        <v>1246.131</v>
      </c>
      <c r="L15" s="764" t="str">
        <f aca="false">IF('rotation(7FA)'!K22=0," ",$B15*'rotation(7FA)'!K22)</f>
        <v> </v>
      </c>
      <c r="M15" s="764" t="str">
        <f aca="false">IF('rotation(7FA)'!L22=0," ",$B15*'rotation(7FA)'!L22)</f>
        <v> </v>
      </c>
      <c r="N15" s="764" t="str">
        <f aca="false">IF('rotation(7FA)'!M22=0," ",$B15*'rotation(7FA)'!M22)</f>
        <v> </v>
      </c>
      <c r="O15" s="764" t="str">
        <f aca="false">IF('rotation(7FA)'!N22=0," ",$B15*'rotation(7FA)'!N22)</f>
        <v> </v>
      </c>
      <c r="P15" s="764" t="str">
        <f aca="false">IF('rotation(7FA)'!O22=0," ",$B15*'rotation(7FA)'!O22)</f>
        <v> </v>
      </c>
      <c r="Q15" s="764" t="n">
        <f aca="false">IF('rotation(7FA)'!P22=0," ",$B15*'rotation(7FA)'!P22)</f>
        <v>1246.131</v>
      </c>
      <c r="R15" s="764" t="n">
        <f aca="false">IF('rotation(7FA)'!Q22=0," ",$B15*'rotation(7FA)'!Q22)</f>
        <v>2492.262</v>
      </c>
      <c r="S15" s="764" t="str">
        <f aca="false">IF('rotation(7FA)'!R22=0," ",$B15*'rotation(7FA)'!R22)</f>
        <v> </v>
      </c>
      <c r="T15" s="764" t="str">
        <f aca="false">IF('rotation(7FA)'!S22=0," ",$B15*'rotation(7FA)'!S22)</f>
        <v> </v>
      </c>
      <c r="U15" s="764" t="str">
        <f aca="false">IF('rotation(7FA)'!T22=0," ",$B15*'rotation(7FA)'!T22)</f>
        <v> </v>
      </c>
      <c r="V15" s="764" t="str">
        <f aca="false">IF('rotation(7FA)'!U22=0," ",$B15*'rotation(7FA)'!U22)</f>
        <v> </v>
      </c>
      <c r="W15" s="764" t="str">
        <f aca="false">IF('rotation(7FA)'!V22=0," ",$B15*'rotation(7FA)'!V22)</f>
        <v> </v>
      </c>
      <c r="X15" s="666" t="n">
        <f aca="false">SUM(D15:W15)</f>
        <v>7476.786</v>
      </c>
    </row>
    <row r="16" customFormat="false" ht="12.75" hidden="false" customHeight="false" outlineLevel="0" collapsed="false">
      <c r="A16" s="763" t="str">
        <f aca="false">'GTDB(7FA)'!A19</f>
        <v>Fuel Nozzles</v>
      </c>
      <c r="B16" s="763" t="n">
        <f aca="false">'GTDB(7FA)'!E19</f>
        <v>1297.423</v>
      </c>
      <c r="C16" s="763" t="n">
        <f aca="false">IF('rotation(7FA)'!AA29=0," ",B16*'rotation(7FA)'!AA29)</f>
        <v>1297.423</v>
      </c>
      <c r="D16" s="764" t="str">
        <f aca="false">IF('rotation(7FA)'!C30=0," ",$B16*'rotation(7FA)'!C30)</f>
        <v> </v>
      </c>
      <c r="E16" s="764" t="str">
        <f aca="false">IF('rotation(7FA)'!D30=0," ",$B16*'rotation(7FA)'!D30)</f>
        <v> </v>
      </c>
      <c r="F16" s="764" t="str">
        <f aca="false">IF('rotation(7FA)'!E30=0," ",$B16*'rotation(7FA)'!E30)</f>
        <v> </v>
      </c>
      <c r="G16" s="764" t="n">
        <f aca="false">IF('rotation(7FA)'!F30=0," ",$B16*'rotation(7FA)'!F30)</f>
        <v>2594.846</v>
      </c>
      <c r="H16" s="764" t="n">
        <f aca="false">IF('rotation(7FA)'!G30=0," ",$B16*'rotation(7FA)'!G30)</f>
        <v>1297.423</v>
      </c>
      <c r="I16" s="764" t="str">
        <f aca="false">IF('rotation(7FA)'!H30=0," ",$B16*'rotation(7FA)'!H30)</f>
        <v> </v>
      </c>
      <c r="J16" s="764" t="str">
        <f aca="false">IF('rotation(7FA)'!I30=0," ",$B16*'rotation(7FA)'!I30)</f>
        <v> </v>
      </c>
      <c r="K16" s="764" t="n">
        <f aca="false">IF('rotation(7FA)'!J30=0," ",$B16*'rotation(7FA)'!J30)</f>
        <v>1297.423</v>
      </c>
      <c r="L16" s="764" t="n">
        <f aca="false">IF('rotation(7FA)'!K30=0," ",$B16*'rotation(7FA)'!K30)</f>
        <v>2594.846</v>
      </c>
      <c r="M16" s="764" t="str">
        <f aca="false">IF('rotation(7FA)'!L30=0," ",$B16*'rotation(7FA)'!L30)</f>
        <v> </v>
      </c>
      <c r="N16" s="764" t="str">
        <f aca="false">IF('rotation(7FA)'!M30=0," ",$B16*'rotation(7FA)'!M30)</f>
        <v> </v>
      </c>
      <c r="O16" s="764" t="str">
        <f aca="false">IF('rotation(7FA)'!N30=0," ",$B16*'rotation(7FA)'!N30)</f>
        <v> </v>
      </c>
      <c r="P16" s="764" t="n">
        <f aca="false">IF('rotation(7FA)'!O30=0," ",$B16*'rotation(7FA)'!O30)</f>
        <v>2594.846</v>
      </c>
      <c r="Q16" s="764" t="n">
        <f aca="false">IF('rotation(7FA)'!P30=0," ",$B16*'rotation(7FA)'!P30)</f>
        <v>1297.423</v>
      </c>
      <c r="R16" s="764" t="str">
        <f aca="false">IF('rotation(7FA)'!Q30=0," ",$B16*'rotation(7FA)'!Q30)</f>
        <v> </v>
      </c>
      <c r="S16" s="764" t="str">
        <f aca="false">IF('rotation(7FA)'!R30=0," ",$B16*'rotation(7FA)'!R30)</f>
        <v> </v>
      </c>
      <c r="T16" s="764" t="n">
        <f aca="false">IF('rotation(7FA)'!S30=0," ",$B16*'rotation(7FA)'!S30)</f>
        <v>1297.423</v>
      </c>
      <c r="U16" s="764" t="n">
        <f aca="false">IF('rotation(7FA)'!T30=0," ",$B16*'rotation(7FA)'!T30)</f>
        <v>2594.846</v>
      </c>
      <c r="V16" s="764" t="str">
        <f aca="false">IF('rotation(7FA)'!U30=0," ",$B16*'rotation(7FA)'!U30)</f>
        <v> </v>
      </c>
      <c r="W16" s="764" t="str">
        <f aca="false">IF('rotation(7FA)'!V30=0," ",$B16*'rotation(7FA)'!V30)</f>
        <v> </v>
      </c>
      <c r="X16" s="666" t="n">
        <f aca="false">SUM(D16:W16)</f>
        <v>15569.076</v>
      </c>
    </row>
    <row r="17" customFormat="false" ht="12.75" hidden="false" customHeight="false" outlineLevel="0" collapsed="false">
      <c r="A17" s="763" t="str">
        <f aca="false">'GTDB(7FA)'!A20</f>
        <v>Stage 1 Nozzles</v>
      </c>
      <c r="B17" s="763" t="n">
        <f aca="false">'GTDB(7FA)'!E20</f>
        <v>1604.924</v>
      </c>
      <c r="C17" s="763" t="n">
        <f aca="false">IF('rotation(7FA)'!AA33=0," ",B17*'rotation(7FA)'!AA33)</f>
        <v>1604.924</v>
      </c>
      <c r="D17" s="764" t="str">
        <f aca="false">IF('rotation(7FA)'!C34=0," ",$B17*'rotation(7FA)'!C34)</f>
        <v> </v>
      </c>
      <c r="E17" s="764" t="str">
        <f aca="false">IF('rotation(7FA)'!D34=0," ",$B17*'rotation(7FA)'!D34)</f>
        <v> </v>
      </c>
      <c r="F17" s="764" t="str">
        <f aca="false">IF('rotation(7FA)'!E34=0," ",$B17*'rotation(7FA)'!E34)</f>
        <v> </v>
      </c>
      <c r="G17" s="764" t="str">
        <f aca="false">IF('rotation(7FA)'!F34=0," ",$B17*'rotation(7FA)'!F34)</f>
        <v> </v>
      </c>
      <c r="H17" s="764" t="str">
        <f aca="false">IF('rotation(7FA)'!G34=0," ",$B17*'rotation(7FA)'!G34)</f>
        <v> </v>
      </c>
      <c r="I17" s="764" t="n">
        <f aca="false">IF('rotation(7FA)'!H34=0," ",$B17*'rotation(7FA)'!H34)</f>
        <v>1604.924</v>
      </c>
      <c r="J17" s="764" t="str">
        <f aca="false">IF('rotation(7FA)'!I34=0," ",$B17*'rotation(7FA)'!I34)</f>
        <v> </v>
      </c>
      <c r="K17" s="764" t="str">
        <f aca="false">IF('rotation(7FA)'!J34=0," ",$B17*'rotation(7FA)'!J34)</f>
        <v> </v>
      </c>
      <c r="L17" s="764" t="n">
        <f aca="false">IF('rotation(7FA)'!K34=0," ",$B17*'rotation(7FA)'!K34)</f>
        <v>3209.848</v>
      </c>
      <c r="M17" s="764" t="str">
        <f aca="false">IF('rotation(7FA)'!L34=0," ",$B17*'rotation(7FA)'!L34)</f>
        <v> </v>
      </c>
      <c r="N17" s="764" t="str">
        <f aca="false">IF('rotation(7FA)'!M34=0," ",$B17*'rotation(7FA)'!M34)</f>
        <v> </v>
      </c>
      <c r="O17" s="764" t="str">
        <f aca="false">IF('rotation(7FA)'!N34=0," ",$B17*'rotation(7FA)'!N34)</f>
        <v> </v>
      </c>
      <c r="P17" s="764" t="str">
        <f aca="false">IF('rotation(7FA)'!O34=0," ",$B17*'rotation(7FA)'!O34)</f>
        <v> </v>
      </c>
      <c r="Q17" s="764" t="str">
        <f aca="false">IF('rotation(7FA)'!P34=0," ",$B17*'rotation(7FA)'!P34)</f>
        <v> </v>
      </c>
      <c r="R17" s="764" t="n">
        <f aca="false">IF('rotation(7FA)'!Q34=0," ",$B17*'rotation(7FA)'!Q34)</f>
        <v>1604.924</v>
      </c>
      <c r="S17" s="764" t="str">
        <f aca="false">IF('rotation(7FA)'!R34=0," ",$B17*'rotation(7FA)'!R34)</f>
        <v> </v>
      </c>
      <c r="T17" s="764" t="str">
        <f aca="false">IF('rotation(7FA)'!S34=0," ",$B17*'rotation(7FA)'!S34)</f>
        <v> </v>
      </c>
      <c r="U17" s="764" t="n">
        <f aca="false">IF('rotation(7FA)'!T34=0," ",$B17*'rotation(7FA)'!T34)</f>
        <v>3209.848</v>
      </c>
      <c r="V17" s="764" t="str">
        <f aca="false">IF('rotation(7FA)'!U34=0," ",$B17*'rotation(7FA)'!U34)</f>
        <v> </v>
      </c>
      <c r="W17" s="764" t="str">
        <f aca="false">IF('rotation(7FA)'!V34=0," ",$B17*'rotation(7FA)'!V34)</f>
        <v> </v>
      </c>
      <c r="X17" s="666" t="n">
        <f aca="false">SUM(D17:W17)</f>
        <v>9629.544</v>
      </c>
    </row>
    <row r="18" customFormat="false" ht="12.75" hidden="false" customHeight="false" outlineLevel="0" collapsed="false">
      <c r="A18" s="763" t="str">
        <f aca="false">'GTDB(7FA)'!A21</f>
        <v>Stage 2 Nozzles</v>
      </c>
      <c r="B18" s="763" t="n">
        <f aca="false">'GTDB(7FA)'!E21</f>
        <v>1540.727</v>
      </c>
      <c r="C18" s="763" t="str">
        <f aca="false">IF('rotation(7FA)'!AA37=0," ",B18*'rotation(7FA)'!AA37)</f>
        <v> </v>
      </c>
      <c r="D18" s="764" t="str">
        <f aca="false">IF('rotation(7FA)'!C38=0," ",$B18*'rotation(7FA)'!C38)</f>
        <v> </v>
      </c>
      <c r="E18" s="764" t="str">
        <f aca="false">IF('rotation(7FA)'!D38=0," ",$B18*'rotation(7FA)'!D38)</f>
        <v> </v>
      </c>
      <c r="F18" s="764" t="n">
        <f aca="false">IF('rotation(7FA)'!E38=0," ",$B18*'rotation(7FA)'!E38)</f>
        <v>1540.727</v>
      </c>
      <c r="G18" s="764" t="str">
        <f aca="false">IF('rotation(7FA)'!F38=0," ",$B18*'rotation(7FA)'!F38)</f>
        <v> </v>
      </c>
      <c r="H18" s="764" t="str">
        <f aca="false">IF('rotation(7FA)'!G38=0," ",$B18*'rotation(7FA)'!G38)</f>
        <v> </v>
      </c>
      <c r="I18" s="764" t="str">
        <f aca="false">IF('rotation(7FA)'!H38=0," ",$B18*'rotation(7FA)'!H38)</f>
        <v> </v>
      </c>
      <c r="J18" s="764" t="str">
        <f aca="false">IF('rotation(7FA)'!I38=0," ",$B18*'rotation(7FA)'!I38)</f>
        <v> </v>
      </c>
      <c r="K18" s="764" t="str">
        <f aca="false">IF('rotation(7FA)'!J38=0," ",$B18*'rotation(7FA)'!J38)</f>
        <v> </v>
      </c>
      <c r="L18" s="764" t="str">
        <f aca="false">IF('rotation(7FA)'!K38=0," ",$B18*'rotation(7FA)'!K38)</f>
        <v> </v>
      </c>
      <c r="M18" s="764" t="str">
        <f aca="false">IF('rotation(7FA)'!L38=0," ",$B18*'rotation(7FA)'!L38)</f>
        <v> </v>
      </c>
      <c r="N18" s="764" t="str">
        <f aca="false">IF('rotation(7FA)'!M38=0," ",$B18*'rotation(7FA)'!M38)</f>
        <v> </v>
      </c>
      <c r="O18" s="764" t="n">
        <f aca="false">IF('rotation(7FA)'!N38=0," ",$B18*'rotation(7FA)'!N38)</f>
        <v>3081.454</v>
      </c>
      <c r="P18" s="764" t="str">
        <f aca="false">IF('rotation(7FA)'!O38=0," ",$B18*'rotation(7FA)'!O38)</f>
        <v> </v>
      </c>
      <c r="Q18" s="764" t="str">
        <f aca="false">IF('rotation(7FA)'!P38=0," ",$B18*'rotation(7FA)'!P38)</f>
        <v> </v>
      </c>
      <c r="R18" s="764" t="n">
        <f aca="false">IF('rotation(7FA)'!Q38=0," ",$B18*'rotation(7FA)'!Q38)</f>
        <v>1540.727</v>
      </c>
      <c r="S18" s="764" t="str">
        <f aca="false">IF('rotation(7FA)'!R38=0," ",$B18*'rotation(7FA)'!R38)</f>
        <v> </v>
      </c>
      <c r="T18" s="764" t="str">
        <f aca="false">IF('rotation(7FA)'!S38=0," ",$B18*'rotation(7FA)'!S38)</f>
        <v> </v>
      </c>
      <c r="U18" s="764" t="str">
        <f aca="false">IF('rotation(7FA)'!T38=0," ",$B18*'rotation(7FA)'!T38)</f>
        <v> </v>
      </c>
      <c r="V18" s="764" t="str">
        <f aca="false">IF('rotation(7FA)'!U38=0," ",$B18*'rotation(7FA)'!U38)</f>
        <v> </v>
      </c>
      <c r="W18" s="764" t="str">
        <f aca="false">IF('rotation(7FA)'!V38=0," ",$B18*'rotation(7FA)'!V38)</f>
        <v> </v>
      </c>
      <c r="X18" s="666" t="n">
        <f aca="false">SUM(D18:W18)</f>
        <v>6162.908</v>
      </c>
    </row>
    <row r="19" customFormat="false" ht="12.75" hidden="false" customHeight="false" outlineLevel="0" collapsed="false">
      <c r="A19" s="763" t="str">
        <f aca="false">'GTDB(7FA)'!A22</f>
        <v>Stage 3 Nozzles</v>
      </c>
      <c r="B19" s="763" t="n">
        <f aca="false">'GTDB(7FA)'!E22</f>
        <v>1467.168</v>
      </c>
      <c r="C19" s="763" t="str">
        <f aca="false">IF('rotation(7FA)'!AA41=0," ",B19*'rotation(7FA)'!AA41)</f>
        <v> </v>
      </c>
      <c r="D19" s="764" t="str">
        <f aca="false">IF('rotation(7FA)'!C42=0," ",$B19*'rotation(7FA)'!C42)</f>
        <v> </v>
      </c>
      <c r="E19" s="764" t="str">
        <f aca="false">IF('rotation(7FA)'!D42=0," ",$B19*'rotation(7FA)'!D42)</f>
        <v> </v>
      </c>
      <c r="F19" s="764" t="n">
        <f aca="false">IF('rotation(7FA)'!E42=0," ",$B19*'rotation(7FA)'!E42)</f>
        <v>1467.168</v>
      </c>
      <c r="G19" s="764" t="str">
        <f aca="false">IF('rotation(7FA)'!F42=0," ",$B19*'rotation(7FA)'!F42)</f>
        <v> </v>
      </c>
      <c r="H19" s="764" t="str">
        <f aca="false">IF('rotation(7FA)'!G42=0," ",$B19*'rotation(7FA)'!G42)</f>
        <v> </v>
      </c>
      <c r="I19" s="764" t="str">
        <f aca="false">IF('rotation(7FA)'!H42=0," ",$B19*'rotation(7FA)'!H42)</f>
        <v> </v>
      </c>
      <c r="J19" s="764" t="str">
        <f aca="false">IF('rotation(7FA)'!I42=0," ",$B19*'rotation(7FA)'!I42)</f>
        <v> </v>
      </c>
      <c r="K19" s="764" t="str">
        <f aca="false">IF('rotation(7FA)'!J42=0," ",$B19*'rotation(7FA)'!J42)</f>
        <v> </v>
      </c>
      <c r="L19" s="764" t="str">
        <f aca="false">IF('rotation(7FA)'!K42=0," ",$B19*'rotation(7FA)'!K42)</f>
        <v> </v>
      </c>
      <c r="M19" s="764" t="str">
        <f aca="false">IF('rotation(7FA)'!L42=0," ",$B19*'rotation(7FA)'!L42)</f>
        <v> </v>
      </c>
      <c r="N19" s="764" t="str">
        <f aca="false">IF('rotation(7FA)'!M42=0," ",$B19*'rotation(7FA)'!M42)</f>
        <v> </v>
      </c>
      <c r="O19" s="764" t="n">
        <f aca="false">IF('rotation(7FA)'!N42=0," ",$B19*'rotation(7FA)'!N42)</f>
        <v>2934.336</v>
      </c>
      <c r="P19" s="764" t="str">
        <f aca="false">IF('rotation(7FA)'!O42=0," ",$B19*'rotation(7FA)'!O42)</f>
        <v> </v>
      </c>
      <c r="Q19" s="764" t="str">
        <f aca="false">IF('rotation(7FA)'!P42=0," ",$B19*'rotation(7FA)'!P42)</f>
        <v> </v>
      </c>
      <c r="R19" s="764" t="n">
        <f aca="false">IF('rotation(7FA)'!Q42=0," ",$B19*'rotation(7FA)'!Q42)</f>
        <v>1467.168</v>
      </c>
      <c r="S19" s="764" t="str">
        <f aca="false">IF('rotation(7FA)'!R42=0," ",$B19*'rotation(7FA)'!R42)</f>
        <v> </v>
      </c>
      <c r="T19" s="764" t="str">
        <f aca="false">IF('rotation(7FA)'!S42=0," ",$B19*'rotation(7FA)'!S42)</f>
        <v> </v>
      </c>
      <c r="U19" s="764" t="str">
        <f aca="false">IF('rotation(7FA)'!T42=0," ",$B19*'rotation(7FA)'!T42)</f>
        <v> </v>
      </c>
      <c r="V19" s="764" t="str">
        <f aca="false">IF('rotation(7FA)'!U42=0," ",$B19*'rotation(7FA)'!U42)</f>
        <v> </v>
      </c>
      <c r="W19" s="764" t="str">
        <f aca="false">IF('rotation(7FA)'!V42=0," ",$B19*'rotation(7FA)'!V42)</f>
        <v> </v>
      </c>
      <c r="X19" s="666" t="n">
        <f aca="false">SUM(D19:W19)</f>
        <v>5868.672</v>
      </c>
    </row>
    <row r="20" customFormat="false" ht="12.75" hidden="false" customHeight="false" outlineLevel="0" collapsed="false">
      <c r="A20" s="763" t="str">
        <f aca="false">'GTDB(7FA)'!A23</f>
        <v>Stage 1 Buckets</v>
      </c>
      <c r="B20" s="763" t="n">
        <f aca="false">'GTDB(7FA)'!E23</f>
        <v>3214.992</v>
      </c>
      <c r="C20" s="763" t="n">
        <f aca="false">IF('rotation(7FA)'!AA45=0," ",B20*'rotation(7FA)'!AA45)</f>
        <v>3214.992</v>
      </c>
      <c r="D20" s="764" t="str">
        <f aca="false">IF('rotation(7FA)'!C46=0," ",$B20*'rotation(7FA)'!C46)</f>
        <v> </v>
      </c>
      <c r="E20" s="764" t="str">
        <f aca="false">IF('rotation(7FA)'!D46=0," ",$B20*'rotation(7FA)'!D46)</f>
        <v> </v>
      </c>
      <c r="F20" s="764" t="str">
        <f aca="false">IF('rotation(7FA)'!E46=0," ",$B20*'rotation(7FA)'!E46)</f>
        <v> </v>
      </c>
      <c r="G20" s="764" t="str">
        <f aca="false">IF('rotation(7FA)'!F46=0," ",$B20*'rotation(7FA)'!F46)</f>
        <v> </v>
      </c>
      <c r="H20" s="764" t="str">
        <f aca="false">IF('rotation(7FA)'!G46=0," ",$B20*'rotation(7FA)'!G46)</f>
        <v> </v>
      </c>
      <c r="I20" s="764" t="str">
        <f aca="false">IF('rotation(7FA)'!H46=0," ",$B20*'rotation(7FA)'!H46)</f>
        <v> </v>
      </c>
      <c r="J20" s="764" t="str">
        <f aca="false">IF('rotation(7FA)'!I46=0," ",$B20*'rotation(7FA)'!I46)</f>
        <v> </v>
      </c>
      <c r="K20" s="764" t="str">
        <f aca="false">IF('rotation(7FA)'!J46=0," ",$B20*'rotation(7FA)'!J46)</f>
        <v> </v>
      </c>
      <c r="L20" s="764" t="str">
        <f aca="false">IF('rotation(7FA)'!K46=0," ",$B20*'rotation(7FA)'!K46)</f>
        <v> </v>
      </c>
      <c r="M20" s="764" t="str">
        <f aca="false">IF('rotation(7FA)'!L46=0," ",$B20*'rotation(7FA)'!L46)</f>
        <v> </v>
      </c>
      <c r="N20" s="764" t="str">
        <f aca="false">IF('rotation(7FA)'!M46=0," ",$B20*'rotation(7FA)'!M46)</f>
        <v> </v>
      </c>
      <c r="O20" s="764" t="n">
        <f aca="false">IF('rotation(7FA)'!N46=0," ",$B20*'rotation(7FA)'!N46)</f>
        <v>6429.984</v>
      </c>
      <c r="P20" s="764" t="str">
        <f aca="false">IF('rotation(7FA)'!O46=0," ",$B20*'rotation(7FA)'!O46)</f>
        <v> </v>
      </c>
      <c r="Q20" s="764" t="str">
        <f aca="false">IF('rotation(7FA)'!P46=0," ",$B20*'rotation(7FA)'!P46)</f>
        <v> </v>
      </c>
      <c r="R20" s="764" t="n">
        <f aca="false">IF('rotation(7FA)'!Q46=0," ",$B20*'rotation(7FA)'!Q46)</f>
        <v>3214.992</v>
      </c>
      <c r="S20" s="764" t="str">
        <f aca="false">IF('rotation(7FA)'!R46=0," ",$B20*'rotation(7FA)'!R46)</f>
        <v> </v>
      </c>
      <c r="T20" s="764" t="str">
        <f aca="false">IF('rotation(7FA)'!S46=0," ",$B20*'rotation(7FA)'!S46)</f>
        <v> </v>
      </c>
      <c r="U20" s="764" t="str">
        <f aca="false">IF('rotation(7FA)'!T46=0," ",$B20*'rotation(7FA)'!T46)</f>
        <v> </v>
      </c>
      <c r="V20" s="764" t="str">
        <f aca="false">IF('rotation(7FA)'!U46=0," ",$B20*'rotation(7FA)'!U46)</f>
        <v> </v>
      </c>
      <c r="W20" s="764" t="str">
        <f aca="false">IF('rotation(7FA)'!V46=0," ",$B20*'rotation(7FA)'!V46)</f>
        <v> </v>
      </c>
      <c r="X20" s="666" t="n">
        <f aca="false">SUM(D20:W20)</f>
        <v>9644.976</v>
      </c>
    </row>
    <row r="21" customFormat="false" ht="12.75" hidden="false" customHeight="false" outlineLevel="0" collapsed="false">
      <c r="A21" s="763" t="str">
        <f aca="false">'GTDB(7FA)'!A24</f>
        <v>Stage 2 Buckets</v>
      </c>
      <c r="B21" s="763" t="n">
        <f aca="false">'GTDB(7FA)'!E24</f>
        <v>1977.593</v>
      </c>
      <c r="C21" s="763" t="str">
        <f aca="false">IF('rotation(7FA)'!AA49=0," ",B21*'rotation(7FA)'!AA49)</f>
        <v> </v>
      </c>
      <c r="D21" s="764" t="str">
        <f aca="false">IF('rotation(7FA)'!C50=0," ",$B21*'rotation(7FA)'!C50)</f>
        <v> </v>
      </c>
      <c r="E21" s="764" t="str">
        <f aca="false">IF('rotation(7FA)'!D50=0," ",$B21*'rotation(7FA)'!D50)</f>
        <v> </v>
      </c>
      <c r="F21" s="764" t="n">
        <f aca="false">IF('rotation(7FA)'!E50=0," ",$B21*'rotation(7FA)'!E50)</f>
        <v>1977.593</v>
      </c>
      <c r="G21" s="764" t="str">
        <f aca="false">IF('rotation(7FA)'!F50=0," ",$B21*'rotation(7FA)'!F50)</f>
        <v> </v>
      </c>
      <c r="H21" s="764" t="str">
        <f aca="false">IF('rotation(7FA)'!G50=0," ",$B21*'rotation(7FA)'!G50)</f>
        <v> </v>
      </c>
      <c r="I21" s="764" t="n">
        <f aca="false">IF('rotation(7FA)'!H50=0," ",$B21*'rotation(7FA)'!H50)</f>
        <v>1977.593</v>
      </c>
      <c r="J21" s="764" t="str">
        <f aca="false">IF('rotation(7FA)'!I50=0," ",$B21*'rotation(7FA)'!I50)</f>
        <v> </v>
      </c>
      <c r="K21" s="764" t="str">
        <f aca="false">IF('rotation(7FA)'!J50=0," ",$B21*'rotation(7FA)'!J50)</f>
        <v> </v>
      </c>
      <c r="L21" s="764" t="n">
        <f aca="false">IF('rotation(7FA)'!K50=0," ",$B21*'rotation(7FA)'!K50)</f>
        <v>3955.186</v>
      </c>
      <c r="M21" s="764" t="str">
        <f aca="false">IF('rotation(7FA)'!L50=0," ",$B21*'rotation(7FA)'!L50)</f>
        <v> </v>
      </c>
      <c r="N21" s="764" t="str">
        <f aca="false">IF('rotation(7FA)'!M50=0," ",$B21*'rotation(7FA)'!M50)</f>
        <v> </v>
      </c>
      <c r="O21" s="764" t="str">
        <f aca="false">IF('rotation(7FA)'!N50=0," ",$B21*'rotation(7FA)'!N50)</f>
        <v> </v>
      </c>
      <c r="P21" s="764" t="str">
        <f aca="false">IF('rotation(7FA)'!O50=0," ",$B21*'rotation(7FA)'!O50)</f>
        <v> </v>
      </c>
      <c r="Q21" s="764" t="str">
        <f aca="false">IF('rotation(7FA)'!P50=0," ",$B21*'rotation(7FA)'!P50)</f>
        <v> </v>
      </c>
      <c r="R21" s="764" t="n">
        <f aca="false">IF('rotation(7FA)'!Q50=0," ",$B21*'rotation(7FA)'!Q50)</f>
        <v>1977.593</v>
      </c>
      <c r="S21" s="764" t="str">
        <f aca="false">IF('rotation(7FA)'!R50=0," ",$B21*'rotation(7FA)'!R50)</f>
        <v> </v>
      </c>
      <c r="T21" s="764" t="str">
        <f aca="false">IF('rotation(7FA)'!S50=0," ",$B21*'rotation(7FA)'!S50)</f>
        <v> </v>
      </c>
      <c r="U21" s="764" t="n">
        <f aca="false">IF('rotation(7FA)'!T50=0," ",$B21*'rotation(7FA)'!T50)</f>
        <v>3955.186</v>
      </c>
      <c r="V21" s="764" t="str">
        <f aca="false">IF('rotation(7FA)'!U50=0," ",$B21*'rotation(7FA)'!U50)</f>
        <v> </v>
      </c>
      <c r="W21" s="764" t="str">
        <f aca="false">IF('rotation(7FA)'!V50=0," ",$B21*'rotation(7FA)'!V50)</f>
        <v> </v>
      </c>
      <c r="X21" s="666" t="n">
        <f aca="false">SUM(D21:W21)</f>
        <v>13843.151</v>
      </c>
    </row>
    <row r="22" customFormat="false" ht="12.75" hidden="false" customHeight="false" outlineLevel="0" collapsed="false">
      <c r="A22" s="763" t="str">
        <f aca="false">'GTDB(7FA)'!A25</f>
        <v>Stage 3 Buckets</v>
      </c>
      <c r="B22" s="763" t="n">
        <f aca="false">'GTDB(7FA)'!E25</f>
        <v>2251.78</v>
      </c>
      <c r="C22" s="763" t="str">
        <f aca="false">IF('rotation(7FA)'!AA53=0," ",B22*'rotation(7FA)'!AA53)</f>
        <v> </v>
      </c>
      <c r="D22" s="764" t="str">
        <f aca="false">IF('rotation(7FA)'!C54=0," ",$B22*'rotation(7FA)'!C54)</f>
        <v> </v>
      </c>
      <c r="E22" s="764" t="str">
        <f aca="false">IF('rotation(7FA)'!D54=0," ",$B22*'rotation(7FA)'!D54)</f>
        <v> </v>
      </c>
      <c r="F22" s="764" t="n">
        <f aca="false">IF('rotation(7FA)'!E54=0," ",$B22*'rotation(7FA)'!E54)</f>
        <v>4503.56</v>
      </c>
      <c r="G22" s="764" t="str">
        <f aca="false">IF('rotation(7FA)'!F54=0," ",$B22*'rotation(7FA)'!F54)</f>
        <v> </v>
      </c>
      <c r="H22" s="764" t="str">
        <f aca="false">IF('rotation(7FA)'!G54=0," ",$B22*'rotation(7FA)'!G54)</f>
        <v> </v>
      </c>
      <c r="I22" s="764" t="n">
        <f aca="false">IF('rotation(7FA)'!H54=0," ",$B22*'rotation(7FA)'!H54)</f>
        <v>4503.56</v>
      </c>
      <c r="J22" s="764" t="str">
        <f aca="false">IF('rotation(7FA)'!I54=0," ",$B22*'rotation(7FA)'!I54)</f>
        <v> </v>
      </c>
      <c r="K22" s="764" t="str">
        <f aca="false">IF('rotation(7FA)'!J54=0," ",$B22*'rotation(7FA)'!J54)</f>
        <v> </v>
      </c>
      <c r="L22" s="764" t="n">
        <f aca="false">IF('rotation(7FA)'!K54=0," ",$B22*'rotation(7FA)'!K54)</f>
        <v>4503.56</v>
      </c>
      <c r="M22" s="764" t="str">
        <f aca="false">IF('rotation(7FA)'!L54=0," ",$B22*'rotation(7FA)'!L54)</f>
        <v> </v>
      </c>
      <c r="N22" s="764" t="str">
        <f aca="false">IF('rotation(7FA)'!M54=0," ",$B22*'rotation(7FA)'!M54)</f>
        <v> </v>
      </c>
      <c r="O22" s="764" t="n">
        <f aca="false">IF('rotation(7FA)'!N54=0," ",$B22*'rotation(7FA)'!N54)</f>
        <v>4503.56</v>
      </c>
      <c r="P22" s="764" t="str">
        <f aca="false">IF('rotation(7FA)'!O54=0," ",$B22*'rotation(7FA)'!O54)</f>
        <v> </v>
      </c>
      <c r="Q22" s="764" t="str">
        <f aca="false">IF('rotation(7FA)'!P54=0," ",$B22*'rotation(7FA)'!P54)</f>
        <v> </v>
      </c>
      <c r="R22" s="764" t="n">
        <f aca="false">IF('rotation(7FA)'!Q54=0," ",$B22*'rotation(7FA)'!Q54)</f>
        <v>4503.56</v>
      </c>
      <c r="S22" s="764" t="str">
        <f aca="false">IF('rotation(7FA)'!R54=0," ",$B22*'rotation(7FA)'!R54)</f>
        <v> </v>
      </c>
      <c r="T22" s="764" t="str">
        <f aca="false">IF('rotation(7FA)'!S54=0," ",$B22*'rotation(7FA)'!S54)</f>
        <v> </v>
      </c>
      <c r="U22" s="764" t="n">
        <f aca="false">IF('rotation(7FA)'!T54=0," ",$B22*'rotation(7FA)'!T54)</f>
        <v>4503.56</v>
      </c>
      <c r="V22" s="764" t="str">
        <f aca="false">IF('rotation(7FA)'!U54=0," ",$B22*'rotation(7FA)'!U54)</f>
        <v> </v>
      </c>
      <c r="W22" s="764" t="str">
        <f aca="false">IF('rotation(7FA)'!V54=0," ",$B22*'rotation(7FA)'!V54)</f>
        <v> </v>
      </c>
      <c r="X22" s="666" t="n">
        <f aca="false">SUM(D22:W22)</f>
        <v>27021.36</v>
      </c>
    </row>
    <row r="23" customFormat="false" ht="12.75" hidden="false" customHeight="false" outlineLevel="0" collapsed="false">
      <c r="A23" s="763" t="str">
        <f aca="false">'GTDB(7FA)'!A26</f>
        <v>Row 1 Support Ring</v>
      </c>
      <c r="B23" s="763" t="n">
        <f aca="false">'GTDB(7FA)'!E26</f>
        <v>44.516</v>
      </c>
      <c r="C23" s="763" t="str">
        <f aca="false">IF('rotation(7FA)'!AA57=0," ",B23*'rotation(7FA)'!AA57)</f>
        <v> </v>
      </c>
      <c r="D23" s="764" t="str">
        <f aca="false">IF('rotation(7FA)'!C58=0," ",$B23*'rotation(7FA)'!C58)</f>
        <v> </v>
      </c>
      <c r="E23" s="764" t="str">
        <f aca="false">IF('rotation(7FA)'!D58=0," ",$B23*'rotation(7FA)'!D58)</f>
        <v> </v>
      </c>
      <c r="F23" s="764" t="n">
        <f aca="false">IF('rotation(7FA)'!E58=0," ",$B23*'rotation(7FA)'!E58)</f>
        <v>44.516</v>
      </c>
      <c r="G23" s="764" t="str">
        <f aca="false">IF('rotation(7FA)'!F58=0," ",$B23*'rotation(7FA)'!F58)</f>
        <v> </v>
      </c>
      <c r="H23" s="764" t="str">
        <f aca="false">IF('rotation(7FA)'!G58=0," ",$B23*'rotation(7FA)'!G58)</f>
        <v> </v>
      </c>
      <c r="I23" s="764" t="n">
        <f aca="false">IF('rotation(7FA)'!H58=0," ",$B23*'rotation(7FA)'!H58)</f>
        <v>44.516</v>
      </c>
      <c r="J23" s="764" t="str">
        <f aca="false">IF('rotation(7FA)'!I58=0," ",$B23*'rotation(7FA)'!I58)</f>
        <v> </v>
      </c>
      <c r="K23" s="764" t="str">
        <f aca="false">IF('rotation(7FA)'!J58=0," ",$B23*'rotation(7FA)'!J58)</f>
        <v> </v>
      </c>
      <c r="L23" s="764" t="n">
        <f aca="false">IF('rotation(7FA)'!K58=0," ",$B23*'rotation(7FA)'!K58)</f>
        <v>89.032</v>
      </c>
      <c r="M23" s="764" t="str">
        <f aca="false">IF('rotation(7FA)'!L58=0," ",$B23*'rotation(7FA)'!L58)</f>
        <v> </v>
      </c>
      <c r="N23" s="764" t="str">
        <f aca="false">IF('rotation(7FA)'!M58=0," ",$B23*'rotation(7FA)'!M58)</f>
        <v> </v>
      </c>
      <c r="O23" s="764" t="str">
        <f aca="false">IF('rotation(7FA)'!N58=0," ",$B23*'rotation(7FA)'!N58)</f>
        <v> </v>
      </c>
      <c r="P23" s="764" t="str">
        <f aca="false">IF('rotation(7FA)'!O58=0," ",$B23*'rotation(7FA)'!O58)</f>
        <v> </v>
      </c>
      <c r="Q23" s="764" t="str">
        <f aca="false">IF('rotation(7FA)'!P58=0," ",$B23*'rotation(7FA)'!P58)</f>
        <v> </v>
      </c>
      <c r="R23" s="764" t="n">
        <f aca="false">IF('rotation(7FA)'!Q58=0," ",$B23*'rotation(7FA)'!Q58)</f>
        <v>44.516</v>
      </c>
      <c r="S23" s="764" t="str">
        <f aca="false">IF('rotation(7FA)'!R58=0," ",$B23*'rotation(7FA)'!R58)</f>
        <v> </v>
      </c>
      <c r="T23" s="764" t="str">
        <f aca="false">IF('rotation(7FA)'!S58=0," ",$B23*'rotation(7FA)'!S58)</f>
        <v> </v>
      </c>
      <c r="U23" s="764" t="n">
        <f aca="false">IF('rotation(7FA)'!T58=0," ",$B23*'rotation(7FA)'!T58)</f>
        <v>89.032</v>
      </c>
      <c r="V23" s="764" t="str">
        <f aca="false">IF('rotation(7FA)'!U58=0," ",$B23*'rotation(7FA)'!U58)</f>
        <v> </v>
      </c>
      <c r="W23" s="764" t="str">
        <f aca="false">IF('rotation(7FA)'!V58=0," ",$B23*'rotation(7FA)'!V58)</f>
        <v> </v>
      </c>
      <c r="X23" s="666" t="n">
        <f aca="false">SUM(D23:W23)</f>
        <v>311.612</v>
      </c>
    </row>
    <row r="24" customFormat="false" ht="12.75" hidden="false" customHeight="false" outlineLevel="0" collapsed="false">
      <c r="A24" s="763" t="str">
        <f aca="false">'GTDB(7FA)'!A27</f>
        <v>1st Stage Shroud Blocks </v>
      </c>
      <c r="B24" s="763" t="n">
        <f aca="false">'GTDB(7FA)'!E27</f>
        <v>721.443</v>
      </c>
      <c r="C24" s="763" t="n">
        <f aca="false">IF('rotation(7FA)'!AA61=0," ",B24*'rotation(7FA)'!AA61)</f>
        <v>721.443</v>
      </c>
      <c r="D24" s="764" t="str">
        <f aca="false">IF('rotation(7FA)'!C62=0," ",$B24*'rotation(7FA)'!C62)</f>
        <v> </v>
      </c>
      <c r="E24" s="764" t="str">
        <f aca="false">IF('rotation(7FA)'!D62=0," ",$B24*'rotation(7FA)'!D62)</f>
        <v> </v>
      </c>
      <c r="F24" s="764" t="str">
        <f aca="false">IF('rotation(7FA)'!E62=0," ",$B24*'rotation(7FA)'!E62)</f>
        <v> </v>
      </c>
      <c r="G24" s="764" t="str">
        <f aca="false">IF('rotation(7FA)'!F62=0," ",$B24*'rotation(7FA)'!F62)</f>
        <v> </v>
      </c>
      <c r="H24" s="764" t="str">
        <f aca="false">IF('rotation(7FA)'!G62=0," ",$B24*'rotation(7FA)'!G62)</f>
        <v> </v>
      </c>
      <c r="I24" s="764" t="str">
        <f aca="false">IF('rotation(7FA)'!H62=0," ",$B24*'rotation(7FA)'!H62)</f>
        <v> </v>
      </c>
      <c r="J24" s="764" t="str">
        <f aca="false">IF('rotation(7FA)'!I62=0," ",$B24*'rotation(7FA)'!I62)</f>
        <v> </v>
      </c>
      <c r="K24" s="764" t="str">
        <f aca="false">IF('rotation(7FA)'!J62=0," ",$B24*'rotation(7FA)'!J62)</f>
        <v> </v>
      </c>
      <c r="L24" s="764" t="str">
        <f aca="false">IF('rotation(7FA)'!K62=0," ",$B24*'rotation(7FA)'!K62)</f>
        <v> </v>
      </c>
      <c r="M24" s="764" t="str">
        <f aca="false">IF('rotation(7FA)'!L62=0," ",$B24*'rotation(7FA)'!L62)</f>
        <v> </v>
      </c>
      <c r="N24" s="764" t="str">
        <f aca="false">IF('rotation(7FA)'!M62=0," ",$B24*'rotation(7FA)'!M62)</f>
        <v> </v>
      </c>
      <c r="O24" s="764" t="n">
        <f aca="false">IF('rotation(7FA)'!N62=0," ",$B24*'rotation(7FA)'!N62)</f>
        <v>1442.886</v>
      </c>
      <c r="P24" s="764" t="str">
        <f aca="false">IF('rotation(7FA)'!O62=0," ",$B24*'rotation(7FA)'!O62)</f>
        <v> </v>
      </c>
      <c r="Q24" s="764" t="str">
        <f aca="false">IF('rotation(7FA)'!P62=0," ",$B24*'rotation(7FA)'!P62)</f>
        <v> </v>
      </c>
      <c r="R24" s="764" t="n">
        <f aca="false">IF('rotation(7FA)'!Q62=0," ",$B24*'rotation(7FA)'!Q62)</f>
        <v>721.443</v>
      </c>
      <c r="S24" s="764" t="str">
        <f aca="false">IF('rotation(7FA)'!R62=0," ",$B24*'rotation(7FA)'!R62)</f>
        <v> </v>
      </c>
      <c r="T24" s="764" t="str">
        <f aca="false">IF('rotation(7FA)'!S62=0," ",$B24*'rotation(7FA)'!S62)</f>
        <v> </v>
      </c>
      <c r="U24" s="764" t="str">
        <f aca="false">IF('rotation(7FA)'!T62=0," ",$B24*'rotation(7FA)'!T62)</f>
        <v> </v>
      </c>
      <c r="V24" s="764" t="str">
        <f aca="false">IF('rotation(7FA)'!U62=0," ",$B24*'rotation(7FA)'!U62)</f>
        <v> </v>
      </c>
      <c r="W24" s="764" t="str">
        <f aca="false">IF('rotation(7FA)'!V62=0," ",$B24*'rotation(7FA)'!V62)</f>
        <v> </v>
      </c>
      <c r="X24" s="666" t="n">
        <f aca="false">SUM(D24:W24)</f>
        <v>2164.329</v>
      </c>
    </row>
    <row r="25" customFormat="false" ht="12.75" hidden="false" customHeight="false" outlineLevel="0" collapsed="false">
      <c r="A25" s="763" t="str">
        <f aca="false">'GTDB(7FA)'!A28</f>
        <v>2nd Stage Shroud Blocks</v>
      </c>
      <c r="B25" s="763" t="n">
        <f aca="false">'GTDB(7FA)'!E28</f>
        <v>487.958</v>
      </c>
      <c r="C25" s="763" t="str">
        <f aca="false">IF('rotation(7FA)'!AA65=0," ",B25*'rotation(7FA)'!AA65)</f>
        <v> </v>
      </c>
      <c r="D25" s="764" t="str">
        <f aca="false">IF('rotation(7FA)'!C66=0," ",$B25*'rotation(7FA)'!C66)</f>
        <v> </v>
      </c>
      <c r="E25" s="764" t="str">
        <f aca="false">IF('rotation(7FA)'!D66=0," ",$B25*'rotation(7FA)'!D66)</f>
        <v> </v>
      </c>
      <c r="F25" s="764" t="n">
        <f aca="false">IF('rotation(7FA)'!E66=0," ",$B25*'rotation(7FA)'!E66)</f>
        <v>487.958</v>
      </c>
      <c r="G25" s="764" t="str">
        <f aca="false">IF('rotation(7FA)'!F66=0," ",$B25*'rotation(7FA)'!F66)</f>
        <v> </v>
      </c>
      <c r="H25" s="764" t="str">
        <f aca="false">IF('rotation(7FA)'!G66=0," ",$B25*'rotation(7FA)'!G66)</f>
        <v> </v>
      </c>
      <c r="I25" s="764" t="str">
        <f aca="false">IF('rotation(7FA)'!H66=0," ",$B25*'rotation(7FA)'!H66)</f>
        <v> </v>
      </c>
      <c r="J25" s="764" t="str">
        <f aca="false">IF('rotation(7FA)'!I66=0," ",$B25*'rotation(7FA)'!I66)</f>
        <v> </v>
      </c>
      <c r="K25" s="764" t="str">
        <f aca="false">IF('rotation(7FA)'!J66=0," ",$B25*'rotation(7FA)'!J66)</f>
        <v> </v>
      </c>
      <c r="L25" s="764" t="str">
        <f aca="false">IF('rotation(7FA)'!K66=0," ",$B25*'rotation(7FA)'!K66)</f>
        <v> </v>
      </c>
      <c r="M25" s="764" t="str">
        <f aca="false">IF('rotation(7FA)'!L66=0," ",$B25*'rotation(7FA)'!L66)</f>
        <v> </v>
      </c>
      <c r="N25" s="764" t="str">
        <f aca="false">IF('rotation(7FA)'!M66=0," ",$B25*'rotation(7FA)'!M66)</f>
        <v> </v>
      </c>
      <c r="O25" s="764" t="n">
        <f aca="false">IF('rotation(7FA)'!N66=0," ",$B25*'rotation(7FA)'!N66)</f>
        <v>975.916</v>
      </c>
      <c r="P25" s="764" t="str">
        <f aca="false">IF('rotation(7FA)'!O66=0," ",$B25*'rotation(7FA)'!O66)</f>
        <v> </v>
      </c>
      <c r="Q25" s="764" t="str">
        <f aca="false">IF('rotation(7FA)'!P66=0," ",$B25*'rotation(7FA)'!P66)</f>
        <v> </v>
      </c>
      <c r="R25" s="764" t="n">
        <f aca="false">IF('rotation(7FA)'!Q66=0," ",$B25*'rotation(7FA)'!Q66)</f>
        <v>487.958</v>
      </c>
      <c r="S25" s="764" t="str">
        <f aca="false">IF('rotation(7FA)'!R66=0," ",$B25*'rotation(7FA)'!R66)</f>
        <v> </v>
      </c>
      <c r="T25" s="764" t="str">
        <f aca="false">IF('rotation(7FA)'!S66=0," ",$B25*'rotation(7FA)'!S66)</f>
        <v> </v>
      </c>
      <c r="U25" s="764" t="str">
        <f aca="false">IF('rotation(7FA)'!T66=0," ",$B25*'rotation(7FA)'!T66)</f>
        <v> </v>
      </c>
      <c r="V25" s="764" t="str">
        <f aca="false">IF('rotation(7FA)'!U66=0," ",$B25*'rotation(7FA)'!U66)</f>
        <v> </v>
      </c>
      <c r="W25" s="764" t="str">
        <f aca="false">IF('rotation(7FA)'!V66=0," ",$B25*'rotation(7FA)'!V66)</f>
        <v> </v>
      </c>
      <c r="X25" s="666" t="n">
        <f aca="false">SUM(D25:W25)</f>
        <v>1951.832</v>
      </c>
    </row>
    <row r="26" customFormat="false" ht="12.75" hidden="false" customHeight="false" outlineLevel="0" collapsed="false">
      <c r="A26" s="763" t="str">
        <f aca="false">'GTDB(7FA)'!A29</f>
        <v>3rd Stage Shroud Blocks</v>
      </c>
      <c r="B26" s="763" t="n">
        <f aca="false">'GTDB(7FA)'!E29</f>
        <v>417.479</v>
      </c>
      <c r="C26" s="763" t="str">
        <f aca="false">IF('rotation(7FA)'!AA69=0," ",B26*'rotation(7FA)'!AA69)</f>
        <v> </v>
      </c>
      <c r="D26" s="764" t="str">
        <f aca="false">IF('rotation(7FA)'!C70=0," ",$B26*'rotation(7FA)'!C70)</f>
        <v> </v>
      </c>
      <c r="E26" s="764" t="str">
        <f aca="false">IF('rotation(7FA)'!D70=0," ",$B26*'rotation(7FA)'!D70)</f>
        <v> </v>
      </c>
      <c r="F26" s="764" t="n">
        <f aca="false">IF('rotation(7FA)'!E70=0," ",$B26*'rotation(7FA)'!E70)</f>
        <v>417.479</v>
      </c>
      <c r="G26" s="764" t="str">
        <f aca="false">IF('rotation(7FA)'!F70=0," ",$B26*'rotation(7FA)'!F70)</f>
        <v> </v>
      </c>
      <c r="H26" s="764" t="str">
        <f aca="false">IF('rotation(7FA)'!G70=0," ",$B26*'rotation(7FA)'!G70)</f>
        <v> </v>
      </c>
      <c r="I26" s="764" t="str">
        <f aca="false">IF('rotation(7FA)'!H70=0," ",$B26*'rotation(7FA)'!H70)</f>
        <v> </v>
      </c>
      <c r="J26" s="764" t="str">
        <f aca="false">IF('rotation(7FA)'!I70=0," ",$B26*'rotation(7FA)'!I70)</f>
        <v> </v>
      </c>
      <c r="K26" s="764" t="str">
        <f aca="false">IF('rotation(7FA)'!J70=0," ",$B26*'rotation(7FA)'!J70)</f>
        <v> </v>
      </c>
      <c r="L26" s="764" t="str">
        <f aca="false">IF('rotation(7FA)'!K70=0," ",$B26*'rotation(7FA)'!K70)</f>
        <v> </v>
      </c>
      <c r="M26" s="764" t="str">
        <f aca="false">IF('rotation(7FA)'!L70=0," ",$B26*'rotation(7FA)'!L70)</f>
        <v> </v>
      </c>
      <c r="N26" s="764" t="str">
        <f aca="false">IF('rotation(7FA)'!M70=0," ",$B26*'rotation(7FA)'!M70)</f>
        <v> </v>
      </c>
      <c r="O26" s="764" t="n">
        <f aca="false">IF('rotation(7FA)'!N70=0," ",$B26*'rotation(7FA)'!N70)</f>
        <v>834.958</v>
      </c>
      <c r="P26" s="764" t="str">
        <f aca="false">IF('rotation(7FA)'!O70=0," ",$B26*'rotation(7FA)'!O70)</f>
        <v> </v>
      </c>
      <c r="Q26" s="764" t="str">
        <f aca="false">IF('rotation(7FA)'!P70=0," ",$B26*'rotation(7FA)'!P70)</f>
        <v> </v>
      </c>
      <c r="R26" s="764" t="n">
        <f aca="false">IF('rotation(7FA)'!Q70=0," ",$B26*'rotation(7FA)'!Q70)</f>
        <v>417.479</v>
      </c>
      <c r="S26" s="764" t="str">
        <f aca="false">IF('rotation(7FA)'!R70=0," ",$B26*'rotation(7FA)'!R70)</f>
        <v> </v>
      </c>
      <c r="T26" s="764" t="str">
        <f aca="false">IF('rotation(7FA)'!S70=0," ",$B26*'rotation(7FA)'!S70)</f>
        <v> </v>
      </c>
      <c r="U26" s="764" t="str">
        <f aca="false">IF('rotation(7FA)'!T70=0," ",$B26*'rotation(7FA)'!T70)</f>
        <v> </v>
      </c>
      <c r="V26" s="764" t="str">
        <f aca="false">IF('rotation(7FA)'!U70=0," ",$B26*'rotation(7FA)'!U70)</f>
        <v> </v>
      </c>
      <c r="W26" s="764" t="str">
        <f aca="false">IF('rotation(7FA)'!V70=0," ",$B26*'rotation(7FA)'!V70)</f>
        <v> </v>
      </c>
      <c r="X26" s="666" t="n">
        <f aca="false">SUM(D26:W26)</f>
        <v>1669.916</v>
      </c>
    </row>
    <row r="27" customFormat="false" ht="12.75" hidden="false" customHeight="false" outlineLevel="0" collapsed="false">
      <c r="A27" s="759" t="s">
        <v>1362</v>
      </c>
      <c r="B27" s="763" t="n">
        <f aca="false">'GTDB(7FA)'!D12</f>
        <v>54.254</v>
      </c>
      <c r="C27" s="763"/>
      <c r="D27" s="764" t="n">
        <f aca="false">IF('rotation(7FA)'!C8=0," ",$B27*'rotation(7FA)'!C8)</f>
        <v>108.508</v>
      </c>
      <c r="E27" s="764" t="n">
        <f aca="false">IF('rotation(7FA)'!D8=0," ",$B27*'rotation(7FA)'!D8)</f>
        <v>108.508</v>
      </c>
      <c r="F27" s="764" t="str">
        <f aca="false">IF('rotation(7FA)'!E8=0," ",$B27*'rotation(7FA)'!E8)</f>
        <v> </v>
      </c>
      <c r="G27" s="764" t="n">
        <f aca="false">IF('rotation(7FA)'!F8=0," ",$B27*'rotation(7FA)'!F8)</f>
        <v>108.508</v>
      </c>
      <c r="H27" s="764" t="n">
        <f aca="false">IF('rotation(7FA)'!G8=0," ",$B27*'rotation(7FA)'!G8)</f>
        <v>108.508</v>
      </c>
      <c r="I27" s="764" t="str">
        <f aca="false">IF('rotation(7FA)'!H8=0," ",$B27*'rotation(7FA)'!H8)</f>
        <v> </v>
      </c>
      <c r="J27" s="764" t="n">
        <f aca="false">IF('rotation(7FA)'!I8=0," ",$B27*'rotation(7FA)'!I8)</f>
        <v>108.508</v>
      </c>
      <c r="K27" s="764" t="n">
        <f aca="false">IF('rotation(7FA)'!J8=0," ",$B27*'rotation(7FA)'!J8)</f>
        <v>108.508</v>
      </c>
      <c r="L27" s="764" t="str">
        <f aca="false">IF('rotation(7FA)'!K8=0," ",$B27*'rotation(7FA)'!K8)</f>
        <v> </v>
      </c>
      <c r="M27" s="764" t="n">
        <f aca="false">IF('rotation(7FA)'!L8=0," ",$B27*'rotation(7FA)'!L8)</f>
        <v>108.508</v>
      </c>
      <c r="N27" s="764" t="n">
        <f aca="false">IF('rotation(7FA)'!M8=0," ",$B27*'rotation(7FA)'!M8)</f>
        <v>108.508</v>
      </c>
      <c r="O27" s="764" t="str">
        <f aca="false">IF('rotation(7FA)'!N8=0," ",$B27*'rotation(7FA)'!N8)</f>
        <v> </v>
      </c>
      <c r="P27" s="764" t="n">
        <f aca="false">IF('rotation(7FA)'!O8=0," ",$B27*'rotation(7FA)'!O8)</f>
        <v>108.508</v>
      </c>
      <c r="Q27" s="764" t="n">
        <f aca="false">IF('rotation(7FA)'!P8=0," ",$B27*'rotation(7FA)'!P8)</f>
        <v>108.508</v>
      </c>
      <c r="R27" s="764" t="str">
        <f aca="false">IF('rotation(7FA)'!Q8=0," ",$B27*'rotation(7FA)'!Q8)</f>
        <v> </v>
      </c>
      <c r="S27" s="764" t="n">
        <f aca="false">IF('rotation(7FA)'!R8=0," ",$B27*'rotation(7FA)'!R8)</f>
        <v>108.508</v>
      </c>
      <c r="T27" s="764" t="n">
        <f aca="false">IF('rotation(7FA)'!S8=0," ",$B27*'rotation(7FA)'!S8)</f>
        <v>108.508</v>
      </c>
      <c r="U27" s="764" t="str">
        <f aca="false">IF('rotation(7FA)'!T8=0," ",$B27*'rotation(7FA)'!T8)</f>
        <v> </v>
      </c>
      <c r="V27" s="764" t="n">
        <f aca="false">IF('rotation(7FA)'!U8=0," ",$B27*'rotation(7FA)'!U8)</f>
        <v>108.508</v>
      </c>
      <c r="W27" s="764" t="n">
        <f aca="false">IF('rotation(7FA)'!V8=0," ",$B27*'rotation(7FA)'!V8)</f>
        <v>108.508</v>
      </c>
      <c r="X27" s="666" t="n">
        <f aca="false">SUM(D27:W27)</f>
        <v>1519.112</v>
      </c>
    </row>
    <row r="28" customFormat="false" ht="12.75" hidden="false" customHeight="false" outlineLevel="0" collapsed="false">
      <c r="A28" s="759" t="s">
        <v>1363</v>
      </c>
      <c r="B28" s="763" t="n">
        <f aca="false">'GTDB(7FA)'!D13</f>
        <v>62.032</v>
      </c>
      <c r="C28" s="763"/>
      <c r="D28" s="764" t="str">
        <f aca="false">IF('rotation(7FA)'!C9=0," ",$B28*'rotation(7FA)'!C9)</f>
        <v> </v>
      </c>
      <c r="E28" s="764" t="str">
        <f aca="false">IF('rotation(7FA)'!D9=0," ",$B28*'rotation(7FA)'!D9)</f>
        <v> </v>
      </c>
      <c r="F28" s="764" t="n">
        <f aca="false">IF('rotation(7FA)'!E9=0," ",$B28*'rotation(7FA)'!E9)</f>
        <v>124.064</v>
      </c>
      <c r="G28" s="764" t="str">
        <f aca="false">IF('rotation(7FA)'!F9=0," ",$B28*'rotation(7FA)'!F9)</f>
        <v> </v>
      </c>
      <c r="H28" s="764" t="str">
        <f aca="false">IF('rotation(7FA)'!G9=0," ",$B28*'rotation(7FA)'!G9)</f>
        <v> </v>
      </c>
      <c r="I28" s="764" t="str">
        <f aca="false">IF('rotation(7FA)'!H9=0," ",$B28*'rotation(7FA)'!H9)</f>
        <v> </v>
      </c>
      <c r="J28" s="764" t="str">
        <f aca="false">IF('rotation(7FA)'!I9=0," ",$B28*'rotation(7FA)'!I9)</f>
        <v> </v>
      </c>
      <c r="K28" s="764" t="str">
        <f aca="false">IF('rotation(7FA)'!J9=0," ",$B28*'rotation(7FA)'!J9)</f>
        <v> </v>
      </c>
      <c r="L28" s="764" t="n">
        <f aca="false">IF('rotation(7FA)'!K9=0," ",$B28*'rotation(7FA)'!K9)</f>
        <v>124.064</v>
      </c>
      <c r="M28" s="764" t="str">
        <f aca="false">IF('rotation(7FA)'!L9=0," ",$B28*'rotation(7FA)'!L9)</f>
        <v> </v>
      </c>
      <c r="N28" s="764" t="str">
        <f aca="false">IF('rotation(7FA)'!M9=0," ",$B28*'rotation(7FA)'!M9)</f>
        <v> </v>
      </c>
      <c r="O28" s="764" t="str">
        <f aca="false">IF('rotation(7FA)'!N9=0," ",$B28*'rotation(7FA)'!N9)</f>
        <v> </v>
      </c>
      <c r="P28" s="764" t="str">
        <f aca="false">IF('rotation(7FA)'!O9=0," ",$B28*'rotation(7FA)'!O9)</f>
        <v> </v>
      </c>
      <c r="Q28" s="764" t="str">
        <f aca="false">IF('rotation(7FA)'!P9=0," ",$B28*'rotation(7FA)'!P9)</f>
        <v> </v>
      </c>
      <c r="R28" s="764" t="n">
        <f aca="false">IF('rotation(7FA)'!Q9=0," ",$B28*'rotation(7FA)'!Q9)</f>
        <v>124.064</v>
      </c>
      <c r="S28" s="764" t="str">
        <f aca="false">IF('rotation(7FA)'!R9=0," ",$B28*'rotation(7FA)'!R9)</f>
        <v> </v>
      </c>
      <c r="T28" s="764" t="str">
        <f aca="false">IF('rotation(7FA)'!S9=0," ",$B28*'rotation(7FA)'!S9)</f>
        <v> </v>
      </c>
      <c r="U28" s="764" t="str">
        <f aca="false">IF('rotation(7FA)'!T9=0," ",$B28*'rotation(7FA)'!T9)</f>
        <v> </v>
      </c>
      <c r="V28" s="764" t="str">
        <f aca="false">IF('rotation(7FA)'!U9=0," ",$B28*'rotation(7FA)'!U9)</f>
        <v> </v>
      </c>
      <c r="W28" s="764" t="str">
        <f aca="false">IF('rotation(7FA)'!V9=0," ",$B28*'rotation(7FA)'!V9)</f>
        <v> </v>
      </c>
      <c r="X28" s="666" t="n">
        <f aca="false">SUM(D28:W28)</f>
        <v>372.192</v>
      </c>
    </row>
    <row r="29" customFormat="false" ht="12.75" hidden="false" customHeight="false" outlineLevel="0" collapsed="false">
      <c r="A29" s="759" t="s">
        <v>1364</v>
      </c>
      <c r="B29" s="763" t="n">
        <f aca="false">'GTDB(7FA)'!D14</f>
        <v>209.215</v>
      </c>
      <c r="C29" s="763"/>
      <c r="D29" s="764" t="str">
        <f aca="false">IF('rotation(7FA)'!C10=0," ",$B29*'rotation(7FA)'!C10)</f>
        <v> </v>
      </c>
      <c r="E29" s="764" t="str">
        <f aca="false">IF('rotation(7FA)'!D10=0," ",$B29*'rotation(7FA)'!D10)</f>
        <v> </v>
      </c>
      <c r="F29" s="764" t="str">
        <f aca="false">IF('rotation(7FA)'!E10=0," ",$B29*'rotation(7FA)'!E10)</f>
        <v> </v>
      </c>
      <c r="G29" s="764" t="str">
        <f aca="false">IF('rotation(7FA)'!F10=0," ",$B29*'rotation(7FA)'!F10)</f>
        <v> </v>
      </c>
      <c r="H29" s="764" t="str">
        <f aca="false">IF('rotation(7FA)'!G10=0," ",$B29*'rotation(7FA)'!G10)</f>
        <v> </v>
      </c>
      <c r="I29" s="764" t="n">
        <f aca="false">IF('rotation(7FA)'!H10=0," ",$B29*'rotation(7FA)'!H10)</f>
        <v>418.43</v>
      </c>
      <c r="J29" s="764" t="str">
        <f aca="false">IF('rotation(7FA)'!I10=0," ",$B29*'rotation(7FA)'!I10)</f>
        <v> </v>
      </c>
      <c r="K29" s="764" t="str">
        <f aca="false">IF('rotation(7FA)'!J10=0," ",$B29*'rotation(7FA)'!J10)</f>
        <v> </v>
      </c>
      <c r="L29" s="764" t="str">
        <f aca="false">IF('rotation(7FA)'!K10=0," ",$B29*'rotation(7FA)'!K10)</f>
        <v> </v>
      </c>
      <c r="M29" s="764" t="str">
        <f aca="false">IF('rotation(7FA)'!L10=0," ",$B29*'rotation(7FA)'!L10)</f>
        <v> </v>
      </c>
      <c r="N29" s="764" t="str">
        <f aca="false">IF('rotation(7FA)'!M10=0," ",$B29*'rotation(7FA)'!M10)</f>
        <v> </v>
      </c>
      <c r="O29" s="764" t="n">
        <f aca="false">IF('rotation(7FA)'!N10=0," ",$B29*'rotation(7FA)'!N10)</f>
        <v>418.43</v>
      </c>
      <c r="P29" s="764" t="str">
        <f aca="false">IF('rotation(7FA)'!O10=0," ",$B29*'rotation(7FA)'!O10)</f>
        <v> </v>
      </c>
      <c r="Q29" s="764" t="str">
        <f aca="false">IF('rotation(7FA)'!P10=0," ",$B29*'rotation(7FA)'!P10)</f>
        <v> </v>
      </c>
      <c r="R29" s="764" t="str">
        <f aca="false">IF('rotation(7FA)'!Q10=0," ",$B29*'rotation(7FA)'!Q10)</f>
        <v> </v>
      </c>
      <c r="S29" s="764" t="str">
        <f aca="false">IF('rotation(7FA)'!R10=0," ",$B29*'rotation(7FA)'!R10)</f>
        <v> </v>
      </c>
      <c r="T29" s="764" t="str">
        <f aca="false">IF('rotation(7FA)'!S10=0," ",$B29*'rotation(7FA)'!S10)</f>
        <v> </v>
      </c>
      <c r="U29" s="764" t="n">
        <f aca="false">IF('rotation(7FA)'!T10=0," ",$B29*'rotation(7FA)'!T10)</f>
        <v>418.43</v>
      </c>
      <c r="V29" s="764" t="str">
        <f aca="false">IF('rotation(7FA)'!U10=0," ",$B29*'rotation(7FA)'!U10)</f>
        <v> </v>
      </c>
      <c r="W29" s="764" t="str">
        <f aca="false">IF('rotation(7FA)'!V10=0," ",$B29*'rotation(7FA)'!V10)</f>
        <v> </v>
      </c>
      <c r="X29" s="666" t="n">
        <f aca="false">SUM(D29:W29)</f>
        <v>1255.29</v>
      </c>
    </row>
    <row r="30" customFormat="false" ht="15.75" hidden="false" customHeight="true" outlineLevel="0" collapsed="false">
      <c r="A30" s="756" t="s">
        <v>1365</v>
      </c>
      <c r="B30" s="666"/>
      <c r="C30" s="666" t="n">
        <f aca="false">SUM(C14:C29)</f>
        <v>8658.169</v>
      </c>
      <c r="D30" s="666" t="n">
        <f aca="false">SUM(D14:D29)</f>
        <v>108.508</v>
      </c>
      <c r="E30" s="666" t="n">
        <f aca="false">SUM(E14:E29)</f>
        <v>108.508</v>
      </c>
      <c r="F30" s="666" t="n">
        <f aca="false">SUM(F14:F29)</f>
        <v>10563.065</v>
      </c>
      <c r="G30" s="666" t="n">
        <f aca="false">SUM(G14:G29)</f>
        <v>2703.354</v>
      </c>
      <c r="H30" s="666" t="n">
        <f aca="false">SUM(H14:H29)</f>
        <v>1405.931</v>
      </c>
      <c r="I30" s="666" t="n">
        <f aca="false">SUM(I14:I29)</f>
        <v>8549.023</v>
      </c>
      <c r="J30" s="666" t="n">
        <f aca="false">SUM(J14:J29)</f>
        <v>3747.282</v>
      </c>
      <c r="K30" s="666" t="n">
        <f aca="false">SUM(K14:K29)</f>
        <v>3225.318</v>
      </c>
      <c r="L30" s="666" t="n">
        <f aca="false">SUM(L14:L29)</f>
        <v>14476.536</v>
      </c>
      <c r="M30" s="666" t="n">
        <f aca="false">SUM(M14:M29)</f>
        <v>108.508</v>
      </c>
      <c r="N30" s="666" t="n">
        <f aca="false">SUM(N14:N29)</f>
        <v>108.508</v>
      </c>
      <c r="O30" s="666" t="n">
        <f aca="false">SUM(O14:O29)</f>
        <v>20621.524</v>
      </c>
      <c r="P30" s="666" t="n">
        <f aca="false">SUM(P14:P29)</f>
        <v>2703.354</v>
      </c>
      <c r="Q30" s="666" t="n">
        <f aca="false">SUM(Q14:Q29)</f>
        <v>3225.318</v>
      </c>
      <c r="R30" s="666" t="n">
        <f aca="false">SUM(R14:R29)</f>
        <v>19743.198</v>
      </c>
      <c r="S30" s="666" t="n">
        <f aca="false">SUM(S14:S29)</f>
        <v>108.508</v>
      </c>
      <c r="T30" s="666" t="n">
        <f aca="false">SUM(T14:T29)</f>
        <v>1405.931</v>
      </c>
      <c r="U30" s="666" t="n">
        <f aca="false">SUM(U14:U29)</f>
        <v>14770.902</v>
      </c>
      <c r="V30" s="666" t="n">
        <f aca="false">SUM(V14:V29)</f>
        <v>108.508</v>
      </c>
      <c r="W30" s="666" t="n">
        <f aca="false">SUM(W14:W29)</f>
        <v>108.508</v>
      </c>
      <c r="X30" s="666" t="n">
        <f aca="false">SUM(D30:W30)</f>
        <v>107900.292</v>
      </c>
    </row>
    <row r="31" customFormat="false" ht="16.5" hidden="false" customHeight="true" outlineLevel="0" collapsed="false">
      <c r="A31" s="756" t="s">
        <v>1366</v>
      </c>
      <c r="B31" s="765" t="n">
        <v>0.1</v>
      </c>
      <c r="C31" s="666" t="n">
        <f aca="false">C30*(1-$B31)</f>
        <v>7792.3521</v>
      </c>
      <c r="D31" s="666" t="n">
        <f aca="false">D30*(1-$B31)</f>
        <v>97.6572</v>
      </c>
      <c r="E31" s="666" t="n">
        <f aca="false">E30*(1-$B31)</f>
        <v>97.6572</v>
      </c>
      <c r="F31" s="666" t="n">
        <f aca="false">F30*(1-$B31)</f>
        <v>9506.7585</v>
      </c>
      <c r="G31" s="666" t="n">
        <f aca="false">G30*(1-$B31)</f>
        <v>2433.0186</v>
      </c>
      <c r="H31" s="666" t="n">
        <f aca="false">H30*(1-$B31)</f>
        <v>1265.3379</v>
      </c>
      <c r="I31" s="666" t="n">
        <f aca="false">I30*(1-$B31)</f>
        <v>7694.1207</v>
      </c>
      <c r="J31" s="666" t="n">
        <f aca="false">J30*(1-$B31)</f>
        <v>3372.5538</v>
      </c>
      <c r="K31" s="666" t="n">
        <f aca="false">K30*(1-$B31)</f>
        <v>2902.7862</v>
      </c>
      <c r="L31" s="666" t="n">
        <f aca="false">L30*(1-$B31)</f>
        <v>13028.8824</v>
      </c>
      <c r="M31" s="666" t="n">
        <f aca="false">M30*(1-$B31)</f>
        <v>97.6572</v>
      </c>
      <c r="N31" s="666" t="n">
        <f aca="false">N30*(1-$B31)</f>
        <v>97.6572</v>
      </c>
      <c r="O31" s="666" t="n">
        <f aca="false">O30*(1-$B31)</f>
        <v>18559.3716</v>
      </c>
      <c r="P31" s="666" t="n">
        <f aca="false">P30*(1-$B31)</f>
        <v>2433.0186</v>
      </c>
      <c r="Q31" s="666" t="n">
        <f aca="false">Q30*(1-$B31)</f>
        <v>2902.7862</v>
      </c>
      <c r="R31" s="666" t="n">
        <f aca="false">R30*(1-$B31)</f>
        <v>17768.8782</v>
      </c>
      <c r="S31" s="666" t="n">
        <f aca="false">S30*(1-$B31)</f>
        <v>97.6572</v>
      </c>
      <c r="T31" s="666" t="n">
        <f aca="false">T30*(1-$B31)</f>
        <v>1265.3379</v>
      </c>
      <c r="U31" s="666" t="n">
        <f aca="false">U30*(1-$B31)</f>
        <v>13293.8118</v>
      </c>
      <c r="V31" s="666" t="n">
        <f aca="false">V30*(1-$B31)</f>
        <v>97.6572</v>
      </c>
      <c r="W31" s="666" t="n">
        <f aca="false">W30*(1-$B31)</f>
        <v>97.6572</v>
      </c>
      <c r="X31" s="666" t="n">
        <f aca="false">SUM(D31:W31)</f>
        <v>97110.2628</v>
      </c>
    </row>
    <row r="32" customFormat="false" ht="12.75" hidden="false" customHeight="true" outlineLevel="0" collapsed="false">
      <c r="A32" s="756" t="s">
        <v>1367</v>
      </c>
      <c r="B32" s="765" t="n">
        <v>0.03</v>
      </c>
      <c r="C32" s="666" t="n">
        <f aca="false">C31*(1+$B32)</f>
        <v>8026.122663</v>
      </c>
      <c r="D32" s="666" t="n">
        <f aca="false">D31*(1+$B32)</f>
        <v>100.586916</v>
      </c>
      <c r="E32" s="666" t="n">
        <f aca="false">E31*(1+$B32)</f>
        <v>100.586916</v>
      </c>
      <c r="F32" s="666" t="n">
        <f aca="false">F31*(1+$B32)</f>
        <v>9791.961255</v>
      </c>
      <c r="G32" s="666" t="n">
        <f aca="false">G31*(1+$B32)</f>
        <v>2506.009158</v>
      </c>
      <c r="H32" s="666" t="n">
        <f aca="false">H31*(1+$B32)</f>
        <v>1303.298037</v>
      </c>
      <c r="I32" s="666" t="n">
        <f aca="false">I31*(1+$B32)</f>
        <v>7924.944321</v>
      </c>
      <c r="J32" s="666" t="n">
        <f aca="false">J31*(1+$B32)</f>
        <v>3473.730414</v>
      </c>
      <c r="K32" s="666" t="n">
        <f aca="false">K31*(1+$B32)</f>
        <v>2989.869786</v>
      </c>
      <c r="L32" s="666" t="n">
        <f aca="false">L31*(1+$B32)</f>
        <v>13419.748872</v>
      </c>
      <c r="M32" s="666" t="n">
        <f aca="false">M31*(1+$B32)</f>
        <v>100.586916</v>
      </c>
      <c r="N32" s="666" t="n">
        <f aca="false">N31*(1+$B32)</f>
        <v>100.586916</v>
      </c>
      <c r="O32" s="666" t="n">
        <f aca="false">O31*(1+$B32)</f>
        <v>19116.152748</v>
      </c>
      <c r="P32" s="666" t="n">
        <f aca="false">P31*(1+$B32)</f>
        <v>2506.009158</v>
      </c>
      <c r="Q32" s="666" t="n">
        <f aca="false">Q31*(1+$B32)</f>
        <v>2989.869786</v>
      </c>
      <c r="R32" s="666" t="n">
        <f aca="false">R31*(1+$B32)</f>
        <v>18301.944546</v>
      </c>
      <c r="S32" s="666" t="n">
        <f aca="false">S31*(1+$B32)</f>
        <v>100.586916</v>
      </c>
      <c r="T32" s="666" t="n">
        <f aca="false">T31*(1+$B32)</f>
        <v>1303.298037</v>
      </c>
      <c r="U32" s="666" t="n">
        <f aca="false">U31*(1+$B32)</f>
        <v>13692.626154</v>
      </c>
      <c r="V32" s="666" t="n">
        <f aca="false">V31*(1+$B32)</f>
        <v>100.586916</v>
      </c>
      <c r="W32" s="666" t="n">
        <f aca="false">W31*(1+$B32)</f>
        <v>100.586916</v>
      </c>
      <c r="X32" s="766" t="n">
        <f aca="false">SUM(D32:W32)</f>
        <v>100023.570684</v>
      </c>
    </row>
    <row r="33" customFormat="false" ht="12.75" hidden="false" customHeight="false" outlineLevel="0" collapsed="false">
      <c r="B33" s="666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</row>
    <row r="34" customFormat="false" ht="12.75" hidden="false" customHeight="false" outlineLevel="0" collapsed="false">
      <c r="B34" s="666"/>
      <c r="C34" s="666"/>
      <c r="D34" s="666"/>
      <c r="E34" s="666"/>
      <c r="F34" s="666"/>
      <c r="G34" s="666"/>
      <c r="H34" s="666"/>
      <c r="I34" s="666"/>
      <c r="J34" s="666"/>
      <c r="K34" s="666"/>
      <c r="L34" s="666"/>
      <c r="M34" s="666"/>
      <c r="N34" s="666"/>
      <c r="O34" s="666"/>
      <c r="P34" s="666"/>
      <c r="Q34" s="666"/>
      <c r="R34" s="666"/>
      <c r="S34" s="666"/>
      <c r="T34" s="666"/>
      <c r="U34" s="666"/>
      <c r="V34" s="666"/>
      <c r="W34" s="666"/>
      <c r="X34" s="666"/>
    </row>
    <row r="35" customFormat="false" ht="12.75" hidden="false" customHeight="false" outlineLevel="0" collapsed="false">
      <c r="A35" s="767" t="s">
        <v>1368</v>
      </c>
      <c r="B35" s="666"/>
      <c r="C35" s="666"/>
      <c r="D35" s="666" t="n">
        <v>1</v>
      </c>
      <c r="E35" s="666" t="n">
        <v>2</v>
      </c>
      <c r="F35" s="666" t="n">
        <v>3</v>
      </c>
      <c r="G35" s="666" t="n">
        <v>4</v>
      </c>
      <c r="H35" s="666" t="n">
        <v>5</v>
      </c>
      <c r="I35" s="666" t="n">
        <v>6</v>
      </c>
      <c r="J35" s="666" t="n">
        <v>7</v>
      </c>
      <c r="K35" s="666" t="n">
        <v>8</v>
      </c>
      <c r="L35" s="666" t="n">
        <v>9</v>
      </c>
      <c r="M35" s="666" t="n">
        <v>10</v>
      </c>
      <c r="N35" s="666" t="n">
        <v>11</v>
      </c>
      <c r="O35" s="666" t="n">
        <v>12</v>
      </c>
      <c r="P35" s="666" t="n">
        <v>13</v>
      </c>
      <c r="Q35" s="666" t="n">
        <v>14</v>
      </c>
      <c r="R35" s="666" t="n">
        <v>15</v>
      </c>
      <c r="S35" s="666" t="n">
        <v>16</v>
      </c>
      <c r="T35" s="666" t="n">
        <v>17</v>
      </c>
      <c r="U35" s="666" t="n">
        <v>18</v>
      </c>
      <c r="V35" s="666" t="n">
        <v>19</v>
      </c>
      <c r="W35" s="666" t="n">
        <v>20</v>
      </c>
      <c r="X35" s="666"/>
    </row>
    <row r="36" customFormat="false" ht="12.75" hidden="false" customHeight="false" outlineLevel="0" collapsed="false">
      <c r="A36" s="768" t="s">
        <v>1359</v>
      </c>
      <c r="B36" s="769" t="s">
        <v>1369</v>
      </c>
      <c r="C36" s="764"/>
      <c r="D36" s="764"/>
      <c r="E36" s="764"/>
      <c r="F36" s="764"/>
      <c r="G36" s="764"/>
      <c r="H36" s="764"/>
      <c r="I36" s="764"/>
      <c r="J36" s="764"/>
      <c r="K36" s="764"/>
      <c r="L36" s="764"/>
      <c r="M36" s="764"/>
      <c r="N36" s="764"/>
      <c r="O36" s="764"/>
      <c r="P36" s="764"/>
      <c r="Q36" s="764"/>
      <c r="R36" s="764"/>
      <c r="S36" s="764"/>
      <c r="T36" s="764"/>
      <c r="U36" s="764"/>
      <c r="V36" s="764"/>
      <c r="W36" s="764"/>
      <c r="X36" s="666"/>
    </row>
    <row r="37" customFormat="false" ht="12.75" hidden="false" customHeight="false" outlineLevel="0" collapsed="false">
      <c r="A37" s="770" t="str">
        <f aca="false">'GTDB(7FA)'!A17</f>
        <v>Combustion Liners</v>
      </c>
      <c r="B37" s="763" t="n">
        <f aca="false">'GTDB(7FA)'!D17</f>
        <v>191.58</v>
      </c>
      <c r="C37" s="764" t="n">
        <v>0</v>
      </c>
      <c r="D37" s="764" t="n">
        <f aca="false">IF('rotation(7FA)'!C17=0," ",$B37*'rotation(7FA)'!C17)</f>
        <v>383.16</v>
      </c>
      <c r="E37" s="764" t="n">
        <f aca="false">IF('rotation(7FA)'!D17=0," ",$B37*'rotation(7FA)'!D17)</f>
        <v>383.16</v>
      </c>
      <c r="F37" s="764" t="n">
        <f aca="false">IF('rotation(7FA)'!E17=0," ",$B37*'rotation(7FA)'!E17)</f>
        <v>383.16</v>
      </c>
      <c r="G37" s="764" t="n">
        <f aca="false">IF('rotation(7FA)'!F17=0," ",$B37*'rotation(7FA)'!F17)</f>
        <v>383.16</v>
      </c>
      <c r="H37" s="764" t="n">
        <f aca="false">IF('rotation(7FA)'!G17=0," ",$B37*'rotation(7FA)'!G17)</f>
        <v>383.16</v>
      </c>
      <c r="I37" s="764" t="n">
        <f aca="false">IF('rotation(7FA)'!H17=0," ",$B37*'rotation(7FA)'!H17)</f>
        <v>383.16</v>
      </c>
      <c r="J37" s="764" t="str">
        <f aca="false">IF('rotation(7FA)'!I17=0," ",$B37*'rotation(7FA)'!I17)</f>
        <v> </v>
      </c>
      <c r="K37" s="764" t="n">
        <f aca="false">IF('rotation(7FA)'!J17=0," ",$B37*'rotation(7FA)'!J17)</f>
        <v>191.58</v>
      </c>
      <c r="L37" s="764" t="n">
        <f aca="false">IF('rotation(7FA)'!K17=0," ",$B37*'rotation(7FA)'!K17)</f>
        <v>383.16</v>
      </c>
      <c r="M37" s="764" t="n">
        <f aca="false">IF('rotation(7FA)'!L17=0," ",$B37*'rotation(7FA)'!L17)</f>
        <v>383.16</v>
      </c>
      <c r="N37" s="764" t="n">
        <f aca="false">IF('rotation(7FA)'!M17=0," ",$B37*'rotation(7FA)'!M17)</f>
        <v>383.16</v>
      </c>
      <c r="O37" s="764" t="n">
        <f aca="false">IF('rotation(7FA)'!N17=0," ",$B37*'rotation(7FA)'!N17)</f>
        <v>383.16</v>
      </c>
      <c r="P37" s="764" t="n">
        <f aca="false">IF('rotation(7FA)'!O17=0," ",$B37*'rotation(7FA)'!O17)</f>
        <v>383.16</v>
      </c>
      <c r="Q37" s="764" t="n">
        <f aca="false">IF('rotation(7FA)'!P17=0," ",$B37*'rotation(7FA)'!P17)</f>
        <v>191.58</v>
      </c>
      <c r="R37" s="764" t="str">
        <f aca="false">IF('rotation(7FA)'!Q17=0," ",$B37*'rotation(7FA)'!Q17)</f>
        <v> </v>
      </c>
      <c r="S37" s="764" t="n">
        <f aca="false">IF('rotation(7FA)'!R17=0," ",$B37*'rotation(7FA)'!R17)</f>
        <v>383.16</v>
      </c>
      <c r="T37" s="764" t="n">
        <f aca="false">IF('rotation(7FA)'!S17=0," ",$B37*'rotation(7FA)'!S17)</f>
        <v>383.16</v>
      </c>
      <c r="U37" s="764" t="n">
        <f aca="false">IF('rotation(7FA)'!T17=0," ",$B37*'rotation(7FA)'!T17)</f>
        <v>383.16</v>
      </c>
      <c r="V37" s="764" t="n">
        <f aca="false">IF('rotation(7FA)'!U17=0," ",$B37*'rotation(7FA)'!U17)</f>
        <v>383.16</v>
      </c>
      <c r="W37" s="764" t="n">
        <f aca="false">IF('rotation(7FA)'!V17=0," ",$B37*'rotation(7FA)'!V17)</f>
        <v>383.16</v>
      </c>
      <c r="X37" s="666" t="n">
        <f aca="false">SUM(D37:W37)</f>
        <v>6513.72</v>
      </c>
    </row>
    <row r="38" customFormat="false" ht="12.75" hidden="false" customHeight="false" outlineLevel="0" collapsed="false">
      <c r="A38" s="770" t="str">
        <f aca="false">'GTDB(7FA)'!A18</f>
        <v>Transition Pieces</v>
      </c>
      <c r="B38" s="763" t="n">
        <f aca="false">'GTDB(7FA)'!D18</f>
        <v>196.73</v>
      </c>
      <c r="C38" s="764"/>
      <c r="D38" s="764" t="n">
        <f aca="false">IF('rotation(7FA)'!C21=0," ",$B38*'rotation(7FA)'!C21)</f>
        <v>393.46</v>
      </c>
      <c r="E38" s="764" t="n">
        <f aca="false">IF('rotation(7FA)'!D21=0," ",$B38*'rotation(7FA)'!D21)</f>
        <v>393.46</v>
      </c>
      <c r="F38" s="764" t="n">
        <f aca="false">IF('rotation(7FA)'!E21=0," ",$B38*'rotation(7FA)'!E21)</f>
        <v>393.46</v>
      </c>
      <c r="G38" s="764" t="n">
        <f aca="false">IF('rotation(7FA)'!F21=0," ",$B38*'rotation(7FA)'!F21)</f>
        <v>393.46</v>
      </c>
      <c r="H38" s="764" t="n">
        <f aca="false">IF('rotation(7FA)'!G21=0," ",$B38*'rotation(7FA)'!G21)</f>
        <v>393.46</v>
      </c>
      <c r="I38" s="764" t="n">
        <f aca="false">IF('rotation(7FA)'!H21=0," ",$B38*'rotation(7FA)'!H21)</f>
        <v>393.46</v>
      </c>
      <c r="J38" s="764" t="str">
        <f aca="false">IF('rotation(7FA)'!I21=0," ",$B38*'rotation(7FA)'!I21)</f>
        <v> </v>
      </c>
      <c r="K38" s="764" t="n">
        <f aca="false">IF('rotation(7FA)'!J21=0," ",$B38*'rotation(7FA)'!J21)</f>
        <v>196.73</v>
      </c>
      <c r="L38" s="764" t="n">
        <f aca="false">IF('rotation(7FA)'!K21=0," ",$B38*'rotation(7FA)'!K21)</f>
        <v>393.46</v>
      </c>
      <c r="M38" s="764" t="n">
        <f aca="false">IF('rotation(7FA)'!L21=0," ",$B38*'rotation(7FA)'!L21)</f>
        <v>393.46</v>
      </c>
      <c r="N38" s="764" t="n">
        <f aca="false">IF('rotation(7FA)'!M21=0," ",$B38*'rotation(7FA)'!M21)</f>
        <v>393.46</v>
      </c>
      <c r="O38" s="764" t="n">
        <f aca="false">IF('rotation(7FA)'!N21=0," ",$B38*'rotation(7FA)'!N21)</f>
        <v>393.46</v>
      </c>
      <c r="P38" s="764" t="n">
        <f aca="false">IF('rotation(7FA)'!O21=0," ",$B38*'rotation(7FA)'!O21)</f>
        <v>393.46</v>
      </c>
      <c r="Q38" s="764" t="n">
        <f aca="false">IF('rotation(7FA)'!P21=0," ",$B38*'rotation(7FA)'!P21)</f>
        <v>196.73</v>
      </c>
      <c r="R38" s="764" t="str">
        <f aca="false">IF('rotation(7FA)'!Q21=0," ",$B38*'rotation(7FA)'!Q21)</f>
        <v> </v>
      </c>
      <c r="S38" s="764" t="n">
        <f aca="false">IF('rotation(7FA)'!R21=0," ",$B38*'rotation(7FA)'!R21)</f>
        <v>393.46</v>
      </c>
      <c r="T38" s="764" t="n">
        <f aca="false">IF('rotation(7FA)'!S21=0," ",$B38*'rotation(7FA)'!S21)</f>
        <v>393.46</v>
      </c>
      <c r="U38" s="764" t="n">
        <f aca="false">IF('rotation(7FA)'!T21=0," ",$B38*'rotation(7FA)'!T21)</f>
        <v>393.46</v>
      </c>
      <c r="V38" s="764" t="n">
        <f aca="false">IF('rotation(7FA)'!U21=0," ",$B38*'rotation(7FA)'!U21)</f>
        <v>393.46</v>
      </c>
      <c r="W38" s="764" t="n">
        <f aca="false">IF('rotation(7FA)'!V21=0," ",$B38*'rotation(7FA)'!V21)</f>
        <v>393.46</v>
      </c>
      <c r="X38" s="666" t="n">
        <f aca="false">SUM(D38:W38)</f>
        <v>6688.82</v>
      </c>
    </row>
    <row r="39" customFormat="false" ht="12.75" hidden="false" customHeight="false" outlineLevel="0" collapsed="false">
      <c r="A39" s="770" t="str">
        <f aca="false">'GTDB(7FA)'!A19</f>
        <v>Fuel Nozzles</v>
      </c>
      <c r="B39" s="763" t="n">
        <f aca="false">'GTDB(7FA)'!D19</f>
        <v>73.13</v>
      </c>
      <c r="C39" s="764"/>
      <c r="D39" s="764" t="n">
        <f aca="false">IF('rotation(7FA)'!C29=0," ",$B39*'rotation(7FA)'!C29)</f>
        <v>146.26</v>
      </c>
      <c r="E39" s="764" t="n">
        <f aca="false">IF('rotation(7FA)'!D29=0," ",$B39*'rotation(7FA)'!D29)</f>
        <v>146.26</v>
      </c>
      <c r="F39" s="764" t="n">
        <f aca="false">IF('rotation(7FA)'!E29=0," ",$B39*'rotation(7FA)'!E29)</f>
        <v>146.26</v>
      </c>
      <c r="G39" s="764" t="str">
        <f aca="false">IF('rotation(7FA)'!F29=0," ",$B39*'rotation(7FA)'!F29)</f>
        <v> </v>
      </c>
      <c r="H39" s="764" t="n">
        <f aca="false">IF('rotation(7FA)'!G29=0," ",$B39*'rotation(7FA)'!G29)</f>
        <v>73.13</v>
      </c>
      <c r="I39" s="764" t="n">
        <f aca="false">IF('rotation(7FA)'!H29=0," ",$B39*'rotation(7FA)'!H29)</f>
        <v>146.26</v>
      </c>
      <c r="J39" s="764" t="n">
        <f aca="false">IF('rotation(7FA)'!I29=0," ",$B39*'rotation(7FA)'!I29)</f>
        <v>146.26</v>
      </c>
      <c r="K39" s="764" t="n">
        <f aca="false">IF('rotation(7FA)'!J29=0," ",$B39*'rotation(7FA)'!J29)</f>
        <v>73.13</v>
      </c>
      <c r="L39" s="764" t="str">
        <f aca="false">IF('rotation(7FA)'!K29=0," ",$B39*'rotation(7FA)'!K29)</f>
        <v> </v>
      </c>
      <c r="M39" s="764" t="n">
        <f aca="false">IF('rotation(7FA)'!L29=0," ",$B39*'rotation(7FA)'!L29)</f>
        <v>146.26</v>
      </c>
      <c r="N39" s="764" t="n">
        <f aca="false">IF('rotation(7FA)'!M29=0," ",$B39*'rotation(7FA)'!M29)</f>
        <v>146.26</v>
      </c>
      <c r="O39" s="764" t="n">
        <f aca="false">IF('rotation(7FA)'!N29=0," ",$B39*'rotation(7FA)'!N29)</f>
        <v>146.26</v>
      </c>
      <c r="P39" s="764" t="str">
        <f aca="false">IF('rotation(7FA)'!O29=0," ",$B39*'rotation(7FA)'!O29)</f>
        <v> </v>
      </c>
      <c r="Q39" s="764" t="n">
        <f aca="false">IF('rotation(7FA)'!P29=0," ",$B39*'rotation(7FA)'!P29)</f>
        <v>73.13</v>
      </c>
      <c r="R39" s="764" t="n">
        <f aca="false">IF('rotation(7FA)'!Q29=0," ",$B39*'rotation(7FA)'!Q29)</f>
        <v>146.26</v>
      </c>
      <c r="S39" s="764" t="n">
        <f aca="false">IF('rotation(7FA)'!R29=0," ",$B39*'rotation(7FA)'!R29)</f>
        <v>146.26</v>
      </c>
      <c r="T39" s="764" t="n">
        <f aca="false">IF('rotation(7FA)'!S29=0," ",$B39*'rotation(7FA)'!S29)</f>
        <v>73.13</v>
      </c>
      <c r="U39" s="764" t="str">
        <f aca="false">IF('rotation(7FA)'!T29=0," ",$B39*'rotation(7FA)'!T29)</f>
        <v> </v>
      </c>
      <c r="V39" s="764" t="n">
        <f aca="false">IF('rotation(7FA)'!U29=0," ",$B39*'rotation(7FA)'!U29)</f>
        <v>146.26</v>
      </c>
      <c r="W39" s="764" t="n">
        <f aca="false">IF('rotation(7FA)'!V29=0," ",$B39*'rotation(7FA)'!V29)</f>
        <v>146.26</v>
      </c>
      <c r="X39" s="666" t="n">
        <f aca="false">SUM(D39:W39)</f>
        <v>2047.64</v>
      </c>
    </row>
    <row r="40" customFormat="false" ht="12.75" hidden="false" customHeight="false" outlineLevel="0" collapsed="false">
      <c r="A40" s="770" t="str">
        <f aca="false">'GTDB(7FA)'!A20</f>
        <v>Stage 1 Nozzles</v>
      </c>
      <c r="B40" s="763" t="n">
        <f aca="false">'GTDB(7FA)'!D20</f>
        <v>400.67</v>
      </c>
      <c r="C40" s="764"/>
      <c r="D40" s="764" t="str">
        <f aca="false">IF('rotation(7FA)'!C33=0," ",$B40*'rotation(7FA)'!C33)</f>
        <v> </v>
      </c>
      <c r="E40" s="764" t="str">
        <f aca="false">IF('rotation(7FA)'!D33=0," ",$B40*'rotation(7FA)'!D33)</f>
        <v> </v>
      </c>
      <c r="F40" s="764" t="n">
        <f aca="false">IF('rotation(7FA)'!E33=0," ",$B40*'rotation(7FA)'!E33)</f>
        <v>801.34</v>
      </c>
      <c r="G40" s="764" t="str">
        <f aca="false">IF('rotation(7FA)'!F33=0," ",$B40*'rotation(7FA)'!F33)</f>
        <v> </v>
      </c>
      <c r="H40" s="764" t="str">
        <f aca="false">IF('rotation(7FA)'!G33=0," ",$B40*'rotation(7FA)'!G33)</f>
        <v> </v>
      </c>
      <c r="I40" s="764" t="n">
        <f aca="false">IF('rotation(7FA)'!H33=0," ",$B40*'rotation(7FA)'!H33)</f>
        <v>400.67</v>
      </c>
      <c r="J40" s="764" t="str">
        <f aca="false">IF('rotation(7FA)'!I33=0," ",$B40*'rotation(7FA)'!I33)</f>
        <v> </v>
      </c>
      <c r="K40" s="764" t="str">
        <f aca="false">IF('rotation(7FA)'!J33=0," ",$B40*'rotation(7FA)'!J33)</f>
        <v> </v>
      </c>
      <c r="L40" s="764" t="str">
        <f aca="false">IF('rotation(7FA)'!K33=0," ",$B40*'rotation(7FA)'!K33)</f>
        <v> </v>
      </c>
      <c r="M40" s="764" t="str">
        <f aca="false">IF('rotation(7FA)'!L33=0," ",$B40*'rotation(7FA)'!L33)</f>
        <v> </v>
      </c>
      <c r="N40" s="764" t="str">
        <f aca="false">IF('rotation(7FA)'!M33=0," ",$B40*'rotation(7FA)'!M33)</f>
        <v> </v>
      </c>
      <c r="O40" s="764" t="n">
        <f aca="false">IF('rotation(7FA)'!N33=0," ",$B40*'rotation(7FA)'!N33)</f>
        <v>801.34</v>
      </c>
      <c r="P40" s="764" t="str">
        <f aca="false">IF('rotation(7FA)'!O33=0," ",$B40*'rotation(7FA)'!O33)</f>
        <v> </v>
      </c>
      <c r="Q40" s="764" t="str">
        <f aca="false">IF('rotation(7FA)'!P33=0," ",$B40*'rotation(7FA)'!P33)</f>
        <v> </v>
      </c>
      <c r="R40" s="764" t="n">
        <f aca="false">IF('rotation(7FA)'!Q33=0," ",$B40*'rotation(7FA)'!Q33)</f>
        <v>400.67</v>
      </c>
      <c r="S40" s="764" t="str">
        <f aca="false">IF('rotation(7FA)'!R33=0," ",$B40*'rotation(7FA)'!R33)</f>
        <v> </v>
      </c>
      <c r="T40" s="764" t="str">
        <f aca="false">IF('rotation(7FA)'!S33=0," ",$B40*'rotation(7FA)'!S33)</f>
        <v> </v>
      </c>
      <c r="U40" s="764" t="str">
        <f aca="false">IF('rotation(7FA)'!T33=0," ",$B40*'rotation(7FA)'!T33)</f>
        <v> </v>
      </c>
      <c r="V40" s="764" t="str">
        <f aca="false">IF('rotation(7FA)'!U33=0," ",$B40*'rotation(7FA)'!U33)</f>
        <v> </v>
      </c>
      <c r="W40" s="764" t="str">
        <f aca="false">IF('rotation(7FA)'!V33=0," ",$B40*'rotation(7FA)'!V33)</f>
        <v> </v>
      </c>
      <c r="X40" s="666" t="n">
        <f aca="false">SUM(D40:W40)</f>
        <v>2404.02</v>
      </c>
    </row>
    <row r="41" customFormat="false" ht="12.75" hidden="false" customHeight="false" outlineLevel="0" collapsed="false">
      <c r="A41" s="770" t="str">
        <f aca="false">'GTDB(7FA)'!A21</f>
        <v>Stage 2 Nozzles</v>
      </c>
      <c r="B41" s="763" t="n">
        <f aca="false">'GTDB(7FA)'!D21</f>
        <v>306.94</v>
      </c>
      <c r="C41" s="764"/>
      <c r="D41" s="764" t="str">
        <f aca="false">IF('rotation(7FA)'!C37=0," ",$B41*'rotation(7FA)'!C37)</f>
        <v> </v>
      </c>
      <c r="E41" s="764" t="str">
        <f aca="false">IF('rotation(7FA)'!D37=0," ",$B41*'rotation(7FA)'!D37)</f>
        <v> </v>
      </c>
      <c r="F41" s="764" t="n">
        <f aca="false">IF('rotation(7FA)'!E37=0," ",$B41*'rotation(7FA)'!E37)</f>
        <v>613.88</v>
      </c>
      <c r="G41" s="764" t="str">
        <f aca="false">IF('rotation(7FA)'!F37=0," ",$B41*'rotation(7FA)'!F37)</f>
        <v> </v>
      </c>
      <c r="H41" s="764" t="str">
        <f aca="false">IF('rotation(7FA)'!G37=0," ",$B41*'rotation(7FA)'!G37)</f>
        <v> </v>
      </c>
      <c r="I41" s="764" t="n">
        <f aca="false">IF('rotation(7FA)'!H37=0," ",$B41*'rotation(7FA)'!H37)</f>
        <v>613.88</v>
      </c>
      <c r="J41" s="764" t="str">
        <f aca="false">IF('rotation(7FA)'!I37=0," ",$B41*'rotation(7FA)'!I37)</f>
        <v> </v>
      </c>
      <c r="K41" s="764" t="str">
        <f aca="false">IF('rotation(7FA)'!J37=0," ",$B41*'rotation(7FA)'!J37)</f>
        <v> </v>
      </c>
      <c r="L41" s="764" t="n">
        <f aca="false">IF('rotation(7FA)'!K37=0," ",$B41*'rotation(7FA)'!K37)</f>
        <v>613.88</v>
      </c>
      <c r="M41" s="764" t="str">
        <f aca="false">IF('rotation(7FA)'!L37=0," ",$B41*'rotation(7FA)'!L37)</f>
        <v> </v>
      </c>
      <c r="N41" s="764" t="str">
        <f aca="false">IF('rotation(7FA)'!M37=0," ",$B41*'rotation(7FA)'!M37)</f>
        <v> </v>
      </c>
      <c r="O41" s="764" t="str">
        <f aca="false">IF('rotation(7FA)'!N37=0," ",$B41*'rotation(7FA)'!N37)</f>
        <v> </v>
      </c>
      <c r="P41" s="764" t="str">
        <f aca="false">IF('rotation(7FA)'!O37=0," ",$B41*'rotation(7FA)'!O37)</f>
        <v> </v>
      </c>
      <c r="Q41" s="764" t="str">
        <f aca="false">IF('rotation(7FA)'!P37=0," ",$B41*'rotation(7FA)'!P37)</f>
        <v> </v>
      </c>
      <c r="R41" s="764" t="n">
        <f aca="false">IF('rotation(7FA)'!Q37=0," ",$B41*'rotation(7FA)'!Q37)</f>
        <v>306.94</v>
      </c>
      <c r="S41" s="764" t="str">
        <f aca="false">IF('rotation(7FA)'!R37=0," ",$B41*'rotation(7FA)'!R37)</f>
        <v> </v>
      </c>
      <c r="T41" s="764" t="str">
        <f aca="false">IF('rotation(7FA)'!S37=0," ",$B41*'rotation(7FA)'!S37)</f>
        <v> </v>
      </c>
      <c r="U41" s="764" t="n">
        <f aca="false">IF('rotation(7FA)'!T37=0," ",$B41*'rotation(7FA)'!T37)</f>
        <v>613.88</v>
      </c>
      <c r="V41" s="764" t="str">
        <f aca="false">IF('rotation(7FA)'!U37=0," ",$B41*'rotation(7FA)'!U37)</f>
        <v> </v>
      </c>
      <c r="W41" s="764" t="str">
        <f aca="false">IF('rotation(7FA)'!V37=0," ",$B41*'rotation(7FA)'!V37)</f>
        <v> </v>
      </c>
      <c r="X41" s="666" t="n">
        <f aca="false">SUM(D41:W41)</f>
        <v>2762.46</v>
      </c>
    </row>
    <row r="42" customFormat="false" ht="12.75" hidden="false" customHeight="false" outlineLevel="0" collapsed="false">
      <c r="A42" s="770" t="str">
        <f aca="false">'GTDB(7FA)'!A22</f>
        <v>Stage 3 Nozzles</v>
      </c>
      <c r="B42" s="763" t="n">
        <f aca="false">'GTDB(7FA)'!D22</f>
        <v>144.2</v>
      </c>
      <c r="C42" s="764"/>
      <c r="D42" s="764" t="str">
        <f aca="false">IF('rotation(7FA)'!C41=0," ",$B42*'rotation(7FA)'!C41)</f>
        <v> </v>
      </c>
      <c r="E42" s="764" t="str">
        <f aca="false">IF('rotation(7FA)'!D41=0," ",$B42*'rotation(7FA)'!D41)</f>
        <v> </v>
      </c>
      <c r="F42" s="764" t="n">
        <f aca="false">IF('rotation(7FA)'!E41=0," ",$B42*'rotation(7FA)'!E41)</f>
        <v>288.4</v>
      </c>
      <c r="G42" s="764" t="str">
        <f aca="false">IF('rotation(7FA)'!F41=0," ",$B42*'rotation(7FA)'!F41)</f>
        <v> </v>
      </c>
      <c r="H42" s="764" t="str">
        <f aca="false">IF('rotation(7FA)'!G41=0," ",$B42*'rotation(7FA)'!G41)</f>
        <v> </v>
      </c>
      <c r="I42" s="764" t="n">
        <f aca="false">IF('rotation(7FA)'!H41=0," ",$B42*'rotation(7FA)'!H41)</f>
        <v>288.4</v>
      </c>
      <c r="J42" s="764" t="str">
        <f aca="false">IF('rotation(7FA)'!I41=0," ",$B42*'rotation(7FA)'!I41)</f>
        <v> </v>
      </c>
      <c r="K42" s="764" t="str">
        <f aca="false">IF('rotation(7FA)'!J41=0," ",$B42*'rotation(7FA)'!J41)</f>
        <v> </v>
      </c>
      <c r="L42" s="764" t="n">
        <f aca="false">IF('rotation(7FA)'!K41=0," ",$B42*'rotation(7FA)'!K41)</f>
        <v>288.4</v>
      </c>
      <c r="M42" s="764" t="str">
        <f aca="false">IF('rotation(7FA)'!L41=0," ",$B42*'rotation(7FA)'!L41)</f>
        <v> </v>
      </c>
      <c r="N42" s="764" t="str">
        <f aca="false">IF('rotation(7FA)'!M41=0," ",$B42*'rotation(7FA)'!M41)</f>
        <v> </v>
      </c>
      <c r="O42" s="764" t="str">
        <f aca="false">IF('rotation(7FA)'!N41=0," ",$B42*'rotation(7FA)'!N41)</f>
        <v> </v>
      </c>
      <c r="P42" s="764" t="str">
        <f aca="false">IF('rotation(7FA)'!O41=0," ",$B42*'rotation(7FA)'!O41)</f>
        <v> </v>
      </c>
      <c r="Q42" s="764" t="str">
        <f aca="false">IF('rotation(7FA)'!P41=0," ",$B42*'rotation(7FA)'!P41)</f>
        <v> </v>
      </c>
      <c r="R42" s="764" t="n">
        <f aca="false">IF('rotation(7FA)'!Q41=0," ",$B42*'rotation(7FA)'!Q41)</f>
        <v>144.2</v>
      </c>
      <c r="S42" s="764" t="str">
        <f aca="false">IF('rotation(7FA)'!R41=0," ",$B42*'rotation(7FA)'!R41)</f>
        <v> </v>
      </c>
      <c r="T42" s="764" t="str">
        <f aca="false">IF('rotation(7FA)'!S41=0," ",$B42*'rotation(7FA)'!S41)</f>
        <v> </v>
      </c>
      <c r="U42" s="764" t="n">
        <f aca="false">IF('rotation(7FA)'!T41=0," ",$B42*'rotation(7FA)'!T41)</f>
        <v>288.4</v>
      </c>
      <c r="V42" s="764" t="str">
        <f aca="false">IF('rotation(7FA)'!U41=0," ",$B42*'rotation(7FA)'!U41)</f>
        <v> </v>
      </c>
      <c r="W42" s="764" t="str">
        <f aca="false">IF('rotation(7FA)'!V41=0," ",$B42*'rotation(7FA)'!V41)</f>
        <v> </v>
      </c>
      <c r="X42" s="666" t="n">
        <f aca="false">SUM(D42:W42)</f>
        <v>1297.8</v>
      </c>
    </row>
    <row r="43" customFormat="false" ht="12.75" hidden="false" customHeight="false" outlineLevel="0" collapsed="false">
      <c r="A43" s="770" t="str">
        <f aca="false">'GTDB(7FA)'!A23</f>
        <v>Stage 1 Buckets</v>
      </c>
      <c r="B43" s="763" t="n">
        <f aca="false">'GTDB(7FA)'!D23</f>
        <v>973.762</v>
      </c>
      <c r="C43" s="764"/>
      <c r="D43" s="764" t="str">
        <f aca="false">IF('rotation(7FA)'!C45=0," ",$B43*'rotation(7FA)'!C45)</f>
        <v> </v>
      </c>
      <c r="E43" s="764" t="str">
        <f aca="false">IF('rotation(7FA)'!D45=0," ",$B43*'rotation(7FA)'!D45)</f>
        <v> </v>
      </c>
      <c r="F43" s="764" t="n">
        <f aca="false">IF('rotation(7FA)'!E45=0," ",$B43*'rotation(7FA)'!E45)</f>
        <v>1947.524</v>
      </c>
      <c r="G43" s="764" t="str">
        <f aca="false">IF('rotation(7FA)'!F45=0," ",$B43*'rotation(7FA)'!F45)</f>
        <v> </v>
      </c>
      <c r="H43" s="764" t="str">
        <f aca="false">IF('rotation(7FA)'!G45=0," ",$B43*'rotation(7FA)'!G45)</f>
        <v> </v>
      </c>
      <c r="I43" s="764" t="n">
        <f aca="false">IF('rotation(7FA)'!H45=0," ",$B43*'rotation(7FA)'!H45)</f>
        <v>1947.524</v>
      </c>
      <c r="J43" s="764" t="str">
        <f aca="false">IF('rotation(7FA)'!I45=0," ",$B43*'rotation(7FA)'!I45)</f>
        <v> </v>
      </c>
      <c r="K43" s="764" t="str">
        <f aca="false">IF('rotation(7FA)'!J45=0," ",$B43*'rotation(7FA)'!J45)</f>
        <v> </v>
      </c>
      <c r="L43" s="764" t="n">
        <f aca="false">IF('rotation(7FA)'!K45=0," ",$B43*'rotation(7FA)'!K45)</f>
        <v>1947.524</v>
      </c>
      <c r="M43" s="764" t="str">
        <f aca="false">IF('rotation(7FA)'!L45=0," ",$B43*'rotation(7FA)'!L45)</f>
        <v> </v>
      </c>
      <c r="N43" s="764" t="str">
        <f aca="false">IF('rotation(7FA)'!M45=0," ",$B43*'rotation(7FA)'!M45)</f>
        <v> </v>
      </c>
      <c r="O43" s="764" t="str">
        <f aca="false">IF('rotation(7FA)'!N45=0," ",$B43*'rotation(7FA)'!N45)</f>
        <v> </v>
      </c>
      <c r="P43" s="764" t="str">
        <f aca="false">IF('rotation(7FA)'!O45=0," ",$B43*'rotation(7FA)'!O45)</f>
        <v> </v>
      </c>
      <c r="Q43" s="764" t="str">
        <f aca="false">IF('rotation(7FA)'!P45=0," ",$B43*'rotation(7FA)'!P45)</f>
        <v> </v>
      </c>
      <c r="R43" s="764" t="n">
        <f aca="false">IF('rotation(7FA)'!Q45=0," ",$B43*'rotation(7FA)'!Q45)</f>
        <v>973.762</v>
      </c>
      <c r="S43" s="764" t="str">
        <f aca="false">IF('rotation(7FA)'!R45=0," ",$B43*'rotation(7FA)'!R45)</f>
        <v> </v>
      </c>
      <c r="T43" s="764" t="str">
        <f aca="false">IF('rotation(7FA)'!S45=0," ",$B43*'rotation(7FA)'!S45)</f>
        <v> </v>
      </c>
      <c r="U43" s="764" t="n">
        <f aca="false">IF('rotation(7FA)'!T45=0," ",$B43*'rotation(7FA)'!T45)</f>
        <v>1947.524</v>
      </c>
      <c r="V43" s="764" t="str">
        <f aca="false">IF('rotation(7FA)'!U45=0," ",$B43*'rotation(7FA)'!U45)</f>
        <v> </v>
      </c>
      <c r="W43" s="764" t="str">
        <f aca="false">IF('rotation(7FA)'!V45=0," ",$B43*'rotation(7FA)'!V45)</f>
        <v> </v>
      </c>
      <c r="X43" s="666" t="n">
        <f aca="false">SUM(D43:W43)</f>
        <v>8763.858</v>
      </c>
    </row>
    <row r="44" customFormat="false" ht="12.75" hidden="false" customHeight="false" outlineLevel="0" collapsed="false">
      <c r="A44" s="770" t="str">
        <f aca="false">'GTDB(7FA)'!A24</f>
        <v>Stage 2 Buckets</v>
      </c>
      <c r="B44" s="763" t="n">
        <f aca="false">'GTDB(7FA)'!D24</f>
        <v>370.8</v>
      </c>
      <c r="C44" s="764"/>
      <c r="D44" s="764" t="str">
        <f aca="false">IF('rotation(7FA)'!C49=0," ",$B44*'rotation(7FA)'!C49)</f>
        <v> </v>
      </c>
      <c r="E44" s="764" t="str">
        <f aca="false">IF('rotation(7FA)'!D49=0," ",$B44*'rotation(7FA)'!D49)</f>
        <v> </v>
      </c>
      <c r="F44" s="764" t="n">
        <f aca="false">IF('rotation(7FA)'!E49=0," ",$B44*'rotation(7FA)'!E49)</f>
        <v>741.6</v>
      </c>
      <c r="G44" s="764" t="str">
        <f aca="false">IF('rotation(7FA)'!F49=0," ",$B44*'rotation(7FA)'!F49)</f>
        <v> </v>
      </c>
      <c r="H44" s="764" t="str">
        <f aca="false">IF('rotation(7FA)'!G49=0," ",$B44*'rotation(7FA)'!G49)</f>
        <v> </v>
      </c>
      <c r="I44" s="764" t="n">
        <f aca="false">IF('rotation(7FA)'!H49=0," ",$B44*'rotation(7FA)'!H49)</f>
        <v>370.8</v>
      </c>
      <c r="J44" s="764" t="str">
        <f aca="false">IF('rotation(7FA)'!I49=0," ",$B44*'rotation(7FA)'!I49)</f>
        <v> </v>
      </c>
      <c r="K44" s="764" t="str">
        <f aca="false">IF('rotation(7FA)'!J49=0," ",$B44*'rotation(7FA)'!J49)</f>
        <v> </v>
      </c>
      <c r="L44" s="764" t="str">
        <f aca="false">IF('rotation(7FA)'!K49=0," ",$B44*'rotation(7FA)'!K49)</f>
        <v> </v>
      </c>
      <c r="M44" s="764" t="str">
        <f aca="false">IF('rotation(7FA)'!L49=0," ",$B44*'rotation(7FA)'!L49)</f>
        <v> </v>
      </c>
      <c r="N44" s="764" t="str">
        <f aca="false">IF('rotation(7FA)'!M49=0," ",$B44*'rotation(7FA)'!M49)</f>
        <v> </v>
      </c>
      <c r="O44" s="764" t="n">
        <f aca="false">IF('rotation(7FA)'!N49=0," ",$B44*'rotation(7FA)'!N49)</f>
        <v>741.6</v>
      </c>
      <c r="P44" s="764" t="str">
        <f aca="false">IF('rotation(7FA)'!O49=0," ",$B44*'rotation(7FA)'!O49)</f>
        <v> </v>
      </c>
      <c r="Q44" s="764" t="str">
        <f aca="false">IF('rotation(7FA)'!P49=0," ",$B44*'rotation(7FA)'!P49)</f>
        <v> </v>
      </c>
      <c r="R44" s="764" t="n">
        <f aca="false">IF('rotation(7FA)'!Q49=0," ",$B44*'rotation(7FA)'!Q49)</f>
        <v>370.8</v>
      </c>
      <c r="S44" s="764" t="str">
        <f aca="false">IF('rotation(7FA)'!R49=0," ",$B44*'rotation(7FA)'!R49)</f>
        <v> </v>
      </c>
      <c r="T44" s="764" t="str">
        <f aca="false">IF('rotation(7FA)'!S49=0," ",$B44*'rotation(7FA)'!S49)</f>
        <v> </v>
      </c>
      <c r="U44" s="764" t="str">
        <f aca="false">IF('rotation(7FA)'!T49=0," ",$B44*'rotation(7FA)'!T49)</f>
        <v> </v>
      </c>
      <c r="V44" s="764" t="str">
        <f aca="false">IF('rotation(7FA)'!U49=0," ",$B44*'rotation(7FA)'!U49)</f>
        <v> </v>
      </c>
      <c r="W44" s="764" t="str">
        <f aca="false">IF('rotation(7FA)'!V49=0," ",$B44*'rotation(7FA)'!V49)</f>
        <v> </v>
      </c>
      <c r="X44" s="666" t="n">
        <f aca="false">SUM(D44:W44)</f>
        <v>2224.8</v>
      </c>
    </row>
    <row r="45" customFormat="false" ht="12.75" hidden="false" customHeight="false" outlineLevel="0" collapsed="false">
      <c r="A45" s="770" t="str">
        <f aca="false">'GTDB(7FA)'!A25</f>
        <v>Stage 3 Buckets</v>
      </c>
      <c r="B45" s="763" t="n">
        <f aca="false">'GTDB(7FA)'!D25</f>
        <v>422.164610717897</v>
      </c>
      <c r="C45" s="764"/>
      <c r="D45" s="764" t="str">
        <f aca="false">IF('rotation(7FA)'!C53=0," ",$B45*'rotation(7FA)'!C53)</f>
        <v> </v>
      </c>
      <c r="E45" s="764" t="str">
        <f aca="false">IF('rotation(7FA)'!D53=0," ",$B45*'rotation(7FA)'!D53)</f>
        <v> </v>
      </c>
      <c r="F45" s="764" t="str">
        <f aca="false">IF('rotation(7FA)'!E53=0," ",$B45*'rotation(7FA)'!E53)</f>
        <v> </v>
      </c>
      <c r="G45" s="764" t="str">
        <f aca="false">IF('rotation(7FA)'!F53=0," ",$B45*'rotation(7FA)'!F53)</f>
        <v> </v>
      </c>
      <c r="H45" s="764" t="str">
        <f aca="false">IF('rotation(7FA)'!G53=0," ",$B45*'rotation(7FA)'!G53)</f>
        <v> </v>
      </c>
      <c r="I45" s="764" t="str">
        <f aca="false">IF('rotation(7FA)'!H53=0," ",$B45*'rotation(7FA)'!H53)</f>
        <v> </v>
      </c>
      <c r="J45" s="764" t="str">
        <f aca="false">IF('rotation(7FA)'!I53=0," ",$B45*'rotation(7FA)'!I53)</f>
        <v> </v>
      </c>
      <c r="K45" s="764" t="str">
        <f aca="false">IF('rotation(7FA)'!J53=0," ",$B45*'rotation(7FA)'!J53)</f>
        <v> </v>
      </c>
      <c r="L45" s="764" t="str">
        <f aca="false">IF('rotation(7FA)'!K53=0," ",$B45*'rotation(7FA)'!K53)</f>
        <v> </v>
      </c>
      <c r="M45" s="764" t="str">
        <f aca="false">IF('rotation(7FA)'!L53=0," ",$B45*'rotation(7FA)'!L53)</f>
        <v> </v>
      </c>
      <c r="N45" s="764" t="str">
        <f aca="false">IF('rotation(7FA)'!M53=0," ",$B45*'rotation(7FA)'!M53)</f>
        <v> </v>
      </c>
      <c r="O45" s="764" t="str">
        <f aca="false">IF('rotation(7FA)'!N53=0," ",$B45*'rotation(7FA)'!N53)</f>
        <v> </v>
      </c>
      <c r="P45" s="764" t="str">
        <f aca="false">IF('rotation(7FA)'!O53=0," ",$B45*'rotation(7FA)'!O53)</f>
        <v> </v>
      </c>
      <c r="Q45" s="764" t="str">
        <f aca="false">IF('rotation(7FA)'!P53=0," ",$B45*'rotation(7FA)'!P53)</f>
        <v> </v>
      </c>
      <c r="R45" s="764" t="str">
        <f aca="false">IF('rotation(7FA)'!Q53=0," ",$B45*'rotation(7FA)'!Q53)</f>
        <v> </v>
      </c>
      <c r="S45" s="764" t="str">
        <f aca="false">IF('rotation(7FA)'!R53=0," ",$B45*'rotation(7FA)'!R53)</f>
        <v> </v>
      </c>
      <c r="T45" s="764" t="str">
        <f aca="false">IF('rotation(7FA)'!S53=0," ",$B45*'rotation(7FA)'!S53)</f>
        <v> </v>
      </c>
      <c r="U45" s="764" t="str">
        <f aca="false">IF('rotation(7FA)'!T53=0," ",$B45*'rotation(7FA)'!T53)</f>
        <v> </v>
      </c>
      <c r="V45" s="764" t="str">
        <f aca="false">IF('rotation(7FA)'!U53=0," ",$B45*'rotation(7FA)'!U53)</f>
        <v> </v>
      </c>
      <c r="W45" s="764" t="str">
        <f aca="false">IF('rotation(7FA)'!V53=0," ",$B45*'rotation(7FA)'!V53)</f>
        <v> </v>
      </c>
      <c r="X45" s="666" t="n">
        <f aca="false">SUM(D45:W45)</f>
        <v>0</v>
      </c>
    </row>
    <row r="46" customFormat="false" ht="12.75" hidden="false" customHeight="false" outlineLevel="0" collapsed="false">
      <c r="A46" s="770" t="str">
        <f aca="false">'GTDB(7FA)'!A26</f>
        <v>Row 1 Support Ring</v>
      </c>
      <c r="B46" s="763" t="n">
        <f aca="false">'GTDB(7FA)'!D26</f>
        <v>23.175</v>
      </c>
      <c r="C46" s="764"/>
      <c r="D46" s="764" t="str">
        <f aca="false">IF('rotation(7FA)'!C57=0," ",$B46*'rotation(7FA)'!C57)</f>
        <v> </v>
      </c>
      <c r="E46" s="764" t="str">
        <f aca="false">IF('rotation(7FA)'!D57=0," ",$B46*'rotation(7FA)'!D57)</f>
        <v> </v>
      </c>
      <c r="F46" s="764" t="n">
        <f aca="false">IF('rotation(7FA)'!E57=0," ",$B46*'rotation(7FA)'!E57)</f>
        <v>46.35</v>
      </c>
      <c r="G46" s="764" t="str">
        <f aca="false">IF('rotation(7FA)'!F57=0," ",$B46*'rotation(7FA)'!F57)</f>
        <v> </v>
      </c>
      <c r="H46" s="764" t="str">
        <f aca="false">IF('rotation(7FA)'!G57=0," ",$B46*'rotation(7FA)'!G57)</f>
        <v> </v>
      </c>
      <c r="I46" s="764" t="n">
        <f aca="false">IF('rotation(7FA)'!H57=0," ",$B46*'rotation(7FA)'!H57)</f>
        <v>23.175</v>
      </c>
      <c r="J46" s="764" t="str">
        <f aca="false">IF('rotation(7FA)'!I57=0," ",$B46*'rotation(7FA)'!I57)</f>
        <v> </v>
      </c>
      <c r="K46" s="764" t="str">
        <f aca="false">IF('rotation(7FA)'!J57=0," ",$B46*'rotation(7FA)'!J57)</f>
        <v> </v>
      </c>
      <c r="L46" s="764" t="str">
        <f aca="false">IF('rotation(7FA)'!K57=0," ",$B46*'rotation(7FA)'!K57)</f>
        <v> </v>
      </c>
      <c r="M46" s="764" t="str">
        <f aca="false">IF('rotation(7FA)'!L57=0," ",$B46*'rotation(7FA)'!L57)</f>
        <v> </v>
      </c>
      <c r="N46" s="764" t="str">
        <f aca="false">IF('rotation(7FA)'!M57=0," ",$B46*'rotation(7FA)'!M57)</f>
        <v> </v>
      </c>
      <c r="O46" s="764" t="n">
        <f aca="false">IF('rotation(7FA)'!N57=0," ",$B46*'rotation(7FA)'!N57)</f>
        <v>46.35</v>
      </c>
      <c r="P46" s="764" t="str">
        <f aca="false">IF('rotation(7FA)'!O57=0," ",$B46*'rotation(7FA)'!O57)</f>
        <v> </v>
      </c>
      <c r="Q46" s="764" t="str">
        <f aca="false">IF('rotation(7FA)'!P57=0," ",$B46*'rotation(7FA)'!P57)</f>
        <v> </v>
      </c>
      <c r="R46" s="764" t="n">
        <f aca="false">IF('rotation(7FA)'!Q57=0," ",$B46*'rotation(7FA)'!Q57)</f>
        <v>23.175</v>
      </c>
      <c r="S46" s="764" t="str">
        <f aca="false">IF('rotation(7FA)'!R57=0," ",$B46*'rotation(7FA)'!R57)</f>
        <v> </v>
      </c>
      <c r="T46" s="764" t="str">
        <f aca="false">IF('rotation(7FA)'!S57=0," ",$B46*'rotation(7FA)'!S57)</f>
        <v> </v>
      </c>
      <c r="U46" s="764" t="str">
        <f aca="false">IF('rotation(7FA)'!T57=0," ",$B46*'rotation(7FA)'!T57)</f>
        <v> </v>
      </c>
      <c r="V46" s="764" t="str">
        <f aca="false">IF('rotation(7FA)'!U57=0," ",$B46*'rotation(7FA)'!U57)</f>
        <v> </v>
      </c>
      <c r="W46" s="764" t="str">
        <f aca="false">IF('rotation(7FA)'!V57=0," ",$B46*'rotation(7FA)'!V57)</f>
        <v> </v>
      </c>
      <c r="X46" s="666" t="n">
        <f aca="false">SUM(D46:W46)</f>
        <v>139.05</v>
      </c>
    </row>
    <row r="47" customFormat="false" ht="12.75" hidden="false" customHeight="false" outlineLevel="0" collapsed="false">
      <c r="A47" s="770" t="str">
        <f aca="false">'GTDB(7FA)'!A27</f>
        <v>1st Stage Shroud Blocks </v>
      </c>
      <c r="B47" s="763" t="n">
        <f aca="false">'GTDB(7FA)'!D27</f>
        <v>123.6</v>
      </c>
      <c r="C47" s="764"/>
      <c r="D47" s="764" t="str">
        <f aca="false">IF('rotation(7FA)'!C61=0," ",$B47*'rotation(7FA)'!C61)</f>
        <v> </v>
      </c>
      <c r="E47" s="764" t="str">
        <f aca="false">IF('rotation(7FA)'!D61=0," ",$B47*'rotation(7FA)'!D61)</f>
        <v> </v>
      </c>
      <c r="F47" s="764" t="n">
        <f aca="false">IF('rotation(7FA)'!E61=0," ",$B47*'rotation(7FA)'!E61)</f>
        <v>247.2</v>
      </c>
      <c r="G47" s="764" t="str">
        <f aca="false">IF('rotation(7FA)'!F61=0," ",$B47*'rotation(7FA)'!F61)</f>
        <v> </v>
      </c>
      <c r="H47" s="764" t="str">
        <f aca="false">IF('rotation(7FA)'!G61=0," ",$B47*'rotation(7FA)'!G61)</f>
        <v> </v>
      </c>
      <c r="I47" s="764" t="n">
        <f aca="false">IF('rotation(7FA)'!H61=0," ",$B47*'rotation(7FA)'!H61)</f>
        <v>247.2</v>
      </c>
      <c r="J47" s="764" t="str">
        <f aca="false">IF('rotation(7FA)'!I61=0," ",$B47*'rotation(7FA)'!I61)</f>
        <v> </v>
      </c>
      <c r="K47" s="764" t="str">
        <f aca="false">IF('rotation(7FA)'!J61=0," ",$B47*'rotation(7FA)'!J61)</f>
        <v> </v>
      </c>
      <c r="L47" s="764" t="n">
        <f aca="false">IF('rotation(7FA)'!K61=0," ",$B47*'rotation(7FA)'!K61)</f>
        <v>247.2</v>
      </c>
      <c r="M47" s="764" t="str">
        <f aca="false">IF('rotation(7FA)'!L61=0," ",$B47*'rotation(7FA)'!L61)</f>
        <v> </v>
      </c>
      <c r="N47" s="764" t="str">
        <f aca="false">IF('rotation(7FA)'!M61=0," ",$B47*'rotation(7FA)'!M61)</f>
        <v> </v>
      </c>
      <c r="O47" s="764" t="str">
        <f aca="false">IF('rotation(7FA)'!N61=0," ",$B47*'rotation(7FA)'!N61)</f>
        <v> </v>
      </c>
      <c r="P47" s="764" t="str">
        <f aca="false">IF('rotation(7FA)'!O61=0," ",$B47*'rotation(7FA)'!O61)</f>
        <v> </v>
      </c>
      <c r="Q47" s="764" t="str">
        <f aca="false">IF('rotation(7FA)'!P61=0," ",$B47*'rotation(7FA)'!P61)</f>
        <v> </v>
      </c>
      <c r="R47" s="764" t="n">
        <f aca="false">IF('rotation(7FA)'!Q61=0," ",$B47*'rotation(7FA)'!Q61)</f>
        <v>123.6</v>
      </c>
      <c r="S47" s="764" t="str">
        <f aca="false">IF('rotation(7FA)'!R61=0," ",$B47*'rotation(7FA)'!R61)</f>
        <v> </v>
      </c>
      <c r="T47" s="764" t="str">
        <f aca="false">IF('rotation(7FA)'!S61=0," ",$B47*'rotation(7FA)'!S61)</f>
        <v> </v>
      </c>
      <c r="U47" s="764" t="n">
        <f aca="false">IF('rotation(7FA)'!T61=0," ",$B47*'rotation(7FA)'!T61)</f>
        <v>247.2</v>
      </c>
      <c r="V47" s="764" t="str">
        <f aca="false">IF('rotation(7FA)'!U61=0," ",$B47*'rotation(7FA)'!U61)</f>
        <v> </v>
      </c>
      <c r="W47" s="764" t="str">
        <f aca="false">IF('rotation(7FA)'!V61=0," ",$B47*'rotation(7FA)'!V61)</f>
        <v> </v>
      </c>
      <c r="X47" s="666" t="n">
        <f aca="false">SUM(D47:W47)</f>
        <v>1112.4</v>
      </c>
    </row>
    <row r="48" customFormat="false" ht="12.75" hidden="false" customHeight="false" outlineLevel="0" collapsed="false">
      <c r="A48" s="770" t="str">
        <f aca="false">'GTDB(7FA)'!A28</f>
        <v>2nd Stage Shroud Blocks</v>
      </c>
      <c r="B48" s="763" t="n">
        <f aca="false">'GTDB(7FA)'!D28</f>
        <v>123.6</v>
      </c>
      <c r="C48" s="764"/>
      <c r="D48" s="764" t="str">
        <f aca="false">IF('rotation(7FA)'!C65=0," ",$B48*'rotation(7FA)'!C65)</f>
        <v> </v>
      </c>
      <c r="E48" s="764" t="str">
        <f aca="false">IF('rotation(7FA)'!D65=0," ",$B48*'rotation(7FA)'!D65)</f>
        <v> </v>
      </c>
      <c r="F48" s="764" t="n">
        <f aca="false">IF('rotation(7FA)'!E65=0," ",$B48*'rotation(7FA)'!E65)</f>
        <v>247.2</v>
      </c>
      <c r="G48" s="764" t="str">
        <f aca="false">IF('rotation(7FA)'!F65=0," ",$B48*'rotation(7FA)'!F65)</f>
        <v> </v>
      </c>
      <c r="H48" s="764" t="str">
        <f aca="false">IF('rotation(7FA)'!G65=0," ",$B48*'rotation(7FA)'!G65)</f>
        <v> </v>
      </c>
      <c r="I48" s="764" t="n">
        <f aca="false">IF('rotation(7FA)'!H65=0," ",$B48*'rotation(7FA)'!H65)</f>
        <v>247.2</v>
      </c>
      <c r="J48" s="764" t="str">
        <f aca="false">IF('rotation(7FA)'!I65=0," ",$B48*'rotation(7FA)'!I65)</f>
        <v> </v>
      </c>
      <c r="K48" s="764" t="str">
        <f aca="false">IF('rotation(7FA)'!J65=0," ",$B48*'rotation(7FA)'!J65)</f>
        <v> </v>
      </c>
      <c r="L48" s="764" t="n">
        <f aca="false">IF('rotation(7FA)'!K65=0," ",$B48*'rotation(7FA)'!K65)</f>
        <v>247.2</v>
      </c>
      <c r="M48" s="764" t="str">
        <f aca="false">IF('rotation(7FA)'!L65=0," ",$B48*'rotation(7FA)'!L65)</f>
        <v> </v>
      </c>
      <c r="N48" s="764" t="str">
        <f aca="false">IF('rotation(7FA)'!M65=0," ",$B48*'rotation(7FA)'!M65)</f>
        <v> </v>
      </c>
      <c r="O48" s="764" t="str">
        <f aca="false">IF('rotation(7FA)'!N65=0," ",$B48*'rotation(7FA)'!N65)</f>
        <v> </v>
      </c>
      <c r="P48" s="764" t="str">
        <f aca="false">IF('rotation(7FA)'!O65=0," ",$B48*'rotation(7FA)'!O65)</f>
        <v> </v>
      </c>
      <c r="Q48" s="764" t="str">
        <f aca="false">IF('rotation(7FA)'!P65=0," ",$B48*'rotation(7FA)'!P65)</f>
        <v> </v>
      </c>
      <c r="R48" s="764" t="n">
        <f aca="false">IF('rotation(7FA)'!Q65=0," ",$B48*'rotation(7FA)'!Q65)</f>
        <v>123.6</v>
      </c>
      <c r="S48" s="764" t="str">
        <f aca="false">IF('rotation(7FA)'!R65=0," ",$B48*'rotation(7FA)'!R65)</f>
        <v> </v>
      </c>
      <c r="T48" s="764" t="str">
        <f aca="false">IF('rotation(7FA)'!S65=0," ",$B48*'rotation(7FA)'!S65)</f>
        <v> </v>
      </c>
      <c r="U48" s="764" t="n">
        <f aca="false">IF('rotation(7FA)'!T65=0," ",$B48*'rotation(7FA)'!T65)</f>
        <v>247.2</v>
      </c>
      <c r="V48" s="764" t="str">
        <f aca="false">IF('rotation(7FA)'!U65=0," ",$B48*'rotation(7FA)'!U65)</f>
        <v> </v>
      </c>
      <c r="W48" s="764" t="str">
        <f aca="false">IF('rotation(7FA)'!V65=0," ",$B48*'rotation(7FA)'!V65)</f>
        <v> </v>
      </c>
      <c r="X48" s="666" t="n">
        <f aca="false">SUM(D48:W48)</f>
        <v>1112.4</v>
      </c>
    </row>
    <row r="49" customFormat="false" ht="12.75" hidden="false" customHeight="false" outlineLevel="0" collapsed="false">
      <c r="A49" s="770" t="str">
        <f aca="false">'GTDB(7FA)'!A29</f>
        <v>3rd Stage Shroud Blocks</v>
      </c>
      <c r="B49" s="763" t="n">
        <f aca="false">'GTDB(7FA)'!D29</f>
        <v>123.6</v>
      </c>
      <c r="C49" s="764"/>
      <c r="D49" s="764" t="str">
        <f aca="false">IF('rotation(7FA)'!C69=0," ",$B49*'rotation(7FA)'!C69)</f>
        <v> </v>
      </c>
      <c r="E49" s="764" t="str">
        <f aca="false">IF('rotation(7FA)'!D69=0," ",$B49*'rotation(7FA)'!D69)</f>
        <v> </v>
      </c>
      <c r="F49" s="764" t="n">
        <f aca="false">IF('rotation(7FA)'!E69=0," ",$B49*'rotation(7FA)'!E69)</f>
        <v>247.2</v>
      </c>
      <c r="G49" s="764" t="str">
        <f aca="false">IF('rotation(7FA)'!F69=0," ",$B49*'rotation(7FA)'!F69)</f>
        <v> </v>
      </c>
      <c r="H49" s="764" t="str">
        <f aca="false">IF('rotation(7FA)'!G69=0," ",$B49*'rotation(7FA)'!G69)</f>
        <v> </v>
      </c>
      <c r="I49" s="764" t="n">
        <f aca="false">IF('rotation(7FA)'!H69=0," ",$B49*'rotation(7FA)'!H69)</f>
        <v>247.2</v>
      </c>
      <c r="J49" s="764" t="str">
        <f aca="false">IF('rotation(7FA)'!I69=0," ",$B49*'rotation(7FA)'!I69)</f>
        <v> </v>
      </c>
      <c r="K49" s="764" t="str">
        <f aca="false">IF('rotation(7FA)'!J69=0," ",$B49*'rotation(7FA)'!J69)</f>
        <v> </v>
      </c>
      <c r="L49" s="764" t="n">
        <f aca="false">IF('rotation(7FA)'!K69=0," ",$B49*'rotation(7FA)'!K69)</f>
        <v>247.2</v>
      </c>
      <c r="M49" s="764" t="str">
        <f aca="false">IF('rotation(7FA)'!L69=0," ",$B49*'rotation(7FA)'!L69)</f>
        <v> </v>
      </c>
      <c r="N49" s="764" t="str">
        <f aca="false">IF('rotation(7FA)'!M69=0," ",$B49*'rotation(7FA)'!M69)</f>
        <v> </v>
      </c>
      <c r="O49" s="764" t="str">
        <f aca="false">IF('rotation(7FA)'!N69=0," ",$B49*'rotation(7FA)'!N69)</f>
        <v> </v>
      </c>
      <c r="P49" s="764" t="str">
        <f aca="false">IF('rotation(7FA)'!O69=0," ",$B49*'rotation(7FA)'!O69)</f>
        <v> </v>
      </c>
      <c r="Q49" s="764" t="str">
        <f aca="false">IF('rotation(7FA)'!P69=0," ",$B49*'rotation(7FA)'!P69)</f>
        <v> </v>
      </c>
      <c r="R49" s="764" t="n">
        <f aca="false">IF('rotation(7FA)'!Q69=0," ",$B49*'rotation(7FA)'!Q69)</f>
        <v>123.6</v>
      </c>
      <c r="S49" s="764" t="str">
        <f aca="false">IF('rotation(7FA)'!R69=0," ",$B49*'rotation(7FA)'!R69)</f>
        <v> </v>
      </c>
      <c r="T49" s="764" t="str">
        <f aca="false">IF('rotation(7FA)'!S69=0," ",$B49*'rotation(7FA)'!S69)</f>
        <v> </v>
      </c>
      <c r="U49" s="764" t="n">
        <f aca="false">IF('rotation(7FA)'!T69=0," ",$B49*'rotation(7FA)'!T69)</f>
        <v>247.2</v>
      </c>
      <c r="V49" s="764" t="str">
        <f aca="false">IF('rotation(7FA)'!U69=0," ",$B49*'rotation(7FA)'!U69)</f>
        <v> </v>
      </c>
      <c r="W49" s="764" t="str">
        <f aca="false">IF('rotation(7FA)'!V69=0," ",$B49*'rotation(7FA)'!V69)</f>
        <v> </v>
      </c>
      <c r="X49" s="666" t="n">
        <f aca="false">SUM(D49:W49)</f>
        <v>1112.4</v>
      </c>
    </row>
    <row r="50" customFormat="false" ht="12.75" hidden="false" customHeight="false" outlineLevel="0" collapsed="false">
      <c r="A50" s="771"/>
      <c r="B50" s="681"/>
      <c r="C50" s="681"/>
      <c r="D50" s="681"/>
      <c r="E50" s="681"/>
      <c r="F50" s="681"/>
      <c r="G50" s="681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66"/>
    </row>
    <row r="51" customFormat="false" ht="12.75" hidden="false" customHeight="false" outlineLevel="0" collapsed="false">
      <c r="A51" s="772" t="s">
        <v>1370</v>
      </c>
      <c r="B51" s="765" t="n">
        <v>0.02</v>
      </c>
      <c r="C51" s="681"/>
      <c r="D51" s="681" t="n">
        <f aca="false">SUM(D37:D49)*(1-$B51)</f>
        <v>904.4224</v>
      </c>
      <c r="E51" s="681" t="n">
        <f aca="false">SUM(E37:E49)*(1-$B51)</f>
        <v>904.4224</v>
      </c>
      <c r="F51" s="681" t="n">
        <f aca="false">SUM(F37:F49)*(1-$B51)</f>
        <v>5981.50252</v>
      </c>
      <c r="G51" s="681" t="n">
        <f aca="false">SUM(G37:G49)*(1-$B51)</f>
        <v>761.0876</v>
      </c>
      <c r="H51" s="681" t="n">
        <f aca="false">SUM(H37:H49)*(1-$B51)</f>
        <v>832.755</v>
      </c>
      <c r="I51" s="681" t="n">
        <f aca="false">SUM(I37:I49)*(1-$B51)</f>
        <v>5202.75042</v>
      </c>
      <c r="J51" s="681" t="n">
        <f aca="false">SUM(J37:J49)*(1-$B51)</f>
        <v>143.3348</v>
      </c>
      <c r="K51" s="681" t="n">
        <f aca="false">SUM(K37:K49)*(1-$B51)</f>
        <v>452.2112</v>
      </c>
      <c r="L51" s="681" t="n">
        <f aca="false">SUM(L37:L49)*(1-$B51)</f>
        <v>4280.66352</v>
      </c>
      <c r="M51" s="681" t="n">
        <f aca="false">SUM(M37:M49)*(1-$B51)</f>
        <v>904.4224</v>
      </c>
      <c r="N51" s="681" t="n">
        <f aca="false">SUM(N37:N49)*(1-$B51)</f>
        <v>904.4224</v>
      </c>
      <c r="O51" s="681" t="n">
        <f aca="false">SUM(O37:O49)*(1-$B51)</f>
        <v>2461.9266</v>
      </c>
      <c r="P51" s="681" t="n">
        <f aca="false">SUM(P37:P49)*(1-$B51)</f>
        <v>761.0876</v>
      </c>
      <c r="Q51" s="681" t="n">
        <f aca="false">SUM(Q37:Q49)*(1-$B51)</f>
        <v>452.2112</v>
      </c>
      <c r="R51" s="681" t="n">
        <f aca="false">SUM(R37:R49)*(1-$B51)</f>
        <v>2681.87486</v>
      </c>
      <c r="S51" s="681" t="n">
        <f aca="false">SUM(S37:S49)*(1-$B51)</f>
        <v>904.4224</v>
      </c>
      <c r="T51" s="681" t="n">
        <f aca="false">SUM(T37:T49)*(1-$B51)</f>
        <v>832.755</v>
      </c>
      <c r="U51" s="681" t="n">
        <f aca="false">SUM(U37:U49)*(1-$B51)</f>
        <v>4280.66352</v>
      </c>
      <c r="V51" s="681" t="n">
        <f aca="false">SUM(V37:V49)*(1-$B51)</f>
        <v>904.4224</v>
      </c>
      <c r="W51" s="681" t="n">
        <f aca="false">SUM(W37:W49)*(1-$B51)</f>
        <v>904.4224</v>
      </c>
      <c r="X51" s="666" t="n">
        <f aca="false">SUM(D51:W51)</f>
        <v>35455.78064</v>
      </c>
    </row>
    <row r="52" customFormat="false" ht="12.75" hidden="false" customHeight="false" outlineLevel="0" collapsed="false">
      <c r="A52" s="772" t="s">
        <v>1371</v>
      </c>
      <c r="B52" s="765" t="n">
        <v>0.01</v>
      </c>
      <c r="C52" s="681"/>
      <c r="D52" s="681" t="n">
        <f aca="false">D51*(1+$B52)</f>
        <v>913.466624</v>
      </c>
      <c r="E52" s="681" t="n">
        <f aca="false">E51*(1+$B52)</f>
        <v>913.466624</v>
      </c>
      <c r="F52" s="681" t="n">
        <f aca="false">F51*(1+$B52)</f>
        <v>6041.3175452</v>
      </c>
      <c r="G52" s="681" t="n">
        <f aca="false">G51*(1+$B52)</f>
        <v>768.698476</v>
      </c>
      <c r="H52" s="681" t="n">
        <f aca="false">H51*(1+$B52)</f>
        <v>841.08255</v>
      </c>
      <c r="I52" s="681" t="n">
        <f aca="false">I51*(1+$B52)</f>
        <v>5254.7779242</v>
      </c>
      <c r="J52" s="681" t="n">
        <f aca="false">J51*(1+$B52)</f>
        <v>144.768148</v>
      </c>
      <c r="K52" s="681" t="n">
        <f aca="false">K51*(1+$B52)</f>
        <v>456.733312</v>
      </c>
      <c r="L52" s="681" t="n">
        <f aca="false">L51*(1+$B52)</f>
        <v>4323.4701552</v>
      </c>
      <c r="M52" s="681" t="n">
        <f aca="false">M51*(1+$B52)</f>
        <v>913.466624</v>
      </c>
      <c r="N52" s="681" t="n">
        <f aca="false">N51*(1+$B52)</f>
        <v>913.466624</v>
      </c>
      <c r="O52" s="681" t="n">
        <f aca="false">O51*(1+$B52)</f>
        <v>2486.545866</v>
      </c>
      <c r="P52" s="681" t="n">
        <f aca="false">P51*(1+$B52)</f>
        <v>768.698476</v>
      </c>
      <c r="Q52" s="681" t="n">
        <f aca="false">Q51*(1+$B52)</f>
        <v>456.733312</v>
      </c>
      <c r="R52" s="681" t="n">
        <f aca="false">R51*(1+$B52)</f>
        <v>2708.6936086</v>
      </c>
      <c r="S52" s="681" t="n">
        <f aca="false">S51*(1+$B52)</f>
        <v>913.466624</v>
      </c>
      <c r="T52" s="681" t="n">
        <f aca="false">T51*(1+$B52)</f>
        <v>841.08255</v>
      </c>
      <c r="U52" s="681" t="n">
        <f aca="false">U51*(1+$B52)</f>
        <v>4323.4701552</v>
      </c>
      <c r="V52" s="681" t="n">
        <f aca="false">V51*(1+$B52)</f>
        <v>913.466624</v>
      </c>
      <c r="W52" s="681" t="n">
        <f aca="false">W51*(1+$B52)</f>
        <v>913.466624</v>
      </c>
      <c r="X52" s="766" t="n">
        <f aca="false">SUM(D52:W52)</f>
        <v>35810.3384464</v>
      </c>
    </row>
    <row r="53" customFormat="false" ht="12.75" hidden="false" customHeight="false" outlineLevel="0" collapsed="false">
      <c r="B53" s="666"/>
      <c r="C53" s="666"/>
      <c r="D53" s="666"/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6"/>
      <c r="Q53" s="666"/>
      <c r="R53" s="666"/>
      <c r="S53" s="666"/>
      <c r="T53" s="666"/>
      <c r="U53" s="666"/>
      <c r="V53" s="666"/>
      <c r="W53" s="666"/>
      <c r="X53" s="666"/>
    </row>
    <row r="54" customFormat="false" ht="12.75" hidden="false" customHeight="false" outlineLevel="0" collapsed="false">
      <c r="A54" s="756" t="s">
        <v>1372</v>
      </c>
      <c r="B54" s="666"/>
      <c r="C54" s="666"/>
      <c r="D54" s="666" t="n">
        <f aca="false">D10+D32+D52</f>
        <v>1129.65354</v>
      </c>
      <c r="E54" s="666" t="n">
        <f aca="false">E10+E32+E52</f>
        <v>1129.65354</v>
      </c>
      <c r="F54" s="666" t="n">
        <f aca="false">F10+F32+F52</f>
        <v>16178.0388002</v>
      </c>
      <c r="G54" s="666" t="n">
        <f aca="false">G10+G32+G52</f>
        <v>3390.307634</v>
      </c>
      <c r="H54" s="666" t="n">
        <f aca="false">H10+H32+H52</f>
        <v>2259.980587</v>
      </c>
      <c r="I54" s="666" t="n">
        <f aca="false">I10+I32+I52</f>
        <v>14041.6222452</v>
      </c>
      <c r="J54" s="666" t="n">
        <f aca="false">J10+J32+J52</f>
        <v>3734.098562</v>
      </c>
      <c r="K54" s="666" t="n">
        <f aca="false">K10+K32+K52</f>
        <v>3562.203098</v>
      </c>
      <c r="L54" s="666" t="n">
        <f aca="false">L10+L32+L52</f>
        <v>18087.9790272</v>
      </c>
      <c r="M54" s="666" t="n">
        <f aca="false">M10+M32+M52</f>
        <v>1129.65354</v>
      </c>
      <c r="N54" s="666" t="n">
        <f aca="false">N10+N32+N52</f>
        <v>1129.65354</v>
      </c>
      <c r="O54" s="666" t="n">
        <f aca="false">O10+O32+O52</f>
        <v>22464.598614</v>
      </c>
      <c r="P54" s="666" t="n">
        <f aca="false">P10+P32+P52</f>
        <v>3390.307634</v>
      </c>
      <c r="Q54" s="666" t="n">
        <f aca="false">Q10+Q32+Q52</f>
        <v>3562.203098</v>
      </c>
      <c r="R54" s="666" t="n">
        <f aca="false">R10+R32+R52</f>
        <v>21355.3981546</v>
      </c>
      <c r="S54" s="666" t="n">
        <f aca="false">S10+S32+S52</f>
        <v>1129.65354</v>
      </c>
      <c r="T54" s="666" t="n">
        <f aca="false">T10+T32+T52</f>
        <v>2259.980587</v>
      </c>
      <c r="U54" s="666" t="n">
        <f aca="false">U10+U32+U52</f>
        <v>18877.9963092</v>
      </c>
      <c r="V54" s="666" t="n">
        <f aca="false">V10+V32+V52</f>
        <v>1129.65354</v>
      </c>
      <c r="W54" s="666" t="n">
        <f aca="false">W10+W32+W52</f>
        <v>1129.65354</v>
      </c>
      <c r="X54" s="773" t="n">
        <f aca="false">SUM(D54:W54)</f>
        <v>141072.2891304</v>
      </c>
    </row>
    <row r="55" customFormat="false" ht="12.75" hidden="false" customHeight="false" outlineLevel="0" collapsed="false">
      <c r="B55" s="666"/>
      <c r="C55" s="666"/>
      <c r="D55" s="666"/>
      <c r="E55" s="666"/>
      <c r="F55" s="666"/>
      <c r="G55" s="666"/>
      <c r="H55" s="666"/>
      <c r="I55" s="666"/>
      <c r="J55" s="666"/>
      <c r="K55" s="666"/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</row>
    <row r="56" customFormat="false" ht="12.75" hidden="false" customHeight="false" outlineLevel="0" collapsed="false">
      <c r="B56" s="666"/>
      <c r="C56" s="666"/>
      <c r="D56" s="666"/>
      <c r="E56" s="666"/>
      <c r="F56" s="666"/>
      <c r="G56" s="666"/>
      <c r="H56" s="666"/>
      <c r="I56" s="666"/>
      <c r="J56" s="666"/>
      <c r="K56" s="666"/>
      <c r="L56" s="666"/>
      <c r="M56" s="666"/>
      <c r="N56" s="666"/>
      <c r="O56" s="666"/>
      <c r="P56" s="666"/>
      <c r="Q56" s="666"/>
      <c r="R56" s="666"/>
      <c r="S56" s="666"/>
      <c r="T56" s="666"/>
      <c r="U56" s="666"/>
      <c r="V56" s="666"/>
      <c r="W56" s="666"/>
      <c r="X56" s="666"/>
    </row>
    <row r="57" customFormat="false" ht="12.75" hidden="false" customHeight="false" outlineLevel="0" collapsed="false">
      <c r="B57" s="666"/>
      <c r="C57" s="666"/>
      <c r="D57" s="666"/>
      <c r="E57" s="666"/>
      <c r="F57" s="666"/>
      <c r="G57" s="666"/>
      <c r="H57" s="666"/>
      <c r="I57" s="666"/>
      <c r="J57" s="666"/>
      <c r="K57" s="666"/>
      <c r="L57" s="666"/>
      <c r="M57" s="666"/>
      <c r="N57" s="666"/>
      <c r="O57" s="666"/>
      <c r="P57" s="666"/>
      <c r="Q57" s="666"/>
      <c r="R57" s="666"/>
      <c r="S57" s="666"/>
      <c r="T57" s="666"/>
      <c r="U57" s="666"/>
      <c r="V57" s="666"/>
      <c r="W57" s="666"/>
      <c r="X57" s="666"/>
    </row>
    <row r="58" customFormat="false" ht="12.75" hidden="false" customHeight="false" outlineLevel="0" collapsed="false">
      <c r="B58" s="666"/>
      <c r="C58" s="666"/>
      <c r="D58" s="666"/>
      <c r="E58" s="666"/>
      <c r="F58" s="666"/>
      <c r="G58" s="666"/>
      <c r="H58" s="666"/>
      <c r="I58" s="666"/>
      <c r="J58" s="666"/>
      <c r="K58" s="666"/>
      <c r="L58" s="666"/>
      <c r="M58" s="666"/>
      <c r="N58" s="666"/>
      <c r="O58" s="666"/>
      <c r="P58" s="666"/>
      <c r="Q58" s="666"/>
      <c r="R58" s="666"/>
      <c r="S58" s="666"/>
      <c r="T58" s="666"/>
      <c r="U58" s="666"/>
      <c r="V58" s="666"/>
      <c r="W58" s="666"/>
      <c r="X58" s="666"/>
    </row>
    <row r="59" customFormat="false" ht="12.75" hidden="false" customHeight="false" outlineLevel="0" collapsed="false">
      <c r="B59" s="666"/>
      <c r="C59" s="666"/>
      <c r="D59" s="666"/>
      <c r="E59" s="666"/>
      <c r="F59" s="666"/>
      <c r="G59" s="666"/>
      <c r="H59" s="666"/>
      <c r="I59" s="666"/>
      <c r="J59" s="666"/>
      <c r="K59" s="666"/>
      <c r="L59" s="666"/>
      <c r="M59" s="666"/>
      <c r="N59" s="666"/>
      <c r="O59" s="666"/>
      <c r="P59" s="666"/>
      <c r="Q59" s="666"/>
      <c r="R59" s="666"/>
      <c r="S59" s="666"/>
      <c r="T59" s="666"/>
      <c r="U59" s="666"/>
      <c r="V59" s="666"/>
      <c r="W59" s="666"/>
      <c r="X59" s="666"/>
    </row>
    <row r="60" customFormat="false" ht="12.75" hidden="false" customHeight="false" outlineLevel="0" collapsed="false">
      <c r="B60" s="666"/>
      <c r="C60" s="666"/>
      <c r="D60" s="666"/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6"/>
      <c r="Q60" s="666"/>
      <c r="R60" s="666"/>
      <c r="S60" s="666"/>
      <c r="T60" s="666"/>
      <c r="U60" s="666"/>
      <c r="V60" s="666"/>
      <c r="W60" s="666"/>
      <c r="X60" s="666"/>
    </row>
    <row r="61" customFormat="false" ht="12.75" hidden="false" customHeight="false" outlineLevel="0" collapsed="false">
      <c r="B61" s="666"/>
      <c r="C61" s="666"/>
      <c r="D61" s="666"/>
      <c r="E61" s="666"/>
      <c r="F61" s="666"/>
      <c r="G61" s="666"/>
      <c r="H61" s="666"/>
      <c r="I61" s="666"/>
      <c r="J61" s="666"/>
      <c r="K61" s="666"/>
      <c r="L61" s="666"/>
      <c r="M61" s="666"/>
      <c r="N61" s="666"/>
      <c r="O61" s="666"/>
      <c r="P61" s="666"/>
      <c r="Q61" s="666"/>
      <c r="R61" s="666"/>
      <c r="S61" s="666"/>
      <c r="T61" s="666"/>
      <c r="U61" s="666"/>
      <c r="V61" s="666"/>
      <c r="W61" s="666"/>
      <c r="X61" s="666"/>
    </row>
    <row r="62" customFormat="false" ht="12.75" hidden="false" customHeight="false" outlineLevel="0" collapsed="false">
      <c r="B62" s="666"/>
      <c r="C62" s="666"/>
      <c r="D62" s="666"/>
      <c r="E62" s="666"/>
      <c r="F62" s="666"/>
      <c r="G62" s="666"/>
      <c r="H62" s="666"/>
      <c r="I62" s="666"/>
      <c r="J62" s="666"/>
      <c r="K62" s="666"/>
      <c r="L62" s="666"/>
      <c r="M62" s="666"/>
      <c r="N62" s="666"/>
      <c r="O62" s="666"/>
      <c r="P62" s="666"/>
      <c r="Q62" s="666"/>
      <c r="R62" s="666"/>
      <c r="S62" s="666"/>
      <c r="T62" s="666"/>
      <c r="U62" s="666"/>
      <c r="V62" s="666"/>
      <c r="W62" s="666"/>
      <c r="X62" s="666"/>
    </row>
    <row r="63" customFormat="false" ht="12.75" hidden="false" customHeight="false" outlineLevel="0" collapsed="false">
      <c r="B63" s="666"/>
      <c r="C63" s="666"/>
      <c r="D63" s="666"/>
      <c r="E63" s="666"/>
      <c r="F63" s="666"/>
      <c r="G63" s="666"/>
      <c r="H63" s="666"/>
      <c r="I63" s="666"/>
      <c r="J63" s="666"/>
      <c r="K63" s="666"/>
      <c r="L63" s="666"/>
      <c r="M63" s="666"/>
      <c r="N63" s="666"/>
      <c r="O63" s="666"/>
      <c r="P63" s="666"/>
      <c r="Q63" s="666"/>
      <c r="R63" s="666"/>
      <c r="S63" s="666"/>
      <c r="T63" s="666"/>
      <c r="U63" s="666"/>
      <c r="V63" s="666"/>
      <c r="W63" s="666"/>
      <c r="X63" s="666"/>
    </row>
    <row r="64" customFormat="false" ht="12.75" hidden="false" customHeight="false" outlineLevel="0" collapsed="false">
      <c r="B64" s="666"/>
      <c r="C64" s="666"/>
      <c r="D64" s="666"/>
      <c r="E64" s="666"/>
      <c r="F64" s="666"/>
      <c r="G64" s="666"/>
      <c r="H64" s="666"/>
      <c r="I64" s="666"/>
      <c r="J64" s="666"/>
      <c r="K64" s="666"/>
      <c r="L64" s="666"/>
      <c r="M64" s="666"/>
      <c r="N64" s="666"/>
      <c r="O64" s="666"/>
      <c r="P64" s="666"/>
      <c r="Q64" s="666"/>
      <c r="R64" s="666"/>
      <c r="S64" s="666"/>
      <c r="T64" s="666"/>
      <c r="U64" s="666"/>
      <c r="V64" s="666"/>
      <c r="W64" s="666"/>
      <c r="X64" s="666"/>
    </row>
    <row r="65" customFormat="false" ht="12.75" hidden="false" customHeight="false" outlineLevel="0" collapsed="false">
      <c r="B65" s="666"/>
      <c r="C65" s="666"/>
      <c r="D65" s="666"/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6"/>
      <c r="Q65" s="666"/>
      <c r="R65" s="666"/>
      <c r="S65" s="666"/>
      <c r="T65" s="666"/>
      <c r="U65" s="666"/>
      <c r="V65" s="666"/>
      <c r="W65" s="666"/>
      <c r="X65" s="666"/>
    </row>
    <row r="66" customFormat="false" ht="12.75" hidden="false" customHeight="false" outlineLevel="0" collapsed="false">
      <c r="B66" s="666"/>
      <c r="C66" s="666"/>
      <c r="D66" s="666"/>
      <c r="E66" s="666"/>
      <c r="F66" s="666"/>
      <c r="G66" s="666"/>
      <c r="H66" s="666"/>
      <c r="I66" s="666"/>
      <c r="J66" s="666"/>
      <c r="K66" s="666"/>
      <c r="L66" s="666"/>
      <c r="M66" s="666"/>
      <c r="N66" s="666"/>
      <c r="O66" s="666"/>
      <c r="P66" s="666"/>
      <c r="Q66" s="666"/>
      <c r="R66" s="666"/>
      <c r="S66" s="666"/>
      <c r="T66" s="666"/>
      <c r="U66" s="666"/>
      <c r="V66" s="666"/>
      <c r="W66" s="666"/>
      <c r="X66" s="666"/>
    </row>
    <row r="67" customFormat="false" ht="12.75" hidden="false" customHeight="false" outlineLevel="0" collapsed="false">
      <c r="B67" s="666"/>
      <c r="C67" s="666"/>
      <c r="D67" s="666"/>
      <c r="E67" s="666"/>
      <c r="F67" s="666"/>
      <c r="G67" s="666"/>
      <c r="H67" s="666"/>
      <c r="I67" s="666"/>
      <c r="J67" s="666"/>
      <c r="K67" s="666"/>
      <c r="L67" s="666"/>
      <c r="M67" s="666"/>
      <c r="N67" s="666"/>
      <c r="O67" s="666"/>
      <c r="P67" s="666"/>
      <c r="Q67" s="666"/>
      <c r="R67" s="666"/>
      <c r="S67" s="666"/>
      <c r="T67" s="666"/>
      <c r="U67" s="666"/>
      <c r="V67" s="666"/>
      <c r="W67" s="666"/>
      <c r="X67" s="666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  <colBreaks count="1" manualBreakCount="1">
    <brk id="12" man="true" max="65535" min="0"/>
  </colBreak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F70"/>
  <sheetViews>
    <sheetView showFormulas="false" showGridLines="true" showRowColHeaders="true" showZeros="true" rightToLeft="false" tabSelected="false" showOutlineSymbols="true" defaultGridColor="true" view="normal" topLeftCell="N1" colorId="64" zoomScale="75" zoomScaleNormal="75" zoomScalePageLayoutView="100" workbookViewId="0">
      <selection pane="topLeft" activeCell="X8" activeCellId="0" sqref="X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56"/>
    <col collapsed="false" customWidth="true" hidden="false" outlineLevel="0" max="3" min="3" style="0" width="9.28"/>
    <col collapsed="false" customWidth="true" hidden="false" outlineLevel="0" max="5" min="5" style="0" width="9.28"/>
    <col collapsed="false" customWidth="true" hidden="false" outlineLevel="0" max="10" min="10" style="0" width="7.56"/>
    <col collapsed="false" customWidth="true" hidden="false" outlineLevel="0" max="11" min="11" style="0" width="7.42"/>
    <col collapsed="false" customWidth="true" hidden="false" outlineLevel="0" max="23" min="23" style="0" width="18.99"/>
    <col collapsed="false" customWidth="true" hidden="false" outlineLevel="0" max="24" min="24" style="0" width="10.41"/>
    <col collapsed="false" customWidth="true" hidden="false" outlineLevel="0" max="26" min="26" style="0" width="10.71"/>
    <col collapsed="false" customWidth="true" hidden="false" outlineLevel="0" max="28" min="28" style="0" width="10.71"/>
  </cols>
  <sheetData>
    <row r="2" customFormat="false" ht="20.25" hidden="false" customHeight="false" outlineLevel="0" collapsed="false">
      <c r="W2" s="774" t="s">
        <v>1374</v>
      </c>
    </row>
    <row r="4" customFormat="false" ht="20.25" hidden="false" customHeight="false" outlineLevel="0" collapsed="false">
      <c r="A4" s="774" t="s">
        <v>1375</v>
      </c>
      <c r="B4" s="17"/>
      <c r="C4" s="17"/>
      <c r="D4" s="17"/>
      <c r="W4" s="775" t="str">
        <f aca="false">'GTDB(7FA)'!B4</f>
        <v>GE-7FA-H-V0</v>
      </c>
      <c r="X4" s="153" t="s">
        <v>1376</v>
      </c>
      <c r="Y4" s="153" t="s">
        <v>1377</v>
      </c>
      <c r="Z4" s="157" t="s">
        <v>1007</v>
      </c>
      <c r="AA4" s="153" t="s">
        <v>1378</v>
      </c>
    </row>
    <row r="5" customFormat="false" ht="12.75" hidden="false" customHeight="false" outlineLevel="0" collapsed="false">
      <c r="A5" s="153" t="s">
        <v>1327</v>
      </c>
      <c r="B5" s="153" t="s">
        <v>1007</v>
      </c>
      <c r="C5" s="153" t="n">
        <v>1</v>
      </c>
      <c r="D5" s="153" t="n">
        <v>2</v>
      </c>
      <c r="E5" s="153" t="n">
        <v>3</v>
      </c>
      <c r="F5" s="153" t="n">
        <v>4</v>
      </c>
      <c r="G5" s="153" t="n">
        <v>5</v>
      </c>
      <c r="H5" s="153" t="n">
        <v>6</v>
      </c>
      <c r="I5" s="153" t="n">
        <v>7</v>
      </c>
      <c r="J5" s="153" t="n">
        <v>8</v>
      </c>
      <c r="K5" s="153" t="n">
        <v>9</v>
      </c>
      <c r="L5" s="153" t="n">
        <v>10</v>
      </c>
      <c r="M5" s="153" t="n">
        <v>11</v>
      </c>
      <c r="N5" s="153" t="n">
        <v>12</v>
      </c>
      <c r="O5" s="153" t="n">
        <v>13</v>
      </c>
      <c r="P5" s="153" t="n">
        <v>14</v>
      </c>
      <c r="Q5" s="153" t="n">
        <v>15</v>
      </c>
      <c r="R5" s="153" t="n">
        <v>16</v>
      </c>
      <c r="S5" s="153" t="n">
        <v>17</v>
      </c>
      <c r="T5" s="153" t="n">
        <v>18</v>
      </c>
      <c r="U5" s="153" t="n">
        <v>19</v>
      </c>
      <c r="V5" s="380" t="n">
        <v>20</v>
      </c>
      <c r="W5" s="511" t="s">
        <v>1379</v>
      </c>
      <c r="X5" s="776" t="n">
        <v>20</v>
      </c>
      <c r="Y5" s="776" t="n">
        <f aca="false">20-X5</f>
        <v>0</v>
      </c>
      <c r="Z5" s="157" t="s">
        <v>1007</v>
      </c>
      <c r="AA5" s="777"/>
    </row>
    <row r="6" customFormat="false" ht="13.5" hidden="false" customHeight="false" outlineLevel="0" collapsed="false">
      <c r="A6" s="153" t="s">
        <v>1380</v>
      </c>
      <c r="B6" s="520"/>
      <c r="C6" s="153" t="n">
        <f aca="false">B6+IF(C5&gt;$X$5,$Y$6,$X$6)</f>
        <v>8322</v>
      </c>
      <c r="D6" s="153" t="n">
        <f aca="false">C6+IF(D5&gt;$X$5,$Y$6,$X$6)</f>
        <v>16644</v>
      </c>
      <c r="E6" s="153" t="n">
        <f aca="false">D6+IF(E5&gt;$X$5,$Y$6,$X$6)</f>
        <v>24966</v>
      </c>
      <c r="F6" s="153" t="n">
        <f aca="false">E6+IF(F5&gt;$X$5,$Y$6,$X$6)</f>
        <v>33288</v>
      </c>
      <c r="G6" s="153" t="n">
        <f aca="false">F6+IF(G5&gt;$X$5,$Y$6,$X$6)</f>
        <v>41610</v>
      </c>
      <c r="H6" s="153" t="n">
        <f aca="false">G6+IF(H5&gt;$X$5,$Y$6,$X$6)</f>
        <v>49932</v>
      </c>
      <c r="I6" s="153" t="n">
        <f aca="false">H6+IF(I5&gt;$X$5,$Y$6,$X$6)</f>
        <v>58254</v>
      </c>
      <c r="J6" s="153" t="n">
        <f aca="false">I6+IF(J5&gt;$X$5,$Y$6,$X$6)</f>
        <v>66576</v>
      </c>
      <c r="K6" s="153" t="n">
        <f aca="false">J6+IF(K5&gt;$X$5,$Y$6,$X$6)</f>
        <v>74898</v>
      </c>
      <c r="L6" s="153" t="n">
        <f aca="false">K6+IF(L5&gt;$X$5,$Y$6,$X$6)</f>
        <v>83220</v>
      </c>
      <c r="M6" s="153" t="n">
        <f aca="false">L6+IF(M5&gt;$X$5,$Y$6,$X$6)</f>
        <v>91542</v>
      </c>
      <c r="N6" s="153" t="n">
        <f aca="false">M6+IF(N5&gt;$X$5,$Y$6,$X$6)</f>
        <v>99864</v>
      </c>
      <c r="O6" s="153" t="n">
        <f aca="false">N6+IF(O5&gt;$X$5,$Y$6,$X$6)</f>
        <v>108186</v>
      </c>
      <c r="P6" s="153" t="n">
        <f aca="false">O6+IF(P5&gt;$X$5,$Y$6,$X$6)</f>
        <v>116508</v>
      </c>
      <c r="Q6" s="153" t="n">
        <f aca="false">P6+IF(Q5&gt;$X$5,$Y$6,$X$6)</f>
        <v>124830</v>
      </c>
      <c r="R6" s="153" t="n">
        <f aca="false">Q6+IF(R5&gt;$X$5,$Y$6,$X$6)</f>
        <v>133152</v>
      </c>
      <c r="S6" s="153" t="n">
        <f aca="false">R6+IF(S5&gt;$X$5,$Y$6,$X$6)</f>
        <v>141474</v>
      </c>
      <c r="T6" s="153" t="n">
        <f aca="false">S6+IF(T5&gt;$X$5,$Y$6,$X$6)</f>
        <v>149796</v>
      </c>
      <c r="U6" s="153" t="n">
        <f aca="false">T6+IF(U5&gt;$X$5,$Y$6,$X$6)</f>
        <v>158118</v>
      </c>
      <c r="V6" s="153" t="n">
        <f aca="false">U6+IF(V5&gt;$X$5,$Y$6,$X$6)</f>
        <v>166440</v>
      </c>
      <c r="W6" s="778" t="s">
        <v>1381</v>
      </c>
      <c r="X6" s="779" t="n">
        <f aca="false">Scope!$F$41</f>
        <v>8322</v>
      </c>
      <c r="Y6" s="780" t="n">
        <v>8000</v>
      </c>
      <c r="Z6" s="781"/>
      <c r="AA6" s="777"/>
      <c r="AD6" s="782" t="n">
        <v>1</v>
      </c>
    </row>
    <row r="7" customFormat="false" ht="13.5" hidden="false" customHeight="false" outlineLevel="0" collapsed="false">
      <c r="A7" s="157"/>
      <c r="B7" s="157" t="s">
        <v>1007</v>
      </c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783" t="s">
        <v>1382</v>
      </c>
      <c r="X7" s="784" t="n">
        <v>2</v>
      </c>
      <c r="Y7" s="785"/>
      <c r="Z7" s="157"/>
      <c r="AA7" s="786"/>
    </row>
    <row r="8" customFormat="false" ht="12.75" hidden="false" customHeight="false" outlineLevel="0" collapsed="false">
      <c r="A8" s="153" t="s">
        <v>1383</v>
      </c>
      <c r="B8" s="153" t="n">
        <v>0</v>
      </c>
      <c r="C8" s="153" t="n">
        <f aca="false">(INT(C6/$X8)*$X$7-INT(B6/$X8)*$X$7-C9-C10)</f>
        <v>2</v>
      </c>
      <c r="D8" s="153" t="n">
        <f aca="false">(INT(D6/$X8)*$X$7-INT(C6/$X8)*$X$7-D9-D10)</f>
        <v>2</v>
      </c>
      <c r="E8" s="153" t="n">
        <f aca="false">(INT(E6/$X8)*$X$7-INT(D6/$X8)*$X$7-E9-E10)</f>
        <v>0</v>
      </c>
      <c r="F8" s="153" t="n">
        <f aca="false">(INT(F6/$X8)*$X$7-INT(E6/$X8)*$X$7-F9-F10)</f>
        <v>2</v>
      </c>
      <c r="G8" s="153" t="n">
        <f aca="false">(INT(G6/$X8)*$X$7-INT(F6/$X8)*$X$7-G9-G10)</f>
        <v>2</v>
      </c>
      <c r="H8" s="153" t="n">
        <f aca="false">(INT(H6/$X8)*$X$7-INT(G6/$X8)*$X$7-H9-H10)</f>
        <v>0</v>
      </c>
      <c r="I8" s="153" t="n">
        <f aca="false">(INT(I6/$X8)*$X$7-INT(H6/$X8)*$X$7-I9-I10)</f>
        <v>2</v>
      </c>
      <c r="J8" s="153" t="n">
        <f aca="false">(INT(J6/$X8)*$X$7-INT(I6/$X8)*$X$7-J9-J10)</f>
        <v>2</v>
      </c>
      <c r="K8" s="153" t="n">
        <f aca="false">(INT(K6/$X8)*$X$7-INT(J6/$X8)*$X$7-K9-K10)</f>
        <v>0</v>
      </c>
      <c r="L8" s="153" t="n">
        <f aca="false">(INT(L6/$X8)*$X$7-INT(K6/$X8)*$X$7-L9-L10)</f>
        <v>2</v>
      </c>
      <c r="M8" s="153" t="n">
        <f aca="false">(INT(M6/$X8)*$X$7-INT(L6/$X8)*$X$7-M9-M10)</f>
        <v>2</v>
      </c>
      <c r="N8" s="153" t="n">
        <f aca="false">(INT(N6/$X8)*$X$7-INT(M6/$X8)*$X$7-N9-N10)</f>
        <v>0</v>
      </c>
      <c r="O8" s="153" t="n">
        <f aca="false">(INT(O6/$X8)*$X$7-INT(N6/$X8)*$X$7-O9-O10)</f>
        <v>2</v>
      </c>
      <c r="P8" s="153" t="n">
        <f aca="false">(INT(P6/$X8)*$X$7-INT(O6/$X8)*$X$7-P9-P10)</f>
        <v>2</v>
      </c>
      <c r="Q8" s="153" t="n">
        <f aca="false">(INT(Q6/$X8)*$X$7-INT(P6/$X8)*$X$7-Q9-Q10)</f>
        <v>0</v>
      </c>
      <c r="R8" s="153" t="n">
        <f aca="false">(INT(R6/$X8)*$X$7-INT(Q6/$X8)*$X$7-R9-R10)</f>
        <v>2</v>
      </c>
      <c r="S8" s="153" t="n">
        <f aca="false">(INT(S6/$X8)*$X$7-INT(R6/$X8)*$X$7-S9-S10)</f>
        <v>2</v>
      </c>
      <c r="T8" s="153" t="n">
        <f aca="false">(INT(T6/$X8)*$X$7-INT(S6/$X8)*$X$7-T9-T10)</f>
        <v>0</v>
      </c>
      <c r="U8" s="153" t="n">
        <f aca="false">(INT(U6/$X8)*$X$7-INT(T6/$X8)*$X$7-U9-U10)</f>
        <v>2</v>
      </c>
      <c r="V8" s="380" t="n">
        <f aca="false">(INT(V6/$X8)*$X$7-INT(U6/$X8)*$X$7-V9-V10)</f>
        <v>2</v>
      </c>
      <c r="W8" s="787" t="s">
        <v>1384</v>
      </c>
      <c r="X8" s="788" t="n">
        <f aca="false">IF($AD$6=1,'GTDB(7FA)'!B12,'GTDB(7FA)'!G12)</f>
        <v>8000</v>
      </c>
      <c r="Y8" s="785"/>
      <c r="Z8" s="785"/>
    </row>
    <row r="9" customFormat="false" ht="12.75" hidden="false" customHeight="false" outlineLevel="0" collapsed="false">
      <c r="A9" s="153" t="s">
        <v>1385</v>
      </c>
      <c r="B9" s="153" t="n">
        <v>0</v>
      </c>
      <c r="C9" s="153" t="n">
        <f aca="false">(INT(C6/$X9)-INT(B6/$X9))*$X$7-C10</f>
        <v>0</v>
      </c>
      <c r="D9" s="153" t="n">
        <f aca="false">(INT(D6/$X9)-INT(C6/$X9))*$X$7-D10</f>
        <v>0</v>
      </c>
      <c r="E9" s="153" t="n">
        <f aca="false">(INT(E6/$X9)-INT(D6/$X9))*$X$7-E10</f>
        <v>2</v>
      </c>
      <c r="F9" s="153" t="n">
        <f aca="false">(INT(F6/$X9)-INT(E6/$X9))*$X$7-F10</f>
        <v>0</v>
      </c>
      <c r="G9" s="153" t="n">
        <f aca="false">(INT(G6/$X9)-INT(F6/$X9))*$X$7-G10</f>
        <v>0</v>
      </c>
      <c r="H9" s="153" t="n">
        <f aca="false">(INT(H6/$X9)-INT(G6/$X9))*$X$7-H10</f>
        <v>0</v>
      </c>
      <c r="I9" s="153" t="n">
        <f aca="false">(INT(I6/$X9)-INT(H6/$X9))*$X$7-I10</f>
        <v>0</v>
      </c>
      <c r="J9" s="153" t="n">
        <f aca="false">(INT(J6/$X9)-INT(I6/$X9))*$X$7-J10</f>
        <v>0</v>
      </c>
      <c r="K9" s="153" t="n">
        <f aca="false">(INT(K6/$X9)-INT(J6/$X9))*$X$7-K10</f>
        <v>2</v>
      </c>
      <c r="L9" s="153" t="n">
        <f aca="false">(INT(L6/$X9)-INT(K6/$X9))*$X$7-L10</f>
        <v>0</v>
      </c>
      <c r="M9" s="153" t="n">
        <f aca="false">(INT(M6/$X9)-INT(L6/$X9))*$X$7-M10</f>
        <v>0</v>
      </c>
      <c r="N9" s="153" t="n">
        <f aca="false">(INT(N6/$X9)-INT(M6/$X9))*$X$7-N10</f>
        <v>0</v>
      </c>
      <c r="O9" s="153" t="n">
        <f aca="false">(INT(O6/$X9)-INT(N6/$X9))*$X$7-O10</f>
        <v>0</v>
      </c>
      <c r="P9" s="153" t="n">
        <f aca="false">(INT(P6/$X9)-INT(O6/$X9))*$X$7-P10</f>
        <v>0</v>
      </c>
      <c r="Q9" s="153" t="n">
        <f aca="false">(INT(Q6/$X9)-INT(P6/$X9))*$X$7-Q10</f>
        <v>2</v>
      </c>
      <c r="R9" s="153" t="n">
        <f aca="false">(INT(R6/$X9)-INT(Q6/$X9))*$X$7-R10</f>
        <v>0</v>
      </c>
      <c r="S9" s="153" t="n">
        <f aca="false">(INT(S6/$X9)-INT(R6/$X9))*$X$7-S10</f>
        <v>0</v>
      </c>
      <c r="T9" s="153" t="n">
        <f aca="false">(INT(T6/$X9)-INT(S6/$X9))*$X$7-T10</f>
        <v>0</v>
      </c>
      <c r="U9" s="153" t="n">
        <f aca="false">(INT(U6/$X9)-INT(T6/$X9))*$X$7-U10</f>
        <v>0</v>
      </c>
      <c r="V9" s="380" t="n">
        <f aca="false">(INT(V6/$X9)-INT(U6/$X9))*$X$7-V10</f>
        <v>0</v>
      </c>
      <c r="W9" s="789" t="s">
        <v>1386</v>
      </c>
      <c r="X9" s="788" t="n">
        <f aca="false">IF($AD$6=1,'GTDB(7FA)'!B13,'GTDB(7FA)'!G13)</f>
        <v>24000</v>
      </c>
      <c r="Y9" s="785"/>
      <c r="Z9" s="785"/>
    </row>
    <row r="10" customFormat="false" ht="12.75" hidden="false" customHeight="false" outlineLevel="0" collapsed="false">
      <c r="A10" s="153" t="s">
        <v>1387</v>
      </c>
      <c r="B10" s="153" t="n">
        <v>0</v>
      </c>
      <c r="C10" s="153" t="n">
        <f aca="false">(INT(C6/$X10)-INT(B6/$X10))*$X$7</f>
        <v>0</v>
      </c>
      <c r="D10" s="153" t="n">
        <f aca="false">(INT(D6/$X10)-INT(C6/$X10))*$X$7</f>
        <v>0</v>
      </c>
      <c r="E10" s="153" t="n">
        <f aca="false">(INT(E6/$X10)-INT(D6/$X10))*$X$7</f>
        <v>0</v>
      </c>
      <c r="F10" s="153" t="n">
        <f aca="false">(INT(F6/$X10)-INT(E6/$X10))*$X$7</f>
        <v>0</v>
      </c>
      <c r="G10" s="153" t="n">
        <f aca="false">(INT(G6/$X10)-INT(F6/$X10))*$X$7</f>
        <v>0</v>
      </c>
      <c r="H10" s="153" t="n">
        <f aca="false">(INT(H6/$X10)-INT(G6/$X10))*$X$7</f>
        <v>2</v>
      </c>
      <c r="I10" s="153" t="n">
        <f aca="false">(INT(I6/$X10)-INT(H6/$X10))*$X$7</f>
        <v>0</v>
      </c>
      <c r="J10" s="153" t="n">
        <f aca="false">(INT(J6/$X10)-INT(I6/$X10))*$X$7</f>
        <v>0</v>
      </c>
      <c r="K10" s="153" t="n">
        <f aca="false">(INT(K6/$X10)-INT(J6/$X10))*$X$7</f>
        <v>0</v>
      </c>
      <c r="L10" s="153" t="n">
        <f aca="false">(INT(L6/$X10)-INT(K6/$X10))*$X$7</f>
        <v>0</v>
      </c>
      <c r="M10" s="153" t="n">
        <f aca="false">(INT(M6/$X10)-INT(L6/$X10))*$X$7</f>
        <v>0</v>
      </c>
      <c r="N10" s="153" t="n">
        <f aca="false">(INT(N6/$X10)-INT(M6/$X10))*$X$7</f>
        <v>2</v>
      </c>
      <c r="O10" s="153" t="n">
        <f aca="false">(INT(O6/$X10)-INT(N6/$X10))*$X$7</f>
        <v>0</v>
      </c>
      <c r="P10" s="153" t="n">
        <f aca="false">(INT(P6/$X10)-INT(O6/$X10))*$X$7</f>
        <v>0</v>
      </c>
      <c r="Q10" s="153" t="n">
        <f aca="false">(INT(Q6/$X10)-INT(P6/$X10))*$X$7</f>
        <v>0</v>
      </c>
      <c r="R10" s="153" t="n">
        <f aca="false">(INT(R6/$X10)-INT(Q6/$X10))*$X$7</f>
        <v>0</v>
      </c>
      <c r="S10" s="153" t="n">
        <f aca="false">(INT(S6/$X10)-INT(R6/$X10))*$X$7</f>
        <v>0</v>
      </c>
      <c r="T10" s="153" t="n">
        <f aca="false">(INT(T6/$X10)-INT(S6/$X10))*$X$7</f>
        <v>2</v>
      </c>
      <c r="U10" s="153" t="n">
        <f aca="false">(INT(U6/$X10)-INT(T6/$X10))*$X$7</f>
        <v>0</v>
      </c>
      <c r="V10" s="380" t="n">
        <f aca="false">(INT(V6/$X10)-INT(U6/$X10))*$X$7</f>
        <v>0</v>
      </c>
      <c r="W10" s="789" t="s">
        <v>1388</v>
      </c>
      <c r="X10" s="788" t="n">
        <f aca="false">IF($AD$6=1,'GTDB(7FA)'!B14,'GTDB(7FA)'!G14)</f>
        <v>48000</v>
      </c>
      <c r="Y10" s="785"/>
      <c r="Z10" s="785"/>
      <c r="AA10" s="0" t="s">
        <v>1007</v>
      </c>
    </row>
    <row r="11" customFormat="false" ht="11.25" hidden="false" customHeight="true" outlineLevel="0" collapsed="false">
      <c r="A11" s="157"/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790"/>
      <c r="X11" s="791"/>
      <c r="Y11" s="785"/>
      <c r="Z11" s="785"/>
      <c r="AF11" s="792"/>
    </row>
    <row r="12" customFormat="false" ht="12.75" hidden="true" customHeight="false" outlineLevel="0" collapsed="false">
      <c r="A12" s="153" t="s">
        <v>1383</v>
      </c>
      <c r="B12" s="153"/>
      <c r="C12" s="153" t="str">
        <f aca="false">IF(C8=0," ",IF(C8/$X$7=1,"C",C8/$X$7&amp;"C"))</f>
        <v>C</v>
      </c>
      <c r="D12" s="153" t="str">
        <f aca="false">IF(D8=0," ",IF(D8/$X$7=1,"C",D8/$X$7&amp;"C"))</f>
        <v>C</v>
      </c>
      <c r="E12" s="153" t="str">
        <f aca="false">IF(E8=0," ",IF(E8/$X$7=1,"C",E8/$X$7&amp;"C"))</f>
        <v> </v>
      </c>
      <c r="F12" s="153" t="str">
        <f aca="false">IF(F8=0," ",IF(F8/$X$7=1,"C",F8/$X$7&amp;"C"))</f>
        <v>C</v>
      </c>
      <c r="G12" s="153" t="str">
        <f aca="false">IF(G8=0," ",IF(G8/$X$7=1,"C",G8/$X$7&amp;"C"))</f>
        <v>C</v>
      </c>
      <c r="H12" s="153" t="str">
        <f aca="false">IF(H8=0," ",IF(H8/$X$7=1,"C",H8/$X$7&amp;"C"))</f>
        <v> </v>
      </c>
      <c r="I12" s="153" t="str">
        <f aca="false">IF(I8=0," ",IF(I8/$X$7=1,"C",I8/$X$7&amp;"C"))</f>
        <v>C</v>
      </c>
      <c r="J12" s="153" t="str">
        <f aca="false">IF(J8=0," ",IF(J8/$X$7=1,"C",J8/$X$7&amp;"C"))</f>
        <v>C</v>
      </c>
      <c r="K12" s="153" t="str">
        <f aca="false">IF(K8=0," ",IF(K8/$X$7=1,"C",K8/$X$7&amp;"C"))</f>
        <v> </v>
      </c>
      <c r="L12" s="153" t="str">
        <f aca="false">IF(L8=0," ",IF(L8/$X$7=1,"C",L8/$X$7&amp;"C"))</f>
        <v>C</v>
      </c>
      <c r="M12" s="153" t="str">
        <f aca="false">IF(M8=0," ",IF(M8/$X$7=1,"C",M8/$X$7&amp;"C"))</f>
        <v>C</v>
      </c>
      <c r="N12" s="153" t="str">
        <f aca="false">IF(N8=0," ",IF(N8/$X$7=1,"C",N8/$X$7&amp;"C"))</f>
        <v> </v>
      </c>
      <c r="O12" s="153" t="str">
        <f aca="false">IF(O8=0," ",IF(O8/$X$7=1,"C",O8/$X$7&amp;"C"))</f>
        <v>C</v>
      </c>
      <c r="P12" s="153" t="str">
        <f aca="false">IF(P8=0," ",IF(P8/$X$7=1,"C",P8/$X$7&amp;"C"))</f>
        <v>C</v>
      </c>
      <c r="Q12" s="153" t="str">
        <f aca="false">IF(Q8=0," ",IF(Q8/$X$7=1,"C",Q8/$X$7&amp;"C"))</f>
        <v> </v>
      </c>
      <c r="R12" s="153" t="str">
        <f aca="false">IF(R8=0," ",IF(R8/$X$7=1,"C",R8/$X$7&amp;"C"))</f>
        <v>C</v>
      </c>
      <c r="S12" s="153" t="str">
        <f aca="false">IF(S8=0," ",IF(S8/$X$7=1,"C",S8/$X$7&amp;"C"))</f>
        <v>C</v>
      </c>
      <c r="T12" s="153" t="str">
        <f aca="false">IF(T8=0," ",IF(T8/$X$7=1,"C",T8/$X$7&amp;"C"))</f>
        <v> </v>
      </c>
      <c r="U12" s="153" t="str">
        <f aca="false">IF(U8=0," ",IF(U8/$X$7=1,"C",U8/$X$7&amp;"C"))</f>
        <v>C</v>
      </c>
      <c r="V12" s="153" t="str">
        <f aca="false">IF(V8=0," ",IF(V8/$X$7=1,"C",V8/$X$7&amp;"C"))</f>
        <v>C</v>
      </c>
      <c r="W12" s="518"/>
      <c r="X12" s="793"/>
      <c r="Y12" s="794"/>
      <c r="Z12" s="794"/>
    </row>
    <row r="13" customFormat="false" ht="12.75" hidden="true" customHeight="false" outlineLevel="0" collapsed="false">
      <c r="A13" s="153" t="s">
        <v>1385</v>
      </c>
      <c r="B13" s="153"/>
      <c r="C13" s="153" t="str">
        <f aca="false">IF(C9=0," ",IF(C9/$X$7=1,"H",C9/$X$7&amp;"H"))</f>
        <v> </v>
      </c>
      <c r="D13" s="153" t="str">
        <f aca="false">IF(D9=0," ",IF(D9/$X$7=1,"H",D9/$X$7&amp;"H"))</f>
        <v> </v>
      </c>
      <c r="E13" s="153" t="str">
        <f aca="false">IF(E9=0," ",IF(E9/$X$7=1,"H",E9/$X$7&amp;"H"))</f>
        <v>H</v>
      </c>
      <c r="F13" s="153" t="str">
        <f aca="false">IF(F9=0," ",IF(F9/$X$7=1,"H",F9/$X$7&amp;"H"))</f>
        <v> </v>
      </c>
      <c r="G13" s="153" t="str">
        <f aca="false">IF(G9=0," ",IF(G9/$X$7=1,"H",G9/$X$7&amp;"H"))</f>
        <v> </v>
      </c>
      <c r="H13" s="153" t="str">
        <f aca="false">IF(H9=0," ",IF(H9/$X$7=1,"H",H9/$X$7&amp;"H"))</f>
        <v> </v>
      </c>
      <c r="I13" s="153" t="str">
        <f aca="false">IF(I9=0," ",IF(I9/$X$7=1,"H",I9/$X$7&amp;"H"))</f>
        <v> </v>
      </c>
      <c r="J13" s="153" t="str">
        <f aca="false">IF(J9=0," ",IF(J9/$X$7=1,"H",J9/$X$7&amp;"H"))</f>
        <v> </v>
      </c>
      <c r="K13" s="153" t="str">
        <f aca="false">IF(K9=0," ",IF(K9/$X$7=1,"H",K9/$X$7&amp;"H"))</f>
        <v>H</v>
      </c>
      <c r="L13" s="153" t="str">
        <f aca="false">IF(L9=0," ",IF(L9/$X$7=1,"H",L9/$X$7&amp;"H"))</f>
        <v> </v>
      </c>
      <c r="M13" s="153" t="str">
        <f aca="false">IF(M9=0," ",IF(M9/$X$7=1,"H",M9/$X$7&amp;"H"))</f>
        <v> </v>
      </c>
      <c r="N13" s="153" t="str">
        <f aca="false">IF(N9=0," ",IF(N9/$X$7=1,"H",N9/$X$7&amp;"H"))</f>
        <v> </v>
      </c>
      <c r="O13" s="153" t="str">
        <f aca="false">IF(O9=0," ",IF(O9/$X$7=1,"H",O9/$X$7&amp;"H"))</f>
        <v> </v>
      </c>
      <c r="P13" s="153" t="str">
        <f aca="false">IF(P9=0," ",IF(P9/$X$7=1,"H",P9/$X$7&amp;"H"))</f>
        <v> </v>
      </c>
      <c r="Q13" s="153" t="str">
        <f aca="false">IF(Q9=0," ",IF(Q9/$X$7=1,"H",Q9/$X$7&amp;"H"))</f>
        <v>H</v>
      </c>
      <c r="R13" s="153" t="str">
        <f aca="false">IF(R9=0," ",IF(R9/$X$7=1,"H",R9/$X$7&amp;"H"))</f>
        <v> </v>
      </c>
      <c r="S13" s="153" t="str">
        <f aca="false">IF(S9=0," ",IF(S9/$X$7=1,"H",S9/$X$7&amp;"H"))</f>
        <v> </v>
      </c>
      <c r="T13" s="153" t="str">
        <f aca="false">IF(T9=0," ",IF(T9/$X$7=1,"H",T9/$X$7&amp;"H"))</f>
        <v> </v>
      </c>
      <c r="U13" s="153" t="str">
        <f aca="false">IF(U9=0," ",IF(U9/$X$7=1,"H",U9/$X$7&amp;"H"))</f>
        <v> </v>
      </c>
      <c r="V13" s="153" t="str">
        <f aca="false">IF(V9=0," ",IF(V9/$X$7=1,"H",V9/$X$7&amp;"H"))</f>
        <v> </v>
      </c>
      <c r="W13" s="518"/>
      <c r="X13" s="793"/>
      <c r="Y13" s="794"/>
      <c r="Z13" s="794"/>
    </row>
    <row r="14" customFormat="false" ht="12.75" hidden="true" customHeight="true" outlineLevel="0" collapsed="false">
      <c r="A14" s="153" t="s">
        <v>1387</v>
      </c>
      <c r="B14" s="153"/>
      <c r="C14" s="153" t="str">
        <f aca="false">IF(C10=0," ",IF(C10/$X$7=1,"M",C10/$X$7&amp;"M"))</f>
        <v> </v>
      </c>
      <c r="D14" s="153" t="str">
        <f aca="false">IF(D10=0," ",IF(D10/$X$7=1,"M",D10/$X$7&amp;"M"))</f>
        <v> </v>
      </c>
      <c r="E14" s="153" t="str">
        <f aca="false">IF(E10=0," ",IF(E10/$X$7=1,"M",E10/$X$7&amp;"M"))</f>
        <v> </v>
      </c>
      <c r="F14" s="153" t="str">
        <f aca="false">IF(F10=0," ",IF(F10/$X$7=1,"M",F10/$X$7&amp;"M"))</f>
        <v> </v>
      </c>
      <c r="G14" s="153" t="str">
        <f aca="false">IF(G10=0," ",IF(G10/$X$7=1,"M",G10/$X$7&amp;"M"))</f>
        <v> </v>
      </c>
      <c r="H14" s="153" t="str">
        <f aca="false">IF(H10=0," ",IF(H10/$X$7=1,"M",H10/$X$7&amp;"M"))</f>
        <v>M</v>
      </c>
      <c r="I14" s="153" t="str">
        <f aca="false">IF(I10=0," ",IF(I10/$X$7=1,"M",I10/$X$7&amp;"M"))</f>
        <v> </v>
      </c>
      <c r="J14" s="153" t="str">
        <f aca="false">IF(J10=0," ",IF(J10/$X$7=1,"M",J10/$X$7&amp;"M"))</f>
        <v> </v>
      </c>
      <c r="K14" s="153" t="str">
        <f aca="false">IF(K10=0," ",IF(K10/$X$7=1,"M",K10/$X$7&amp;"M"))</f>
        <v> </v>
      </c>
      <c r="L14" s="153" t="str">
        <f aca="false">IF(L10=0," ",IF(L10/$X$7=1,"M",L10/$X$7&amp;"M"))</f>
        <v> </v>
      </c>
      <c r="M14" s="153" t="str">
        <f aca="false">IF(M10=0," ",IF(M10/$X$7=1,"M",M10/$X$7&amp;"M"))</f>
        <v> </v>
      </c>
      <c r="N14" s="153" t="str">
        <f aca="false">IF(N10=0," ",IF(N10/$X$7=1,"M",N10/$X$7&amp;"M"))</f>
        <v>M</v>
      </c>
      <c r="O14" s="153" t="str">
        <f aca="false">IF(O10=0," ",IF(O10/$X$7=1,"M",O10/$X$7&amp;"M"))</f>
        <v> </v>
      </c>
      <c r="P14" s="153" t="str">
        <f aca="false">IF(P10=0," ",IF(P10/$X$7=1,"M",P10/$X$7&amp;"M"))</f>
        <v> </v>
      </c>
      <c r="Q14" s="153" t="str">
        <f aca="false">IF(Q10=0," ",IF(Q10/$X$7=1,"M",Q10/$X$7&amp;"M"))</f>
        <v> </v>
      </c>
      <c r="R14" s="153" t="str">
        <f aca="false">IF(R10=0," ",IF(R10/$X$7=1,"M",R10/$X$7&amp;"M"))</f>
        <v> </v>
      </c>
      <c r="S14" s="153" t="str">
        <f aca="false">IF(S10=0," ",IF(S10/$X$7=1,"M",S10/$X$7&amp;"M"))</f>
        <v> </v>
      </c>
      <c r="T14" s="153" t="str">
        <f aca="false">IF(T10=0," ",IF(T10/$X$7=1,"M",T10/$X$7&amp;"M"))</f>
        <v>M</v>
      </c>
      <c r="U14" s="153" t="str">
        <f aca="false">IF(U10=0," ",IF(U10/$X$7=1,"M",U10/$X$7&amp;"M"))</f>
        <v> </v>
      </c>
      <c r="V14" s="153" t="str">
        <f aca="false">IF(V10=0," ",IF(V10/$X$7=1,"M",V10/$X$7&amp;"M"))</f>
        <v> </v>
      </c>
      <c r="W14" s="108" t="s">
        <v>1007</v>
      </c>
    </row>
    <row r="15" customFormat="false" ht="36.75" hidden="false" customHeight="true" outlineLevel="0" collapsed="false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795"/>
      <c r="W15" s="796" t="s">
        <v>1389</v>
      </c>
      <c r="X15" s="797" t="s">
        <v>1390</v>
      </c>
      <c r="Y15" s="797" t="s">
        <v>1391</v>
      </c>
      <c r="Z15" s="797" t="s">
        <v>1392</v>
      </c>
      <c r="AA15" s="798" t="s">
        <v>1393</v>
      </c>
      <c r="AB15" s="797" t="s">
        <v>1394</v>
      </c>
    </row>
    <row r="16" customFormat="false" ht="12.75" hidden="true" customHeight="false" outlineLevel="0" collapsed="false">
      <c r="A16" s="153" t="s">
        <v>1395</v>
      </c>
      <c r="B16" s="511"/>
      <c r="C16" s="153" t="n">
        <f aca="false">INT((INT(C$6/$X17)*$X$7+$X$7+$Z17-1)/($X$7+$Z17)/$Y17)</f>
        <v>0</v>
      </c>
      <c r="D16" s="153" t="n">
        <f aca="false">INT((INT(D$6/$X17)*$X$7+$X$7+$Z17-1)/($X$7+$Z17)/$Y17)</f>
        <v>0</v>
      </c>
      <c r="E16" s="153" t="n">
        <f aca="false">INT((INT(E$6/$X17)*$X$7+$X$7+$Z17-1)/($X$7+$Z17)/$Y17)</f>
        <v>0</v>
      </c>
      <c r="F16" s="153" t="n">
        <f aca="false">INT((INT(F$6/$X17)*$X$7+$X$7+$Z17-1)/($X$7+$Z17)/$Y17)</f>
        <v>0</v>
      </c>
      <c r="G16" s="153" t="n">
        <f aca="false">INT((INT(G$6/$X17)*$X$7+$X$7+$Z17-1)/($X$7+$Z17)/$Y17)</f>
        <v>0</v>
      </c>
      <c r="H16" s="153" t="n">
        <f aca="false">INT((INT(H$6/$X17)*$X$7+$X$7+$Z17-1)/($X$7+$Z17)/$Y17)</f>
        <v>0</v>
      </c>
      <c r="I16" s="153" t="n">
        <f aca="false">INT((INT(I$6/$X17)*$X$7+$X$7+$Z17-1)/($X$7+$Z17)/$Y17)</f>
        <v>1</v>
      </c>
      <c r="J16" s="153" t="n">
        <f aca="false">INT((INT(J$6/$X17)*$X$7+$X$7+$Z17-1)/($X$7+$Z17)/$Y17)</f>
        <v>1</v>
      </c>
      <c r="K16" s="153" t="n">
        <f aca="false">INT((INT(K$6/$X17)*$X$7+$X$7+$Z17-1)/($X$7+$Z17)/$Y17)</f>
        <v>1</v>
      </c>
      <c r="L16" s="153" t="n">
        <f aca="false">INT((INT(L$6/$X17)*$X$7+$X$7+$Z17-1)/($X$7+$Z17)/$Y17)</f>
        <v>1</v>
      </c>
      <c r="M16" s="153" t="n">
        <f aca="false">INT((INT(M$6/$X17)*$X$7+$X$7+$Z17-1)/($X$7+$Z17)/$Y17)</f>
        <v>1</v>
      </c>
      <c r="N16" s="153" t="n">
        <f aca="false">INT((INT(N$6/$X17)*$X$7+$X$7+$Z17-1)/($X$7+$Z17)/$Y17)</f>
        <v>1</v>
      </c>
      <c r="O16" s="153" t="n">
        <f aca="false">INT((INT(O$6/$X17)*$X$7+$X$7+$Z17-1)/($X$7+$Z17)/$Y17)</f>
        <v>1</v>
      </c>
      <c r="P16" s="153" t="n">
        <f aca="false">INT((INT(P$6/$X17)*$X$7+$X$7+$Z17-1)/($X$7+$Z17)/$Y17)</f>
        <v>2</v>
      </c>
      <c r="Q16" s="153" t="n">
        <f aca="false">INT((INT(Q$6/$X17)*$X$7+$X$7+$Z17-1)/($X$7+$Z17)/$Y17)</f>
        <v>2</v>
      </c>
      <c r="R16" s="153" t="n">
        <f aca="false">INT((INT(R$6/$X17)*$X$7+$X$7+$Z17-1)/($X$7+$Z17)/$Y17)</f>
        <v>2</v>
      </c>
      <c r="S16" s="153" t="n">
        <f aca="false">INT((INT(S$6/$X17)*$X$7+$X$7+$Z17-1)/($X$7+$Z17)/$Y17)</f>
        <v>2</v>
      </c>
      <c r="T16" s="153" t="n">
        <f aca="false">INT((INT(T$6/$X17)*$X$7+$X$7+$Z17-1)/($X$7+$Z17)/$Y17)</f>
        <v>2</v>
      </c>
      <c r="U16" s="153" t="n">
        <f aca="false">INT((INT(U$6/$X17)*$X$7+$X$7+$Z17-1)/($X$7+$Z17)/$Y17)</f>
        <v>2</v>
      </c>
      <c r="V16" s="153" t="n">
        <f aca="false">INT((INT(V$6/$X17)*$X$7+$X$7+$Z17-1)/($X$7+$Z17)/$Y17)</f>
        <v>2</v>
      </c>
      <c r="AB16" s="153"/>
    </row>
    <row r="17" customFormat="false" ht="12.75" hidden="false" customHeight="false" outlineLevel="0" collapsed="false">
      <c r="A17" s="153" t="s">
        <v>1396</v>
      </c>
      <c r="B17" s="511" t="s">
        <v>1007</v>
      </c>
      <c r="C17" s="511" t="n">
        <f aca="false">IF($Y17=1,0,$X$7*(INT(C$6/$X17)-INT(B$6/$X17))-IF(SUM($B17:B17)&gt;0,C18,0))</f>
        <v>2</v>
      </c>
      <c r="D17" s="511" t="n">
        <f aca="false">IF($Y17=1,0,$X$7*(INT(D$6/$X17)-INT(C$6/$X17))-IF(SUM($B17:C17)&gt;0,D18,0))</f>
        <v>2</v>
      </c>
      <c r="E17" s="511" t="n">
        <f aca="false">IF($Y17=1,0,$X$7*(INT(E$6/$X17)-INT(D$6/$X17))-IF(SUM($B17:D17)&gt;0,E18,0))</f>
        <v>2</v>
      </c>
      <c r="F17" s="511" t="n">
        <f aca="false">IF($Y17=1,0,$X$7*(INT(F$6/$X17)-INT(E$6/$X17))-IF(SUM($B17:E17)&gt;0,F18,0))</f>
        <v>2</v>
      </c>
      <c r="G17" s="511" t="n">
        <f aca="false">IF($Y17=1,0,$X$7*(INT(G$6/$X17)-INT(F$6/$X17))-IF(SUM($B17:F17)&gt;0,G18,0))</f>
        <v>2</v>
      </c>
      <c r="H17" s="511" t="n">
        <f aca="false">IF($Y17=1,0,$X$7*(INT(H$6/$X17)-INT(G$6/$X17))-IF(SUM($B17:G17)&gt;0,H18,0))</f>
        <v>2</v>
      </c>
      <c r="I17" s="511" t="n">
        <f aca="false">IF($Y17=1,0,$X$7*(INT(I$6/$X17)-INT(H$6/$X17))-IF(SUM($B17:H17)&gt;0,I18,0))</f>
        <v>0</v>
      </c>
      <c r="J17" s="511" t="n">
        <f aca="false">IF($Y17=1,0,$X$7*(INT(J$6/$X17)-INT(I$6/$X17))-IF(SUM($B17:I17)&gt;0,J18,0))</f>
        <v>1</v>
      </c>
      <c r="K17" s="511" t="n">
        <f aca="false">IF($Y17=1,0,$X$7*(INT(K$6/$X17)-INT(J$6/$X17))-IF(SUM($B17:J17)&gt;0,K18,0))</f>
        <v>2</v>
      </c>
      <c r="L17" s="511" t="n">
        <f aca="false">IF($Y17=1,0,$X$7*(INT(L$6/$X17)-INT(K$6/$X17))-IF(SUM($B17:K17)&gt;0,L18,0))</f>
        <v>2</v>
      </c>
      <c r="M17" s="511" t="n">
        <f aca="false">IF($Y17=1,0,$X$7*(INT(M$6/$X17)-INT(L$6/$X17))-IF(SUM($B17:L17)&gt;0,M18,0))</f>
        <v>2</v>
      </c>
      <c r="N17" s="511" t="n">
        <f aca="false">IF($Y17=1,0,$X$7*(INT(N$6/$X17)-INT(M$6/$X17))-IF(SUM($B17:M17)&gt;0,N18,0))</f>
        <v>2</v>
      </c>
      <c r="O17" s="511" t="n">
        <f aca="false">IF($Y17=1,0,$X$7*(INT(O$6/$X17)-INT(N$6/$X17))-IF(SUM($B17:N17)&gt;0,O18,0))</f>
        <v>2</v>
      </c>
      <c r="P17" s="511" t="n">
        <f aca="false">IF($Y17=1,0,$X$7*(INT(P$6/$X17)-INT(O$6/$X17))-IF(SUM($B17:O17)&gt;0,P18,0))</f>
        <v>1</v>
      </c>
      <c r="Q17" s="511" t="n">
        <f aca="false">IF($Y17=1,0,$X$7*(INT(Q$6/$X17)-INT(P$6/$X17))-IF(SUM($B17:P17)&gt;0,Q18,0))</f>
        <v>0</v>
      </c>
      <c r="R17" s="511" t="n">
        <f aca="false">IF($Y17=1,0,$X$7*(INT(R$6/$X17)-INT(Q$6/$X17))-IF(SUM($B17:Q17)&gt;0,R18,0))</f>
        <v>2</v>
      </c>
      <c r="S17" s="511" t="n">
        <f aca="false">IF($Y17=1,0,$X$7*(INT(S$6/$X17)-INT(R$6/$X17))-IF(SUM($B17:R17)&gt;0,S18,0))</f>
        <v>2</v>
      </c>
      <c r="T17" s="511" t="n">
        <f aca="false">IF($Y17=1,0,$X$7*(INT(T$6/$X17)-INT(S$6/$X17))-IF(SUM($B17:S17)&gt;0,T18,0))</f>
        <v>2</v>
      </c>
      <c r="U17" s="511" t="n">
        <f aca="false">IF($Y17=1,0,$X$7*(INT(U$6/$X17)-INT(T$6/$X17))-IF(SUM($B17:T17)&gt;0,U18,0))</f>
        <v>2</v>
      </c>
      <c r="V17" s="511" t="n">
        <f aca="false">IF($Y17=1,0,$X$7*(INT(V$6/$X17)-INT(U$6/$X17))-IF(SUM($B17:U17)&gt;0,V18,0))</f>
        <v>2</v>
      </c>
      <c r="W17" s="799" t="str">
        <f aca="false">'GT schd cost(7FA)'!A14</f>
        <v>Combustion Liners</v>
      </c>
      <c r="X17" s="800" t="n">
        <f aca="false">IF($AD$6=1,'GTDB(7FA)'!B17,'GTDB(7FA)'!G17)</f>
        <v>8000</v>
      </c>
      <c r="Y17" s="800" t="n">
        <f aca="false">IF($AD$6=1,'GTDB(7FA)'!C17,'GTDB(7FA)'!H17)</f>
        <v>5</v>
      </c>
      <c r="Z17" s="801" t="n">
        <v>1</v>
      </c>
      <c r="AA17" s="802" t="n">
        <f aca="false">'Initial_Spares(7FA)'!$E$11</f>
        <v>1</v>
      </c>
      <c r="AB17" s="764" t="n">
        <f aca="false">'GT schd cost(7FA)'!X14+'GT schd cost(7FA)'!X37</f>
        <v>9953.256</v>
      </c>
    </row>
    <row r="18" customFormat="false" ht="12.75" hidden="false" customHeight="false" outlineLevel="0" collapsed="false">
      <c r="A18" s="153" t="s">
        <v>1397</v>
      </c>
      <c r="B18" s="511" t="s">
        <v>1007</v>
      </c>
      <c r="C18" s="511" t="n">
        <f aca="false">IF(INT(C$6/$X17)*$X$7&gt;C16*($X$7+$Z17)*$Y17,C16*($X$7+$Z17)-SUM($B18:B18),INT(C$6/$X17)*$X$7-C16*($X$7+$Z17)*($Y17-1)-SUM($B18:B18))+IF($Y17&gt;1,IF(INT(C$6/$X17)&gt;0,$Z17-$AA17,0),-$AA17)</f>
        <v>0</v>
      </c>
      <c r="D18" s="511" t="n">
        <f aca="false">IF(INT(D$6/$X17)*$X$7&gt;D16*($X$7+$Z17)*$Y17,D16*($X$7+$Z17)-SUM($B18:C18),INT(D$6/$X17)*$X$7-D16*($X$7+$Z17)*($Y17-1)-SUM($B18:C18))+IF($Y17&gt;1,IF(INT(D$6/$X17)&gt;0,$Z17-$AA17,0),-$AA17)</f>
        <v>0</v>
      </c>
      <c r="E18" s="511" t="n">
        <f aca="false">IF(INT(E$6/$X17)*$X$7&gt;E16*($X$7+$Z17)*$Y17,E16*($X$7+$Z17)-SUM($B18:D18),INT(E$6/$X17)*$X$7-E16*($X$7+$Z17)*($Y17-1)-SUM($B18:D18))+IF($Y17&gt;1,IF(INT(E$6/$X17)&gt;0,$Z17-$AA17,0),-$AA17)</f>
        <v>0</v>
      </c>
      <c r="F18" s="511" t="n">
        <f aca="false">IF(INT(F$6/$X17)*$X$7&gt;F16*($X$7+$Z17)*$Y17,F16*($X$7+$Z17)-SUM($B18:E18),INT(F$6/$X17)*$X$7-F16*($X$7+$Z17)*($Y17-1)-SUM($B18:E18))+IF($Y17&gt;1,IF(INT(F$6/$X17)&gt;0,$Z17-$AA17,0),-$AA17)</f>
        <v>0</v>
      </c>
      <c r="G18" s="511" t="n">
        <f aca="false">IF(INT(G$6/$X17)*$X$7&gt;G16*($X$7+$Z17)*$Y17,G16*($X$7+$Z17)-SUM($B18:F18),INT(G$6/$X17)*$X$7-G16*($X$7+$Z17)*($Y17-1)-SUM($B18:F18))+IF($Y17&gt;1,IF(INT(G$6/$X17)&gt;0,$Z17-$AA17,0),-$AA17)</f>
        <v>0</v>
      </c>
      <c r="H18" s="511" t="n">
        <f aca="false">IF(INT(H$6/$X17)*$X$7&gt;H16*($X$7+$Z17)*$Y17,H16*($X$7+$Z17)-SUM($B18:G18),INT(H$6/$X17)*$X$7-H16*($X$7+$Z17)*($Y17-1)-SUM($B18:G18))+IF($Y17&gt;1,IF(INT(H$6/$X17)&gt;0,$Z17-$AA17,0),-$AA17)</f>
        <v>0</v>
      </c>
      <c r="I18" s="511" t="n">
        <f aca="false">IF(INT(I$6/$X17)*$X$7&gt;I16*($X$7+$Z17)*$Y17,I16*($X$7+$Z17)-SUM($B18:H18),INT(I$6/$X17)*$X$7-I16*($X$7+$Z17)*($Y17-1)-SUM($B18:H18))+IF($Y17&gt;1,IF(INT(I$6/$X17)&gt;0,$Z17-$AA17,0),-$AA17)</f>
        <v>2</v>
      </c>
      <c r="J18" s="511" t="n">
        <f aca="false">IF(INT(J$6/$X17)*$X$7&gt;J16*($X$7+$Z17)*$Y17,J16*($X$7+$Z17)-SUM($B18:I18),INT(J$6/$X17)*$X$7-J16*($X$7+$Z17)*($Y17-1)-SUM($B18:I18))+IF($Y17&gt;1,IF(INT(J$6/$X17)&gt;0,$Z17-$AA17,0),-$AA17)</f>
        <v>1</v>
      </c>
      <c r="K18" s="511" t="n">
        <f aca="false">IF(INT(K$6/$X17)*$X$7&gt;K16*($X$7+$Z17)*$Y17,K16*($X$7+$Z17)-SUM($B18:J18),INT(K$6/$X17)*$X$7-K16*($X$7+$Z17)*($Y17-1)-SUM($B18:J18))+IF($Y17&gt;1,IF(INT(K$6/$X17)&gt;0,$Z17-$AA17,0),-$AA17)</f>
        <v>0</v>
      </c>
      <c r="L18" s="511" t="n">
        <f aca="false">IF(INT(L$6/$X17)*$X$7&gt;L16*($X$7+$Z17)*$Y17,L16*($X$7+$Z17)-SUM($B18:K18),INT(L$6/$X17)*$X$7-L16*($X$7+$Z17)*($Y17-1)-SUM($B18:K18))+IF($Y17&gt;1,IF(INT(L$6/$X17)&gt;0,$Z17-$AA17,0),-$AA17)</f>
        <v>0</v>
      </c>
      <c r="M18" s="511" t="n">
        <f aca="false">IF(INT(M$6/$X17)*$X$7&gt;M16*($X$7+$Z17)*$Y17,M16*($X$7+$Z17)-SUM($B18:L18),INT(M$6/$X17)*$X$7-M16*($X$7+$Z17)*($Y17-1)-SUM($B18:L18))+IF($Y17&gt;1,IF(INT(M$6/$X17)&gt;0,$Z17-$AA17,0),-$AA17)</f>
        <v>0</v>
      </c>
      <c r="N18" s="511" t="n">
        <f aca="false">IF(INT(N$6/$X17)*$X$7&gt;N16*($X$7+$Z17)*$Y17,N16*($X$7+$Z17)-SUM($B18:M18),INT(N$6/$X17)*$X$7-N16*($X$7+$Z17)*($Y17-1)-SUM($B18:M18))+IF($Y17&gt;1,IF(INT(N$6/$X17)&gt;0,$Z17-$AA17,0),-$AA17)</f>
        <v>0</v>
      </c>
      <c r="O18" s="511" t="n">
        <f aca="false">IF(INT(O$6/$X17)*$X$7&gt;O16*($X$7+$Z17)*$Y17,O16*($X$7+$Z17)-SUM($B18:N18),INT(O$6/$X17)*$X$7-O16*($X$7+$Z17)*($Y17-1)-SUM($B18:N18))+IF($Y17&gt;1,IF(INT(O$6/$X17)&gt;0,$Z17-$AA17,0),-$AA17)</f>
        <v>0</v>
      </c>
      <c r="P18" s="511" t="n">
        <f aca="false">IF(INT(P$6/$X17)*$X$7&gt;P16*($X$7+$Z17)*$Y17,P16*($X$7+$Z17)-SUM($B18:O18),INT(P$6/$X17)*$X$7-P16*($X$7+$Z17)*($Y17-1)-SUM($B18:O18))+IF($Y17&gt;1,IF(INT(P$6/$X17)&gt;0,$Z17-$AA17,0),-$AA17)</f>
        <v>1</v>
      </c>
      <c r="Q18" s="511" t="n">
        <f aca="false">IF(INT(Q$6/$X17)*$X$7&gt;Q16*($X$7+$Z17)*$Y17,Q16*($X$7+$Z17)-SUM($B18:P18),INT(Q$6/$X17)*$X$7-Q16*($X$7+$Z17)*($Y17-1)-SUM($B18:P18))+IF($Y17&gt;1,IF(INT(Q$6/$X17)&gt;0,$Z17-$AA17,0),-$AA17)</f>
        <v>2</v>
      </c>
      <c r="R18" s="511" t="n">
        <f aca="false">IF(INT(R$6/$X17)*$X$7&gt;R16*($X$7+$Z17)*$Y17,R16*($X$7+$Z17)-SUM($B18:Q18),INT(R$6/$X17)*$X$7-R16*($X$7+$Z17)*($Y17-1)-SUM($B18:Q18))+IF($Y17&gt;1,IF(INT(R$6/$X17)&gt;0,$Z17-$AA17,0),-$AA17)</f>
        <v>0</v>
      </c>
      <c r="S18" s="511" t="n">
        <f aca="false">IF(INT(S$6/$X17)*$X$7&gt;S16*($X$7+$Z17)*$Y17,S16*($X$7+$Z17)-SUM($B18:R18),INT(S$6/$X17)*$X$7-S16*($X$7+$Z17)*($Y17-1)-SUM($B18:R18))+IF($Y17&gt;1,IF(INT(S$6/$X17)&gt;0,$Z17-$AA17,0),-$AA17)</f>
        <v>0</v>
      </c>
      <c r="T18" s="511" t="n">
        <f aca="false">IF(INT(T$6/$X17)*$X$7&gt;T16*($X$7+$Z17)*$Y17,T16*($X$7+$Z17)-SUM($B18:S18),INT(T$6/$X17)*$X$7-T16*($X$7+$Z17)*($Y17-1)-SUM($B18:S18))+IF($Y17&gt;1,IF(INT(T$6/$X17)&gt;0,$Z17-$AA17,0),-$AA17)</f>
        <v>0</v>
      </c>
      <c r="U18" s="511" t="n">
        <f aca="false">IF(INT(U$6/$X17)*$X$7&gt;U16*($X$7+$Z17)*$Y17,U16*($X$7+$Z17)-SUM($B18:T18),INT(U$6/$X17)*$X$7-U16*($X$7+$Z17)*($Y17-1)-SUM($B18:T18))+IF($Y17&gt;1,IF(INT(U$6/$X17)&gt;0,$Z17-$AA17,0),-$AA17)</f>
        <v>0</v>
      </c>
      <c r="V18" s="511" t="n">
        <f aca="false">IF(INT(V$6/$X17)*$X$7&gt;V16*($X$7+$Z17)*$Y17,V16*($X$7+$Z17)-SUM($B18:U18),INT(V$6/$X17)*$X$7-V16*($X$7+$Z17)*($Y17-1)-SUM($B18:U18))+IF($Y17&gt;1,IF(INT(V$6/$X17)&gt;0,$Z17-$AA17,0),-$AA17)</f>
        <v>0</v>
      </c>
      <c r="W18" s="803"/>
    </row>
    <row r="19" customFormat="false" ht="12.75" hidden="false" customHeight="false" outlineLevel="0" collapsed="false"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803" t="s">
        <v>1007</v>
      </c>
      <c r="X19" s="0" t="s">
        <v>1007</v>
      </c>
    </row>
    <row r="20" customFormat="false" ht="12.75" hidden="true" customHeight="false" outlineLevel="0" collapsed="false">
      <c r="A20" s="153" t="s">
        <v>1395</v>
      </c>
      <c r="B20" s="511"/>
      <c r="C20" s="153" t="n">
        <f aca="false">INT((INT(C$6/$X21)*$X$7+$X$7+$Z21-1)/($X$7+$Z21)/$Y21)</f>
        <v>0</v>
      </c>
      <c r="D20" s="153" t="n">
        <f aca="false">INT((INT(D$6/$X21)*$X$7+$X$7+$Z21-1)/($X$7+$Z21)/$Y21)</f>
        <v>0</v>
      </c>
      <c r="E20" s="153" t="n">
        <f aca="false">INT((INT(E$6/$X21)*$X$7+$X$7+$Z21-1)/($X$7+$Z21)/$Y21)</f>
        <v>0</v>
      </c>
      <c r="F20" s="153" t="n">
        <f aca="false">INT((INT(F$6/$X21)*$X$7+$X$7+$Z21-1)/($X$7+$Z21)/$Y21)</f>
        <v>0</v>
      </c>
      <c r="G20" s="153" t="n">
        <f aca="false">INT((INT(G$6/$X21)*$X$7+$X$7+$Z21-1)/($X$7+$Z21)/$Y21)</f>
        <v>0</v>
      </c>
      <c r="H20" s="153" t="n">
        <f aca="false">INT((INT(H$6/$X21)*$X$7+$X$7+$Z21-1)/($X$7+$Z21)/$Y21)</f>
        <v>0</v>
      </c>
      <c r="I20" s="153" t="n">
        <f aca="false">INT((INT(I$6/$X21)*$X$7+$X$7+$Z21-1)/($X$7+$Z21)/$Y21)</f>
        <v>1</v>
      </c>
      <c r="J20" s="153" t="n">
        <f aca="false">INT((INT(J$6/$X21)*$X$7+$X$7+$Z21-1)/($X$7+$Z21)/$Y21)</f>
        <v>1</v>
      </c>
      <c r="K20" s="153" t="n">
        <f aca="false">INT((INT(K$6/$X21)*$X$7+$X$7+$Z21-1)/($X$7+$Z21)/$Y21)</f>
        <v>1</v>
      </c>
      <c r="L20" s="153" t="n">
        <f aca="false">INT((INT(L$6/$X21)*$X$7+$X$7+$Z21-1)/($X$7+$Z21)/$Y21)</f>
        <v>1</v>
      </c>
      <c r="M20" s="153" t="n">
        <f aca="false">INT((INT(M$6/$X21)*$X$7+$X$7+$Z21-1)/($X$7+$Z21)/$Y21)</f>
        <v>1</v>
      </c>
      <c r="N20" s="153" t="n">
        <f aca="false">INT((INT(N$6/$X21)*$X$7+$X$7+$Z21-1)/($X$7+$Z21)/$Y21)</f>
        <v>1</v>
      </c>
      <c r="O20" s="153" t="n">
        <f aca="false">INT((INT(O$6/$X21)*$X$7+$X$7+$Z21-1)/($X$7+$Z21)/$Y21)</f>
        <v>1</v>
      </c>
      <c r="P20" s="153" t="n">
        <f aca="false">INT((INT(P$6/$X21)*$X$7+$X$7+$Z21-1)/($X$7+$Z21)/$Y21)</f>
        <v>2</v>
      </c>
      <c r="Q20" s="153" t="n">
        <f aca="false">INT((INT(Q$6/$X21)*$X$7+$X$7+$Z21-1)/($X$7+$Z21)/$Y21)</f>
        <v>2</v>
      </c>
      <c r="R20" s="153" t="n">
        <f aca="false">INT((INT(R$6/$X21)*$X$7+$X$7+$Z21-1)/($X$7+$Z21)/$Y21)</f>
        <v>2</v>
      </c>
      <c r="S20" s="153" t="n">
        <f aca="false">INT((INT(S$6/$X21)*$X$7+$X$7+$Z21-1)/($X$7+$Z21)/$Y21)</f>
        <v>2</v>
      </c>
      <c r="T20" s="153" t="n">
        <f aca="false">INT((INT(T$6/$X21)*$X$7+$X$7+$Z21-1)/($X$7+$Z21)/$Y21)</f>
        <v>2</v>
      </c>
      <c r="U20" s="153" t="n">
        <f aca="false">INT((INT(U$6/$X21)*$X$7+$X$7+$Z21-1)/($X$7+$Z21)/$Y21)</f>
        <v>2</v>
      </c>
      <c r="V20" s="153" t="n">
        <f aca="false">INT((INT(V$6/$X21)*$X$7+$X$7+$Z21-1)/($X$7+$Z21)/$Y21)</f>
        <v>2</v>
      </c>
    </row>
    <row r="21" customFormat="false" ht="12.75" hidden="false" customHeight="false" outlineLevel="0" collapsed="false">
      <c r="A21" s="153" t="s">
        <v>1396</v>
      </c>
      <c r="B21" s="511" t="s">
        <v>1007</v>
      </c>
      <c r="C21" s="511" t="n">
        <f aca="false">IF($Y21=1,0,$X$7*(INT(C$6/$X21)-INT(B$6/$X21))-IF(SUM($B21:B21)&gt;0,C22,0))</f>
        <v>2</v>
      </c>
      <c r="D21" s="511" t="n">
        <f aca="false">IF($Y21=1,0,$X$7*(INT(D$6/$X21)-INT(C$6/$X21))-IF(SUM($B21:C21)&gt;0,D22,0))</f>
        <v>2</v>
      </c>
      <c r="E21" s="511" t="n">
        <f aca="false">IF($Y21=1,0,$X$7*(INT(E$6/$X21)-INT(D$6/$X21))-IF(SUM($B21:D21)&gt;0,E22,0))</f>
        <v>2</v>
      </c>
      <c r="F21" s="511" t="n">
        <f aca="false">IF($Y21=1,0,$X$7*(INT(F$6/$X21)-INT(E$6/$X21))-IF(SUM($B21:E21)&gt;0,F22,0))</f>
        <v>2</v>
      </c>
      <c r="G21" s="511" t="n">
        <f aca="false">IF($Y21=1,0,$X$7*(INT(G$6/$X21)-INT(F$6/$X21))-IF(SUM($B21:F21)&gt;0,G22,0))</f>
        <v>2</v>
      </c>
      <c r="H21" s="511" t="n">
        <f aca="false">IF($Y21=1,0,$X$7*(INT(H$6/$X21)-INT(G$6/$X21))-IF(SUM($B21:G21)&gt;0,H22,0))</f>
        <v>2</v>
      </c>
      <c r="I21" s="511" t="n">
        <f aca="false">IF($Y21=1,0,$X$7*(INT(I$6/$X21)-INT(H$6/$X21))-IF(SUM($B21:H21)&gt;0,I22,0))</f>
        <v>0</v>
      </c>
      <c r="J21" s="511" t="n">
        <f aca="false">IF($Y21=1,0,$X$7*(INT(J$6/$X21)-INT(I$6/$X21))-IF(SUM($B21:I21)&gt;0,J22,0))</f>
        <v>1</v>
      </c>
      <c r="K21" s="511" t="n">
        <f aca="false">IF($Y21=1,0,$X$7*(INT(K$6/$X21)-INT(J$6/$X21))-IF(SUM($B21:J21)&gt;0,K22,0))</f>
        <v>2</v>
      </c>
      <c r="L21" s="511" t="n">
        <f aca="false">IF($Y21=1,0,$X$7*(INT(L$6/$X21)-INT(K$6/$X21))-IF(SUM($B21:K21)&gt;0,L22,0))</f>
        <v>2</v>
      </c>
      <c r="M21" s="511" t="n">
        <f aca="false">IF($Y21=1,0,$X$7*(INT(M$6/$X21)-INT(L$6/$X21))-IF(SUM($B21:L21)&gt;0,M22,0))</f>
        <v>2</v>
      </c>
      <c r="N21" s="511" t="n">
        <f aca="false">IF($Y21=1,0,$X$7*(INT(N$6/$X21)-INT(M$6/$X21))-IF(SUM($B21:M21)&gt;0,N22,0))</f>
        <v>2</v>
      </c>
      <c r="O21" s="511" t="n">
        <f aca="false">IF($Y21=1,0,$X$7*(INT(O$6/$X21)-INT(N$6/$X21))-IF(SUM($B21:N21)&gt;0,O22,0))</f>
        <v>2</v>
      </c>
      <c r="P21" s="511" t="n">
        <f aca="false">IF($Y21=1,0,$X$7*(INT(P$6/$X21)-INT(O$6/$X21))-IF(SUM($B21:O21)&gt;0,P22,0))</f>
        <v>1</v>
      </c>
      <c r="Q21" s="511" t="n">
        <f aca="false">IF($Y21=1,0,$X$7*(INT(Q$6/$X21)-INT(P$6/$X21))-IF(SUM($B21:P21)&gt;0,Q22,0))</f>
        <v>0</v>
      </c>
      <c r="R21" s="511" t="n">
        <f aca="false">IF($Y21=1,0,$X$7*(INT(R$6/$X21)-INT(Q$6/$X21))-IF(SUM($B21:Q21)&gt;0,R22,0))</f>
        <v>2</v>
      </c>
      <c r="S21" s="511" t="n">
        <f aca="false">IF($Y21=1,0,$X$7*(INT(S$6/$X21)-INT(R$6/$X21))-IF(SUM($B21:R21)&gt;0,S22,0))</f>
        <v>2</v>
      </c>
      <c r="T21" s="511" t="n">
        <f aca="false">IF($Y21=1,0,$X$7*(INT(T$6/$X21)-INT(S$6/$X21))-IF(SUM($B21:S21)&gt;0,T22,0))</f>
        <v>2</v>
      </c>
      <c r="U21" s="511" t="n">
        <f aca="false">IF($Y21=1,0,$X$7*(INT(U$6/$X21)-INT(T$6/$X21))-IF(SUM($B21:T21)&gt;0,U22,0))</f>
        <v>2</v>
      </c>
      <c r="V21" s="511" t="n">
        <f aca="false">IF($Y21=1,0,$X$7*(INT(V$6/$X21)-INT(U$6/$X21))-IF(SUM($B21:U21)&gt;0,V22,0))</f>
        <v>2</v>
      </c>
      <c r="W21" s="800" t="str">
        <f aca="false">'GT schd cost(7FA)'!A15</f>
        <v>Transition Pieces</v>
      </c>
      <c r="X21" s="800" t="n">
        <f aca="false">IF($AD$6=1,'GTDB(7FA)'!B18,'GTDB(7FA)'!G18)</f>
        <v>8000</v>
      </c>
      <c r="Y21" s="800" t="n">
        <f aca="false">IF($AD$6=1,'GTDB(7FA)'!C18,'GTDB(7FA)'!H18)</f>
        <v>5</v>
      </c>
      <c r="Z21" s="801" t="n">
        <v>1</v>
      </c>
      <c r="AA21" s="804" t="n">
        <f aca="false">'Initial_Spares(7FA)'!$E$12</f>
        <v>1</v>
      </c>
      <c r="AB21" s="764" t="n">
        <f aca="false">'GT schd cost(7FA)'!X15+'GT schd cost(7FA)'!X38</f>
        <v>14165.606</v>
      </c>
    </row>
    <row r="22" customFormat="false" ht="12.75" hidden="false" customHeight="false" outlineLevel="0" collapsed="false">
      <c r="A22" s="153" t="s">
        <v>1397</v>
      </c>
      <c r="B22" s="511" t="s">
        <v>1007</v>
      </c>
      <c r="C22" s="511" t="n">
        <f aca="false">IF(INT(C$6/$X21)*$X$7&gt;C20*($X$7+$Z21)*$Y21,C20*($X$7+$Z21)-SUM($B22:B22),INT(C$6/$X21)*$X$7-C20*($X$7+$Z21)*($Y21-1)-SUM($B22:B22))+IF($Y21&gt;1,IF(INT(C$6/$X21)&gt;0,$Z21-$AA21,0),-$AA21)</f>
        <v>0</v>
      </c>
      <c r="D22" s="511" t="n">
        <f aca="false">IF(INT(D$6/$X21)*$X$7&gt;D20*($X$7+$Z21)*$Y21,D20*($X$7+$Z21)-SUM($B22:C22),INT(D$6/$X21)*$X$7-D20*($X$7+$Z21)*($Y21-1)-SUM($B22:C22))+IF($Y21&gt;1,IF(INT(D$6/$X21)&gt;0,$Z21-$AA21,0),-$AA21)</f>
        <v>0</v>
      </c>
      <c r="E22" s="511" t="n">
        <f aca="false">IF(INT(E$6/$X21)*$X$7&gt;E20*($X$7+$Z21)*$Y21,E20*($X$7+$Z21)-SUM($B22:D22),INT(E$6/$X21)*$X$7-E20*($X$7+$Z21)*($Y21-1)-SUM($B22:D22))+IF($Y21&gt;1,IF(INT(E$6/$X21)&gt;0,$Z21-$AA21,0),-$AA21)</f>
        <v>0</v>
      </c>
      <c r="F22" s="511" t="n">
        <f aca="false">IF(INT(F$6/$X21)*$X$7&gt;F20*($X$7+$Z21)*$Y21,F20*($X$7+$Z21)-SUM($B22:E22),INT(F$6/$X21)*$X$7-F20*($X$7+$Z21)*($Y21-1)-SUM($B22:E22))+IF($Y21&gt;1,IF(INT(F$6/$X21)&gt;0,$Z21-$AA21,0),-$AA21)</f>
        <v>0</v>
      </c>
      <c r="G22" s="511" t="n">
        <f aca="false">IF(INT(G$6/$X21)*$X$7&gt;G20*($X$7+$Z21)*$Y21,G20*($X$7+$Z21)-SUM($B22:F22),INT(G$6/$X21)*$X$7-G20*($X$7+$Z21)*($Y21-1)-SUM($B22:F22))+IF($Y21&gt;1,IF(INT(G$6/$X21)&gt;0,$Z21-$AA21,0),-$AA21)</f>
        <v>0</v>
      </c>
      <c r="H22" s="511" t="n">
        <f aca="false">IF(INT(H$6/$X21)*$X$7&gt;H20*($X$7+$Z21)*$Y21,H20*($X$7+$Z21)-SUM($B22:G22),INT(H$6/$X21)*$X$7-H20*($X$7+$Z21)*($Y21-1)-SUM($B22:G22))+IF($Y21&gt;1,IF(INT(H$6/$X21)&gt;0,$Z21-$AA21,0),-$AA21)</f>
        <v>0</v>
      </c>
      <c r="I22" s="511" t="n">
        <f aca="false">IF(INT(I$6/$X21)*$X$7&gt;I20*($X$7+$Z21)*$Y21,I20*($X$7+$Z21)-SUM($B22:H22),INT(I$6/$X21)*$X$7-I20*($X$7+$Z21)*($Y21-1)-SUM($B22:H22))+IF($Y21&gt;1,IF(INT(I$6/$X21)&gt;0,$Z21-$AA21,0),-$AA21)</f>
        <v>2</v>
      </c>
      <c r="J22" s="511" t="n">
        <f aca="false">IF(INT(J$6/$X21)*$X$7&gt;J20*($X$7+$Z21)*$Y21,J20*($X$7+$Z21)-SUM($B22:I22),INT(J$6/$X21)*$X$7-J20*($X$7+$Z21)*($Y21-1)-SUM($B22:I22))+IF($Y21&gt;1,IF(INT(J$6/$X21)&gt;0,$Z21-$AA21,0),-$AA21)</f>
        <v>1</v>
      </c>
      <c r="K22" s="511" t="n">
        <f aca="false">IF(INT(K$6/$X21)*$X$7&gt;K20*($X$7+$Z21)*$Y21,K20*($X$7+$Z21)-SUM($B22:J22),INT(K$6/$X21)*$X$7-K20*($X$7+$Z21)*($Y21-1)-SUM($B22:J22))+IF($Y21&gt;1,IF(INT(K$6/$X21)&gt;0,$Z21-$AA21,0),-$AA21)</f>
        <v>0</v>
      </c>
      <c r="L22" s="511" t="n">
        <f aca="false">IF(INT(L$6/$X21)*$X$7&gt;L20*($X$7+$Z21)*$Y21,L20*($X$7+$Z21)-SUM($B22:K22),INT(L$6/$X21)*$X$7-L20*($X$7+$Z21)*($Y21-1)-SUM($B22:K22))+IF($Y21&gt;1,IF(INT(L$6/$X21)&gt;0,$Z21-$AA21,0),-$AA21)</f>
        <v>0</v>
      </c>
      <c r="M22" s="511" t="n">
        <f aca="false">IF(INT(M$6/$X21)*$X$7&gt;M20*($X$7+$Z21)*$Y21,M20*($X$7+$Z21)-SUM($B22:L22),INT(M$6/$X21)*$X$7-M20*($X$7+$Z21)*($Y21-1)-SUM($B22:L22))+IF($Y21&gt;1,IF(INT(M$6/$X21)&gt;0,$Z21-$AA21,0),-$AA21)</f>
        <v>0</v>
      </c>
      <c r="N22" s="511" t="n">
        <f aca="false">IF(INT(N$6/$X21)*$X$7&gt;N20*($X$7+$Z21)*$Y21,N20*($X$7+$Z21)-SUM($B22:M22),INT(N$6/$X21)*$X$7-N20*($X$7+$Z21)*($Y21-1)-SUM($B22:M22))+IF($Y21&gt;1,IF(INT(N$6/$X21)&gt;0,$Z21-$AA21,0),-$AA21)</f>
        <v>0</v>
      </c>
      <c r="O22" s="511" t="n">
        <f aca="false">IF(INT(O$6/$X21)*$X$7&gt;O20*($X$7+$Z21)*$Y21,O20*($X$7+$Z21)-SUM($B22:N22),INT(O$6/$X21)*$X$7-O20*($X$7+$Z21)*($Y21-1)-SUM($B22:N22))+IF($Y21&gt;1,IF(INT(O$6/$X21)&gt;0,$Z21-$AA21,0),-$AA21)</f>
        <v>0</v>
      </c>
      <c r="P22" s="511" t="n">
        <f aca="false">IF(INT(P$6/$X21)*$X$7&gt;P20*($X$7+$Z21)*$Y21,P20*($X$7+$Z21)-SUM($B22:O22),INT(P$6/$X21)*$X$7-P20*($X$7+$Z21)*($Y21-1)-SUM($B22:O22))+IF($Y21&gt;1,IF(INT(P$6/$X21)&gt;0,$Z21-$AA21,0),-$AA21)</f>
        <v>1</v>
      </c>
      <c r="Q22" s="511" t="n">
        <f aca="false">IF(INT(Q$6/$X21)*$X$7&gt;Q20*($X$7+$Z21)*$Y21,Q20*($X$7+$Z21)-SUM($B22:P22),INT(Q$6/$X21)*$X$7-Q20*($X$7+$Z21)*($Y21-1)-SUM($B22:P22))+IF($Y21&gt;1,IF(INT(Q$6/$X21)&gt;0,$Z21-$AA21,0),-$AA21)</f>
        <v>2</v>
      </c>
      <c r="R22" s="511" t="n">
        <f aca="false">IF(INT(R$6/$X21)*$X$7&gt;R20*($X$7+$Z21)*$Y21,R20*($X$7+$Z21)-SUM($B22:Q22),INT(R$6/$X21)*$X$7-R20*($X$7+$Z21)*($Y21-1)-SUM($B22:Q22))+IF($Y21&gt;1,IF(INT(R$6/$X21)&gt;0,$Z21-$AA21,0),-$AA21)</f>
        <v>0</v>
      </c>
      <c r="S22" s="511" t="n">
        <f aca="false">IF(INT(S$6/$X21)*$X$7&gt;S20*($X$7+$Z21)*$Y21,S20*($X$7+$Z21)-SUM($B22:R22),INT(S$6/$X21)*$X$7-S20*($X$7+$Z21)*($Y21-1)-SUM($B22:R22))+IF($Y21&gt;1,IF(INT(S$6/$X21)&gt;0,$Z21-$AA21,0),-$AA21)</f>
        <v>0</v>
      </c>
      <c r="T22" s="511" t="n">
        <f aca="false">IF(INT(T$6/$X21)*$X$7&gt;T20*($X$7+$Z21)*$Y21,T20*($X$7+$Z21)-SUM($B22:S22),INT(T$6/$X21)*$X$7-T20*($X$7+$Z21)*($Y21-1)-SUM($B22:S22))+IF($Y21&gt;1,IF(INT(T$6/$X21)&gt;0,$Z21-$AA21,0),-$AA21)</f>
        <v>0</v>
      </c>
      <c r="U22" s="511" t="n">
        <f aca="false">IF(INT(U$6/$X21)*$X$7&gt;U20*($X$7+$Z21)*$Y21,U20*($X$7+$Z21)-SUM($B22:T22),INT(U$6/$X21)*$X$7-U20*($X$7+$Z21)*($Y21-1)-SUM($B22:T22))+IF($Y21&gt;1,IF(INT(U$6/$X21)&gt;0,$Z21-$AA21,0),-$AA21)</f>
        <v>0</v>
      </c>
      <c r="V22" s="511" t="n">
        <f aca="false">IF(INT(V$6/$X21)*$X$7&gt;V20*($X$7+$Z21)*$Y21,V20*($X$7+$Z21)-SUM($B22:U22),INT(V$6/$X21)*$X$7-V20*($X$7+$Z21)*($Y21-1)-SUM($B22:U22))+IF($Y21&gt;1,IF(INT(V$6/$X21)&gt;0,$Z21-$AA21,0),-$AA21)</f>
        <v>0</v>
      </c>
      <c r="W22" s="803"/>
    </row>
    <row r="23" customFormat="false" ht="12.75" hidden="false" customHeight="false" outlineLevel="0" collapsed="false">
      <c r="W23" s="803"/>
    </row>
    <row r="24" customFormat="false" ht="12.75" hidden="true" customHeight="false" outlineLevel="0" collapsed="false">
      <c r="A24" s="153" t="s">
        <v>1395</v>
      </c>
      <c r="B24" s="511"/>
      <c r="C24" s="153" t="e">
        <f aca="false">INT((INT(C$6/$X25)*$X$7+$X$7+$Z25-1)/($X$7+$Z25)/$Y25)</f>
        <v>#REF!</v>
      </c>
      <c r="D24" s="153" t="e">
        <f aca="false">INT((INT(D$6/$X25)*$X$7+$X$7+$Z25-1)/($X$7+$Z25)/$Y25)</f>
        <v>#REF!</v>
      </c>
      <c r="E24" s="153" t="e">
        <f aca="false">INT((INT(E$6/$X25)*$X$7+$X$7+$Z25-1)/($X$7+$Z25)/$Y25)</f>
        <v>#REF!</v>
      </c>
      <c r="F24" s="153" t="e">
        <f aca="false">INT((INT(F$6/$X25)*$X$7+$X$7+$Z25-1)/($X$7+$Z25)/$Y25)</f>
        <v>#REF!</v>
      </c>
      <c r="G24" s="153" t="e">
        <f aca="false">INT((INT(G$6/$X25)*$X$7+$X$7+$Z25-1)/($X$7+$Z25)/$Y25)</f>
        <v>#REF!</v>
      </c>
      <c r="H24" s="153" t="e">
        <f aca="false">INT((INT(H$6/$X25)*$X$7+$X$7+$Z25-1)/($X$7+$Z25)/$Y25)</f>
        <v>#REF!</v>
      </c>
      <c r="I24" s="153" t="e">
        <f aca="false">INT((INT(I$6/$X25)*$X$7+$X$7+$Z25-1)/($X$7+$Z25)/$Y25)</f>
        <v>#REF!</v>
      </c>
      <c r="J24" s="153" t="e">
        <f aca="false">INT((INT(J$6/$X25)*$X$7+$X$7+$Z25-1)/($X$7+$Z25)/$Y25)</f>
        <v>#REF!</v>
      </c>
      <c r="K24" s="153" t="e">
        <f aca="false">INT((INT(K$6/$X25)*$X$7+$X$7+$Z25-1)/($X$7+$Z25)/$Y25)</f>
        <v>#REF!</v>
      </c>
      <c r="L24" s="153" t="e">
        <f aca="false">INT((INT(L$6/$X25)*$X$7+$X$7+$Z25-1)/($X$7+$Z25)/$Y25)</f>
        <v>#REF!</v>
      </c>
      <c r="M24" s="153" t="e">
        <f aca="false">INT((INT(M$6/$X25)*$X$7+$X$7+$Z25-1)/($X$7+$Z25)/$Y25)</f>
        <v>#REF!</v>
      </c>
      <c r="N24" s="153" t="e">
        <f aca="false">INT((INT(N$6/$X25)*$X$7+$X$7+$Z25-1)/($X$7+$Z25)/$Y25)</f>
        <v>#REF!</v>
      </c>
      <c r="O24" s="153" t="e">
        <f aca="false">INT((INT(O$6/$X25)*$X$7+$X$7+$Z25-1)/($X$7+$Z25)/$Y25)</f>
        <v>#REF!</v>
      </c>
      <c r="P24" s="153" t="e">
        <f aca="false">INT((INT(P$6/$X25)*$X$7+$X$7+$Z25-1)/($X$7+$Z25)/$Y25)</f>
        <v>#REF!</v>
      </c>
      <c r="Q24" s="153" t="e">
        <f aca="false">INT((INT(Q$6/$X25)*$X$7+$X$7+$Z25-1)/($X$7+$Z25)/$Y25)</f>
        <v>#REF!</v>
      </c>
      <c r="R24" s="153" t="e">
        <f aca="false">INT((INT(R$6/$X25)*$X$7+$X$7+$Z25-1)/($X$7+$Z25)/$Y25)</f>
        <v>#REF!</v>
      </c>
      <c r="S24" s="153" t="e">
        <f aca="false">INT((INT(S$6/$X25)*$X$7+$X$7+$Z25-1)/($X$7+$Z25)/$Y25)</f>
        <v>#REF!</v>
      </c>
      <c r="T24" s="153" t="e">
        <f aca="false">INT((INT(T$6/$X25)*$X$7+$X$7+$Z25-1)/($X$7+$Z25)/$Y25)</f>
        <v>#REF!</v>
      </c>
      <c r="U24" s="153" t="e">
        <f aca="false">INT((INT(U$6/$X25)*$X$7+$X$7+$Z25-1)/($X$7+$Z25)/$Y25)</f>
        <v>#REF!</v>
      </c>
      <c r="V24" s="153" t="e">
        <f aca="false">INT((INT(V$6/$X25)*$X$7+$X$7+$Z25-1)/($X$7+$Z25)/$Y25)</f>
        <v>#REF!</v>
      </c>
    </row>
    <row r="25" customFormat="false" ht="12.75" hidden="true" customHeight="false" outlineLevel="0" collapsed="false">
      <c r="A25" s="153" t="s">
        <v>1396</v>
      </c>
      <c r="B25" s="511" t="s">
        <v>1007</v>
      </c>
      <c r="C25" s="511" t="e">
        <f aca="false">IF($Y25=1,0,$X$7*(INT(C$6/$X25)-INT(B$6/$X25))-IF(SUM($B25:B25)&gt;0,C26,0))</f>
        <v>#REF!</v>
      </c>
      <c r="D25" s="511" t="e">
        <f aca="false">IF($Y25=1,0,$X$7*(INT(D$6/$X25)-INT(C$6/$X25))-IF(SUM($B25:C25)&gt;0,D26,0))</f>
        <v>#REF!</v>
      </c>
      <c r="E25" s="511" t="e">
        <f aca="false">IF($Y25=1,0,$X$7*(INT(E$6/$X25)-INT(D$6/$X25))-IF(SUM($B25:D25)&gt;0,E26,0))</f>
        <v>#REF!</v>
      </c>
      <c r="F25" s="511" t="e">
        <f aca="false">IF($Y25=1,0,$X$7*(INT(F$6/$X25)-INT(E$6/$X25))-IF(SUM($B25:E25)&gt;0,F26,0))</f>
        <v>#REF!</v>
      </c>
      <c r="G25" s="511" t="e">
        <f aca="false">IF($Y25=1,0,$X$7*(INT(G$6/$X25)-INT(F$6/$X25))-IF(SUM($B25:F25)&gt;0,G26,0))</f>
        <v>#REF!</v>
      </c>
      <c r="H25" s="511" t="e">
        <f aca="false">IF($Y25=1,0,$X$7*(INT(H$6/$X25)-INT(G$6/$X25))-IF(SUM($B25:G25)&gt;0,H26,0))</f>
        <v>#REF!</v>
      </c>
      <c r="I25" s="511" t="e">
        <f aca="false">IF($Y25=1,0,$X$7*(INT(I$6/$X25)-INT(H$6/$X25))-IF(SUM($B25:H25)&gt;0,I26,0))</f>
        <v>#REF!</v>
      </c>
      <c r="J25" s="511" t="e">
        <f aca="false">IF($Y25=1,0,$X$7*(INT(J$6/$X25)-INT(I$6/$X25))-IF(SUM($B25:I25)&gt;0,J26,0))</f>
        <v>#REF!</v>
      </c>
      <c r="K25" s="511" t="e">
        <f aca="false">IF($Y25=1,0,$X$7*(INT(K$6/$X25)-INT(J$6/$X25))-IF(SUM($B25:J25)&gt;0,K26,0))</f>
        <v>#REF!</v>
      </c>
      <c r="L25" s="511" t="e">
        <f aca="false">IF($Y25=1,0,$X$7*(INT(L$6/$X25)-INT(K$6/$X25))-IF(SUM($B25:K25)&gt;0,L26,0))</f>
        <v>#REF!</v>
      </c>
      <c r="M25" s="511" t="e">
        <f aca="false">IF($Y25=1,0,$X$7*(INT(M$6/$X25)-INT(L$6/$X25))-IF(SUM($B25:L25)&gt;0,M26,0))</f>
        <v>#REF!</v>
      </c>
      <c r="N25" s="511" t="e">
        <f aca="false">IF($Y25=1,0,$X$7*(INT(N$6/$X25)-INT(M$6/$X25))-IF(SUM($B25:M25)&gt;0,N26,0))</f>
        <v>#REF!</v>
      </c>
      <c r="O25" s="511" t="e">
        <f aca="false">IF($Y25=1,0,$X$7*(INT(O$6/$X25)-INT(N$6/$X25))-IF(SUM($B25:N25)&gt;0,O26,0))</f>
        <v>#REF!</v>
      </c>
      <c r="P25" s="511" t="e">
        <f aca="false">IF($Y25=1,0,$X$7*(INT(P$6/$X25)-INT(O$6/$X25))-IF(SUM($B25:O25)&gt;0,P26,0))</f>
        <v>#REF!</v>
      </c>
      <c r="Q25" s="511" t="e">
        <f aca="false">IF($Y25=1,0,$X$7*(INT(Q$6/$X25)-INT(P$6/$X25))-IF(SUM($B25:P25)&gt;0,Q26,0))</f>
        <v>#REF!</v>
      </c>
      <c r="R25" s="511" t="e">
        <f aca="false">IF($Y25=1,0,$X$7*(INT(R$6/$X25)-INT(Q$6/$X25))-IF(SUM($B25:Q25)&gt;0,R26,0))</f>
        <v>#REF!</v>
      </c>
      <c r="S25" s="511" t="e">
        <f aca="false">IF($Y25=1,0,$X$7*(INT(S$6/$X25)-INT(R$6/$X25))-IF(SUM($B25:R25)&gt;0,S26,0))</f>
        <v>#REF!</v>
      </c>
      <c r="T25" s="511" t="e">
        <f aca="false">IF($Y25=1,0,$X$7*(INT(T$6/$X25)-INT(S$6/$X25))-IF(SUM($B25:S25)&gt;0,T26,0))</f>
        <v>#REF!</v>
      </c>
      <c r="U25" s="511" t="e">
        <f aca="false">IF($Y25=1,0,$X$7*(INT(U$6/$X25)-INT(T$6/$X25))-IF(SUM($B25:T25)&gt;0,U26,0))</f>
        <v>#REF!</v>
      </c>
      <c r="V25" s="511" t="e">
        <f aca="false">IF($Y25=1,0,$X$7*(INT(V$6/$X25)-INT(U$6/$X25))-IF(SUM($B25:U25)&gt;0,V26,0))</f>
        <v>#REF!</v>
      </c>
      <c r="W25" s="800" t="e">
        <f aca="false">#REF!</f>
        <v>#REF!</v>
      </c>
      <c r="X25" s="800" t="e">
        <f aca="false">IF($AD$6=1,#REF!,#REF!)</f>
        <v>#REF!</v>
      </c>
      <c r="Y25" s="800" t="e">
        <f aca="false">IF($AD$6=1,#REF!,#REF!)</f>
        <v>#REF!</v>
      </c>
      <c r="Z25" s="801" t="n">
        <v>2</v>
      </c>
      <c r="AA25" s="776" t="n">
        <v>0</v>
      </c>
      <c r="AB25" s="764" t="e">
        <f aca="false">#REF!+#REF!</f>
        <v>#REF!</v>
      </c>
    </row>
    <row r="26" customFormat="false" ht="12.75" hidden="true" customHeight="false" outlineLevel="0" collapsed="false">
      <c r="A26" s="153" t="s">
        <v>1397</v>
      </c>
      <c r="B26" s="511" t="s">
        <v>1007</v>
      </c>
      <c r="C26" s="511" t="e">
        <f aca="false">IF(INT(C$6/$X25)*$X$7&gt;C24*($X$7+$Z25)*$Y25,C24*($X$7+$Z25)-SUM($B26:B26),INT(C$6/$X25)*$X$7-C24*($X$7+$Z25)*($Y25-1)-SUM($B26:B26))+IF($Y25&gt;1,IF(INT(C$6/$X25)&gt;0,$Z25-$AA25,0),-$AA25)</f>
        <v>#REF!</v>
      </c>
      <c r="D26" s="511" t="e">
        <f aca="false">IF(INT(D$6/$X25)*$X$7&gt;D24*($X$7+$Z25)*$Y25,D24*($X$7+$Z25)-SUM($B26:C26),INT(D$6/$X25)*$X$7-D24*($X$7+$Z25)*($Y25-1)-SUM($B26:C26))+IF($Y25&gt;1,IF(INT(D$6/$X25)&gt;0,$Z25-$AA25,0),-$AA25)</f>
        <v>#REF!</v>
      </c>
      <c r="E26" s="511" t="e">
        <f aca="false">IF(INT(E$6/$X25)*$X$7&gt;E24*($X$7+$Z25)*$Y25,E24*($X$7+$Z25)-SUM($B26:D26),INT(E$6/$X25)*$X$7-E24*($X$7+$Z25)*($Y25-1)-SUM($B26:D26))+IF($Y25&gt;1,IF(INT(E$6/$X25)&gt;0,$Z25-$AA25,0),-$AA25)</f>
        <v>#REF!</v>
      </c>
      <c r="F26" s="511" t="e">
        <f aca="false">IF(INT(F$6/$X25)*$X$7&gt;F24*($X$7+$Z25)*$Y25,F24*($X$7+$Z25)-SUM($B26:E26),INT(F$6/$X25)*$X$7-F24*($X$7+$Z25)*($Y25-1)-SUM($B26:E26))+IF($Y25&gt;1,IF(INT(F$6/$X25)&gt;0,$Z25-$AA25,0),-$AA25)</f>
        <v>#REF!</v>
      </c>
      <c r="G26" s="511" t="e">
        <f aca="false">IF(INT(G$6/$X25)*$X$7&gt;G24*($X$7+$Z25)*$Y25,G24*($X$7+$Z25)-SUM($B26:F26),INT(G$6/$X25)*$X$7-G24*($X$7+$Z25)*($Y25-1)-SUM($B26:F26))+IF($Y25&gt;1,IF(INT(G$6/$X25)&gt;0,$Z25-$AA25,0),-$AA25)</f>
        <v>#REF!</v>
      </c>
      <c r="H26" s="511" t="e">
        <f aca="false">IF(INT(H$6/$X25)*$X$7&gt;H24*($X$7+$Z25)*$Y25,H24*($X$7+$Z25)-SUM($B26:G26),INT(H$6/$X25)*$X$7-H24*($X$7+$Z25)*($Y25-1)-SUM($B26:G26))+IF($Y25&gt;1,IF(INT(H$6/$X25)&gt;0,$Z25-$AA25,0),-$AA25)</f>
        <v>#REF!</v>
      </c>
      <c r="I26" s="511" t="e">
        <f aca="false">IF(INT(I$6/$X25)*$X$7&gt;I24*($X$7+$Z25)*$Y25,I24*($X$7+$Z25)-SUM($B26:H26),INT(I$6/$X25)*$X$7-I24*($X$7+$Z25)*($Y25-1)-SUM($B26:H26))+IF($Y25&gt;1,IF(INT(I$6/$X25)&gt;0,$Z25-$AA25,0),-$AA25)</f>
        <v>#REF!</v>
      </c>
      <c r="J26" s="511" t="e">
        <f aca="false">IF(INT(J$6/$X25)*$X$7&gt;J24*($X$7+$Z25)*$Y25,J24*($X$7+$Z25)-SUM($B26:I26),INT(J$6/$X25)*$X$7-J24*($X$7+$Z25)*($Y25-1)-SUM($B26:I26))+IF($Y25&gt;1,IF(INT(J$6/$X25)&gt;0,$Z25-$AA25,0),-$AA25)</f>
        <v>#REF!</v>
      </c>
      <c r="K26" s="511" t="e">
        <f aca="false">IF(INT(K$6/$X25)*$X$7&gt;K24*($X$7+$Z25)*$Y25,K24*($X$7+$Z25)-SUM($B26:J26),INT(K$6/$X25)*$X$7-K24*($X$7+$Z25)*($Y25-1)-SUM($B26:J26))+IF($Y25&gt;1,IF(INT(K$6/$X25)&gt;0,$Z25-$AA25,0),-$AA25)</f>
        <v>#REF!</v>
      </c>
      <c r="L26" s="511" t="e">
        <f aca="false">IF(INT(L$6/$X25)*$X$7&gt;L24*($X$7+$Z25)*$Y25,L24*($X$7+$Z25)-SUM($B26:K26),INT(L$6/$X25)*$X$7-L24*($X$7+$Z25)*($Y25-1)-SUM($B26:K26))+IF($Y25&gt;1,IF(INT(L$6/$X25)&gt;0,$Z25-$AA25,0),-$AA25)</f>
        <v>#REF!</v>
      </c>
      <c r="M26" s="511" t="e">
        <f aca="false">IF(INT(M$6/$X25)*$X$7&gt;M24*($X$7+$Z25)*$Y25,M24*($X$7+$Z25)-SUM($B26:L26),INT(M$6/$X25)*$X$7-M24*($X$7+$Z25)*($Y25-1)-SUM($B26:L26))+IF($Y25&gt;1,IF(INT(M$6/$X25)&gt;0,$Z25-$AA25,0),-$AA25)</f>
        <v>#REF!</v>
      </c>
      <c r="N26" s="511" t="e">
        <f aca="false">IF(INT(N$6/$X25)*$X$7&gt;N24*($X$7+$Z25)*$Y25,N24*($X$7+$Z25)-SUM($B26:M26),INT(N$6/$X25)*$X$7-N24*($X$7+$Z25)*($Y25-1)-SUM($B26:M26))+IF($Y25&gt;1,IF(INT(N$6/$X25)&gt;0,$Z25-$AA25,0),-$AA25)</f>
        <v>#REF!</v>
      </c>
      <c r="O26" s="511" t="e">
        <f aca="false">IF(INT(O$6/$X25)*$X$7&gt;O24*($X$7+$Z25)*$Y25,O24*($X$7+$Z25)-SUM($B26:N26),INT(O$6/$X25)*$X$7-O24*($X$7+$Z25)*($Y25-1)-SUM($B26:N26))+IF($Y25&gt;1,IF(INT(O$6/$X25)&gt;0,$Z25-$AA25,0),-$AA25)</f>
        <v>#REF!</v>
      </c>
      <c r="P26" s="511" t="e">
        <f aca="false">IF(INT(P$6/$X25)*$X$7&gt;P24*($X$7+$Z25)*$Y25,P24*($X$7+$Z25)-SUM($B26:O26),INT(P$6/$X25)*$X$7-P24*($X$7+$Z25)*($Y25-1)-SUM($B26:O26))+IF($Y25&gt;1,IF(INT(P$6/$X25)&gt;0,$Z25-$AA25,0),-$AA25)</f>
        <v>#REF!</v>
      </c>
      <c r="Q26" s="511" t="e">
        <f aca="false">IF(INT(Q$6/$X25)*$X$7&gt;Q24*($X$7+$Z25)*$Y25,Q24*($X$7+$Z25)-SUM($B26:P26),INT(Q$6/$X25)*$X$7-Q24*($X$7+$Z25)*($Y25-1)-SUM($B26:P26))+IF($Y25&gt;1,IF(INT(Q$6/$X25)&gt;0,$Z25-$AA25,0),-$AA25)</f>
        <v>#REF!</v>
      </c>
      <c r="R26" s="511" t="e">
        <f aca="false">IF(INT(R$6/$X25)*$X$7&gt;R24*($X$7+$Z25)*$Y25,R24*($X$7+$Z25)-SUM($B26:Q26),INT(R$6/$X25)*$X$7-R24*($X$7+$Z25)*($Y25-1)-SUM($B26:Q26))+IF($Y25&gt;1,IF(INT(R$6/$X25)&gt;0,$Z25-$AA25,0),-$AA25)</f>
        <v>#REF!</v>
      </c>
      <c r="S26" s="511" t="e">
        <f aca="false">IF(INT(S$6/$X25)*$X$7&gt;S24*($X$7+$Z25)*$Y25,S24*($X$7+$Z25)-SUM($B26:R26),INT(S$6/$X25)*$X$7-S24*($X$7+$Z25)*($Y25-1)-SUM($B26:R26))+IF($Y25&gt;1,IF(INT(S$6/$X25)&gt;0,$Z25-$AA25,0),-$AA25)</f>
        <v>#REF!</v>
      </c>
      <c r="T26" s="511" t="e">
        <f aca="false">IF(INT(T$6/$X25)*$X$7&gt;T24*($X$7+$Z25)*$Y25,T24*($X$7+$Z25)-SUM($B26:S26),INT(T$6/$X25)*$X$7-T24*($X$7+$Z25)*($Y25-1)-SUM($B26:S26))+IF($Y25&gt;1,IF(INT(T$6/$X25)&gt;0,$Z25-$AA25,0),-$AA25)</f>
        <v>#REF!</v>
      </c>
      <c r="U26" s="511" t="e">
        <f aca="false">IF(INT(U$6/$X25)*$X$7&gt;U24*($X$7+$Z25)*$Y25,U24*($X$7+$Z25)-SUM($B26:T26),INT(U$6/$X25)*$X$7-U24*($X$7+$Z25)*($Y25-1)-SUM($B26:T26))+IF($Y25&gt;1,IF(INT(U$6/$X25)&gt;0,$Z25-$AA25,0),-$AA25)</f>
        <v>#REF!</v>
      </c>
      <c r="V26" s="511" t="e">
        <f aca="false">IF(INT(V$6/$X25)*$X$7&gt;V24*($X$7+$Z25)*$Y25,V24*($X$7+$Z25)-SUM($B26:U26),INT(V$6/$X25)*$X$7-V24*($X$7+$Z25)*($Y25-1)-SUM($B26:U26))+IF($Y25&gt;1,IF(INT(V$6/$X25)&gt;0,$Z25-$AA25,0),-$AA25)</f>
        <v>#REF!</v>
      </c>
      <c r="W26" s="803"/>
    </row>
    <row r="27" customFormat="false" ht="12.75" hidden="true" customHeight="false" outlineLevel="0" collapsed="false">
      <c r="W27" s="803"/>
    </row>
    <row r="28" customFormat="false" ht="12.75" hidden="true" customHeight="false" outlineLevel="0" collapsed="false">
      <c r="A28" s="153" t="s">
        <v>1395</v>
      </c>
      <c r="B28" s="511"/>
      <c r="C28" s="153" t="n">
        <f aca="false">INT((INT(C$6/$X29)*$X$7+$X$7+$Z29-1)/($X$7+$Z29)/$Y29)</f>
        <v>0</v>
      </c>
      <c r="D28" s="153" t="n">
        <f aca="false">INT((INT(D$6/$X29)*$X$7+$X$7+$Z29-1)/($X$7+$Z29)/$Y29)</f>
        <v>0</v>
      </c>
      <c r="E28" s="153" t="n">
        <f aca="false">INT((INT(E$6/$X29)*$X$7+$X$7+$Z29-1)/($X$7+$Z29)/$Y29)</f>
        <v>0</v>
      </c>
      <c r="F28" s="153" t="n">
        <f aca="false">INT((INT(F$6/$X29)*$X$7+$X$7+$Z29-1)/($X$7+$Z29)/$Y29)</f>
        <v>1</v>
      </c>
      <c r="G28" s="153" t="n">
        <f aca="false">INT((INT(G$6/$X29)*$X$7+$X$7+$Z29-1)/($X$7+$Z29)/$Y29)</f>
        <v>1</v>
      </c>
      <c r="H28" s="153" t="n">
        <f aca="false">INT((INT(H$6/$X29)*$X$7+$X$7+$Z29-1)/($X$7+$Z29)/$Y29)</f>
        <v>1</v>
      </c>
      <c r="I28" s="153" t="n">
        <f aca="false">INT((INT(I$6/$X29)*$X$7+$X$7+$Z29-1)/($X$7+$Z29)/$Y29)</f>
        <v>1</v>
      </c>
      <c r="J28" s="153" t="n">
        <f aca="false">INT((INT(J$6/$X29)*$X$7+$X$7+$Z29-1)/($X$7+$Z29)/$Y29)</f>
        <v>2</v>
      </c>
      <c r="K28" s="153" t="n">
        <f aca="false">INT((INT(K$6/$X29)*$X$7+$X$7+$Z29-1)/($X$7+$Z29)/$Y29)</f>
        <v>2</v>
      </c>
      <c r="L28" s="153" t="n">
        <f aca="false">INT((INT(L$6/$X29)*$X$7+$X$7+$Z29-1)/($X$7+$Z29)/$Y29)</f>
        <v>2</v>
      </c>
      <c r="M28" s="153" t="n">
        <f aca="false">INT((INT(M$6/$X29)*$X$7+$X$7+$Z29-1)/($X$7+$Z29)/$Y29)</f>
        <v>2</v>
      </c>
      <c r="N28" s="153" t="n">
        <f aca="false">INT((INT(N$6/$X29)*$X$7+$X$7+$Z29-1)/($X$7+$Z29)/$Y29)</f>
        <v>2</v>
      </c>
      <c r="O28" s="153" t="n">
        <f aca="false">INT((INT(O$6/$X29)*$X$7+$X$7+$Z29-1)/($X$7+$Z29)/$Y29)</f>
        <v>3</v>
      </c>
      <c r="P28" s="153" t="n">
        <f aca="false">INT((INT(P$6/$X29)*$X$7+$X$7+$Z29-1)/($X$7+$Z29)/$Y29)</f>
        <v>3</v>
      </c>
      <c r="Q28" s="153" t="n">
        <f aca="false">INT((INT(Q$6/$X29)*$X$7+$X$7+$Z29-1)/($X$7+$Z29)/$Y29)</f>
        <v>3</v>
      </c>
      <c r="R28" s="153" t="n">
        <f aca="false">INT((INT(R$6/$X29)*$X$7+$X$7+$Z29-1)/($X$7+$Z29)/$Y29)</f>
        <v>3</v>
      </c>
      <c r="S28" s="153" t="n">
        <f aca="false">INT((INT(S$6/$X29)*$X$7+$X$7+$Z29-1)/($X$7+$Z29)/$Y29)</f>
        <v>4</v>
      </c>
      <c r="T28" s="153" t="n">
        <f aca="false">INT((INT(T$6/$X29)*$X$7+$X$7+$Z29-1)/($X$7+$Z29)/$Y29)</f>
        <v>4</v>
      </c>
      <c r="U28" s="153" t="n">
        <f aca="false">INT((INT(U$6/$X29)*$X$7+$X$7+$Z29-1)/($X$7+$Z29)/$Y29)</f>
        <v>4</v>
      </c>
      <c r="V28" s="153" t="n">
        <f aca="false">INT((INT(V$6/$X29)*$X$7+$X$7+$Z29-1)/($X$7+$Z29)/$Y29)</f>
        <v>4</v>
      </c>
    </row>
    <row r="29" customFormat="false" ht="12.75" hidden="false" customHeight="false" outlineLevel="0" collapsed="false">
      <c r="A29" s="153" t="s">
        <v>1396</v>
      </c>
      <c r="B29" s="511" t="s">
        <v>1007</v>
      </c>
      <c r="C29" s="511" t="n">
        <f aca="false">IF($Y29=1,0,$X$7*(INT(C$6/$X29)-INT(B$6/$X29))-IF(SUM($B29:B29)&gt;0,C30,0))</f>
        <v>2</v>
      </c>
      <c r="D29" s="511" t="n">
        <f aca="false">IF($Y29=1,0,$X$7*(INT(D$6/$X29)-INT(C$6/$X29))-IF(SUM($B29:C29)&gt;0,D30,0))</f>
        <v>2</v>
      </c>
      <c r="E29" s="511" t="n">
        <f aca="false">IF($Y29=1,0,$X$7*(INT(E$6/$X29)-INT(D$6/$X29))-IF(SUM($B29:D29)&gt;0,E30,0))</f>
        <v>2</v>
      </c>
      <c r="F29" s="511" t="n">
        <f aca="false">IF($Y29=1,0,$X$7*(INT(F$6/$X29)-INT(E$6/$X29))-IF(SUM($B29:E29)&gt;0,F30,0))</f>
        <v>0</v>
      </c>
      <c r="G29" s="511" t="n">
        <f aca="false">IF($Y29=1,0,$X$7*(INT(G$6/$X29)-INT(F$6/$X29))-IF(SUM($B29:F29)&gt;0,G30,0))</f>
        <v>1</v>
      </c>
      <c r="H29" s="511" t="n">
        <f aca="false">IF($Y29=1,0,$X$7*(INT(H$6/$X29)-INT(G$6/$X29))-IF(SUM($B29:G29)&gt;0,H30,0))</f>
        <v>2</v>
      </c>
      <c r="I29" s="511" t="n">
        <f aca="false">IF($Y29=1,0,$X$7*(INT(I$6/$X29)-INT(H$6/$X29))-IF(SUM($B29:H29)&gt;0,I30,0))</f>
        <v>2</v>
      </c>
      <c r="J29" s="511" t="n">
        <f aca="false">IF($Y29=1,0,$X$7*(INT(J$6/$X29)-INT(I$6/$X29))-IF(SUM($B29:I29)&gt;0,J30,0))</f>
        <v>1</v>
      </c>
      <c r="K29" s="511" t="n">
        <f aca="false">IF($Y29=1,0,$X$7*(INT(K$6/$X29)-INT(J$6/$X29))-IF(SUM($B29:J29)&gt;0,K30,0))</f>
        <v>0</v>
      </c>
      <c r="L29" s="511" t="n">
        <f aca="false">IF($Y29=1,0,$X$7*(INT(L$6/$X29)-INT(K$6/$X29))-IF(SUM($B29:K29)&gt;0,L30,0))</f>
        <v>2</v>
      </c>
      <c r="M29" s="511" t="n">
        <f aca="false">IF($Y29=1,0,$X$7*(INT(M$6/$X29)-INT(L$6/$X29))-IF(SUM($B29:L29)&gt;0,M30,0))</f>
        <v>2</v>
      </c>
      <c r="N29" s="511" t="n">
        <f aca="false">IF($Y29=1,0,$X$7*(INT(N$6/$X29)-INT(M$6/$X29))-IF(SUM($B29:M29)&gt;0,N30,0))</f>
        <v>2</v>
      </c>
      <c r="O29" s="511" t="n">
        <f aca="false">IF($Y29=1,0,$X$7*(INT(O$6/$X29)-INT(N$6/$X29))-IF(SUM($B29:N29)&gt;0,O30,0))</f>
        <v>0</v>
      </c>
      <c r="P29" s="511" t="n">
        <f aca="false">IF($Y29=1,0,$X$7*(INT(P$6/$X29)-INT(O$6/$X29))-IF(SUM($B29:O29)&gt;0,P30,0))</f>
        <v>1</v>
      </c>
      <c r="Q29" s="511" t="n">
        <f aca="false">IF($Y29=1,0,$X$7*(INT(Q$6/$X29)-INT(P$6/$X29))-IF(SUM($B29:P29)&gt;0,Q30,0))</f>
        <v>2</v>
      </c>
      <c r="R29" s="511" t="n">
        <f aca="false">IF($Y29=1,0,$X$7*(INT(R$6/$X29)-INT(Q$6/$X29))-IF(SUM($B29:Q29)&gt;0,R30,0))</f>
        <v>2</v>
      </c>
      <c r="S29" s="511" t="n">
        <f aca="false">IF($Y29=1,0,$X$7*(INT(S$6/$X29)-INT(R$6/$X29))-IF(SUM($B29:R29)&gt;0,S30,0))</f>
        <v>1</v>
      </c>
      <c r="T29" s="511" t="n">
        <f aca="false">IF($Y29=1,0,$X$7*(INT(T$6/$X29)-INT(S$6/$X29))-IF(SUM($B29:S29)&gt;0,T30,0))</f>
        <v>0</v>
      </c>
      <c r="U29" s="511" t="n">
        <f aca="false">IF($Y29=1,0,$X$7*(INT(U$6/$X29)-INT(T$6/$X29))-IF(SUM($B29:T29)&gt;0,U30,0))</f>
        <v>2</v>
      </c>
      <c r="V29" s="511" t="n">
        <f aca="false">IF($Y29=1,0,$X$7*(INT(V$6/$X29)-INT(U$6/$X29))-IF(SUM($B29:U29)&gt;0,V30,0))</f>
        <v>2</v>
      </c>
      <c r="W29" s="800" t="str">
        <f aca="false">'GT schd cost(7FA)'!A16</f>
        <v>Fuel Nozzles</v>
      </c>
      <c r="X29" s="800" t="n">
        <f aca="false">IF($AD$6=1,'GTDB(7FA)'!B19,'GTDB(7FA)'!G19)</f>
        <v>8000</v>
      </c>
      <c r="Y29" s="800" t="n">
        <f aca="false">IF($AD$6=1,'GTDB(7FA)'!C19,'GTDB(7FA)'!H19)</f>
        <v>3</v>
      </c>
      <c r="Z29" s="801" t="n">
        <v>1</v>
      </c>
      <c r="AA29" s="805" t="n">
        <f aca="false">'Initial_Spares(7FA)'!$E$13</f>
        <v>1</v>
      </c>
      <c r="AB29" s="764" t="n">
        <f aca="false">'GT schd cost(7FA)'!X16+'GT schd cost(7FA)'!X39</f>
        <v>17616.716</v>
      </c>
    </row>
    <row r="30" customFormat="false" ht="12.75" hidden="false" customHeight="false" outlineLevel="0" collapsed="false">
      <c r="A30" s="153" t="s">
        <v>1397</v>
      </c>
      <c r="B30" s="511" t="s">
        <v>1007</v>
      </c>
      <c r="C30" s="511" t="n">
        <f aca="false">IF(INT(C$6/$X29)*$X$7&gt;C28*($X$7+$Z29)*$Y29,C28*($X$7+$Z29)-SUM($B30:B30),INT(C$6/$X29)*$X$7-C28*($X$7+$Z29)*($Y29-1)-SUM($B30:B30))+IF($Y29&gt;1,IF(INT(C$6/$X29)&gt;0,$Z29-$AA29,0),-$AA29)</f>
        <v>0</v>
      </c>
      <c r="D30" s="511" t="n">
        <f aca="false">IF(INT(D$6/$X29)*$X$7&gt;D28*($X$7+$Z29)*$Y29,D28*($X$7+$Z29)-SUM($B30:C30),INT(D$6/$X29)*$X$7-D28*($X$7+$Z29)*($Y29-1)-SUM($B30:C30))+IF($Y29&gt;1,IF(INT(D$6/$X29)&gt;0,$Z29-$AA29,0),-$AA29)</f>
        <v>0</v>
      </c>
      <c r="E30" s="511" t="n">
        <f aca="false">IF(INT(E$6/$X29)*$X$7&gt;E28*($X$7+$Z29)*$Y29,E28*($X$7+$Z29)-SUM($B30:D30),INT(E$6/$X29)*$X$7-E28*($X$7+$Z29)*($Y29-1)-SUM($B30:D30))+IF($Y29&gt;1,IF(INT(E$6/$X29)&gt;0,$Z29-$AA29,0),-$AA29)</f>
        <v>0</v>
      </c>
      <c r="F30" s="511" t="n">
        <f aca="false">IF(INT(F$6/$X29)*$X$7&gt;F28*($X$7+$Z29)*$Y29,F28*($X$7+$Z29)-SUM($B30:E30),INT(F$6/$X29)*$X$7-F28*($X$7+$Z29)*($Y29-1)-SUM($B30:E30))+IF($Y29&gt;1,IF(INT(F$6/$X29)&gt;0,$Z29-$AA29,0),-$AA29)</f>
        <v>2</v>
      </c>
      <c r="G30" s="511" t="n">
        <f aca="false">IF(INT(G$6/$X29)*$X$7&gt;G28*($X$7+$Z29)*$Y29,G28*($X$7+$Z29)-SUM($B30:F30),INT(G$6/$X29)*$X$7-G28*($X$7+$Z29)*($Y29-1)-SUM($B30:F30))+IF($Y29&gt;1,IF(INT(G$6/$X29)&gt;0,$Z29-$AA29,0),-$AA29)</f>
        <v>1</v>
      </c>
      <c r="H30" s="511" t="n">
        <f aca="false">IF(INT(H$6/$X29)*$X$7&gt;H28*($X$7+$Z29)*$Y29,H28*($X$7+$Z29)-SUM($B30:G30),INT(H$6/$X29)*$X$7-H28*($X$7+$Z29)*($Y29-1)-SUM($B30:G30))+IF($Y29&gt;1,IF(INT(H$6/$X29)&gt;0,$Z29-$AA29,0),-$AA29)</f>
        <v>0</v>
      </c>
      <c r="I30" s="511" t="n">
        <f aca="false">IF(INT(I$6/$X29)*$X$7&gt;I28*($X$7+$Z29)*$Y29,I28*($X$7+$Z29)-SUM($B30:H30),INT(I$6/$X29)*$X$7-I28*($X$7+$Z29)*($Y29-1)-SUM($B30:H30))+IF($Y29&gt;1,IF(INT(I$6/$X29)&gt;0,$Z29-$AA29,0),-$AA29)</f>
        <v>0</v>
      </c>
      <c r="J30" s="511" t="n">
        <f aca="false">IF(INT(J$6/$X29)*$X$7&gt;J28*($X$7+$Z29)*$Y29,J28*($X$7+$Z29)-SUM($B30:I30),INT(J$6/$X29)*$X$7-J28*($X$7+$Z29)*($Y29-1)-SUM($B30:I30))+IF($Y29&gt;1,IF(INT(J$6/$X29)&gt;0,$Z29-$AA29,0),-$AA29)</f>
        <v>1</v>
      </c>
      <c r="K30" s="511" t="n">
        <f aca="false">IF(INT(K$6/$X29)*$X$7&gt;K28*($X$7+$Z29)*$Y29,K28*($X$7+$Z29)-SUM($B30:J30),INT(K$6/$X29)*$X$7-K28*($X$7+$Z29)*($Y29-1)-SUM($B30:J30))+IF($Y29&gt;1,IF(INT(K$6/$X29)&gt;0,$Z29-$AA29,0),-$AA29)</f>
        <v>2</v>
      </c>
      <c r="L30" s="511" t="n">
        <f aca="false">IF(INT(L$6/$X29)*$X$7&gt;L28*($X$7+$Z29)*$Y29,L28*($X$7+$Z29)-SUM($B30:K30),INT(L$6/$X29)*$X$7-L28*($X$7+$Z29)*($Y29-1)-SUM($B30:K30))+IF($Y29&gt;1,IF(INT(L$6/$X29)&gt;0,$Z29-$AA29,0),-$AA29)</f>
        <v>0</v>
      </c>
      <c r="M30" s="511" t="n">
        <f aca="false">IF(INT(M$6/$X29)*$X$7&gt;M28*($X$7+$Z29)*$Y29,M28*($X$7+$Z29)-SUM($B30:L30),INT(M$6/$X29)*$X$7-M28*($X$7+$Z29)*($Y29-1)-SUM($B30:L30))+IF($Y29&gt;1,IF(INT(M$6/$X29)&gt;0,$Z29-$AA29,0),-$AA29)</f>
        <v>0</v>
      </c>
      <c r="N30" s="511" t="n">
        <f aca="false">IF(INT(N$6/$X29)*$X$7&gt;N28*($X$7+$Z29)*$Y29,N28*($X$7+$Z29)-SUM($B30:M30),INT(N$6/$X29)*$X$7-N28*($X$7+$Z29)*($Y29-1)-SUM($B30:M30))+IF($Y29&gt;1,IF(INT(N$6/$X29)&gt;0,$Z29-$AA29,0),-$AA29)</f>
        <v>0</v>
      </c>
      <c r="O30" s="511" t="n">
        <f aca="false">IF(INT(O$6/$X29)*$X$7&gt;O28*($X$7+$Z29)*$Y29,O28*($X$7+$Z29)-SUM($B30:N30),INT(O$6/$X29)*$X$7-O28*($X$7+$Z29)*($Y29-1)-SUM($B30:N30))+IF($Y29&gt;1,IF(INT(O$6/$X29)&gt;0,$Z29-$AA29,0),-$AA29)</f>
        <v>2</v>
      </c>
      <c r="P30" s="511" t="n">
        <f aca="false">IF(INT(P$6/$X29)*$X$7&gt;P28*($X$7+$Z29)*$Y29,P28*($X$7+$Z29)-SUM($B30:O30),INT(P$6/$X29)*$X$7-P28*($X$7+$Z29)*($Y29-1)-SUM($B30:O30))+IF($Y29&gt;1,IF(INT(P$6/$X29)&gt;0,$Z29-$AA29,0),-$AA29)</f>
        <v>1</v>
      </c>
      <c r="Q30" s="511" t="n">
        <f aca="false">IF(INT(Q$6/$X29)*$X$7&gt;Q28*($X$7+$Z29)*$Y29,Q28*($X$7+$Z29)-SUM($B30:P30),INT(Q$6/$X29)*$X$7-Q28*($X$7+$Z29)*($Y29-1)-SUM($B30:P30))+IF($Y29&gt;1,IF(INT(Q$6/$X29)&gt;0,$Z29-$AA29,0),-$AA29)</f>
        <v>0</v>
      </c>
      <c r="R30" s="511" t="n">
        <f aca="false">IF(INT(R$6/$X29)*$X$7&gt;R28*($X$7+$Z29)*$Y29,R28*($X$7+$Z29)-SUM($B30:Q30),INT(R$6/$X29)*$X$7-R28*($X$7+$Z29)*($Y29-1)-SUM($B30:Q30))+IF($Y29&gt;1,IF(INT(R$6/$X29)&gt;0,$Z29-$AA29,0),-$AA29)</f>
        <v>0</v>
      </c>
      <c r="S30" s="511" t="n">
        <f aca="false">IF(INT(S$6/$X29)*$X$7&gt;S28*($X$7+$Z29)*$Y29,S28*($X$7+$Z29)-SUM($B30:R30),INT(S$6/$X29)*$X$7-S28*($X$7+$Z29)*($Y29-1)-SUM($B30:R30))+IF($Y29&gt;1,IF(INT(S$6/$X29)&gt;0,$Z29-$AA29,0),-$AA29)</f>
        <v>1</v>
      </c>
      <c r="T30" s="511" t="n">
        <f aca="false">IF(INT(T$6/$X29)*$X$7&gt;T28*($X$7+$Z29)*$Y29,T28*($X$7+$Z29)-SUM($B30:S30),INT(T$6/$X29)*$X$7-T28*($X$7+$Z29)*($Y29-1)-SUM($B30:S30))+IF($Y29&gt;1,IF(INT(T$6/$X29)&gt;0,$Z29-$AA29,0),-$AA29)</f>
        <v>2</v>
      </c>
      <c r="U30" s="511" t="n">
        <f aca="false">IF(INT(U$6/$X29)*$X$7&gt;U28*($X$7+$Z29)*$Y29,U28*($X$7+$Z29)-SUM($B30:T30),INT(U$6/$X29)*$X$7-U28*($X$7+$Z29)*($Y29-1)-SUM($B30:T30))+IF($Y29&gt;1,IF(INT(U$6/$X29)&gt;0,$Z29-$AA29,0),-$AA29)</f>
        <v>0</v>
      </c>
      <c r="V30" s="511" t="n">
        <f aca="false">IF(INT(V$6/$X29)*$X$7&gt;V28*($X$7+$Z29)*$Y29,V28*($X$7+$Z29)-SUM($B30:U30),INT(V$6/$X29)*$X$7-V28*($X$7+$Z29)*($Y29-1)-SUM($B30:U30))+IF($Y29&gt;1,IF(INT(V$6/$X29)&gt;0,$Z29-$AA29,0),-$AA29)</f>
        <v>0</v>
      </c>
      <c r="W30" s="803"/>
    </row>
    <row r="31" customFormat="false" ht="12.75" hidden="false" customHeight="false" outlineLevel="0" collapsed="false">
      <c r="W31" s="792"/>
    </row>
    <row r="32" customFormat="false" ht="12.75" hidden="true" customHeight="true" outlineLevel="0" collapsed="false">
      <c r="A32" s="153" t="s">
        <v>1395</v>
      </c>
      <c r="B32" s="511"/>
      <c r="C32" s="153" t="n">
        <f aca="false">INT((INT(C$6/$X33)*$X$7+$X$7+$Z33-1)/($X$7+$Z33)/$Y33)</f>
        <v>0</v>
      </c>
      <c r="D32" s="153" t="n">
        <f aca="false">INT((INT(D$6/$X33)*$X$7+$X$7+$Z33-1)/($X$7+$Z33)/$Y33)</f>
        <v>0</v>
      </c>
      <c r="E32" s="153" t="n">
        <f aca="false">INT((INT(E$6/$X33)*$X$7+$X$7+$Z33-1)/($X$7+$Z33)/$Y33)</f>
        <v>0</v>
      </c>
      <c r="F32" s="153" t="n">
        <f aca="false">INT((INT(F$6/$X33)*$X$7+$X$7+$Z33-1)/($X$7+$Z33)/$Y33)</f>
        <v>0</v>
      </c>
      <c r="G32" s="153" t="n">
        <f aca="false">INT((INT(G$6/$X33)*$X$7+$X$7+$Z33-1)/($X$7+$Z33)/$Y33)</f>
        <v>0</v>
      </c>
      <c r="H32" s="153" t="n">
        <f aca="false">INT((INT(H$6/$X33)*$X$7+$X$7+$Z33-1)/($X$7+$Z33)/$Y33)</f>
        <v>1</v>
      </c>
      <c r="I32" s="153" t="n">
        <f aca="false">INT((INT(I$6/$X33)*$X$7+$X$7+$Z33-1)/($X$7+$Z33)/$Y33)</f>
        <v>1</v>
      </c>
      <c r="J32" s="153" t="n">
        <f aca="false">INT((INT(J$6/$X33)*$X$7+$X$7+$Z33-1)/($X$7+$Z33)/$Y33)</f>
        <v>1</v>
      </c>
      <c r="K32" s="153" t="n">
        <f aca="false">INT((INT(K$6/$X33)*$X$7+$X$7+$Z33-1)/($X$7+$Z33)/$Y33)</f>
        <v>1</v>
      </c>
      <c r="L32" s="153" t="n">
        <f aca="false">INT((INT(L$6/$X33)*$X$7+$X$7+$Z33-1)/($X$7+$Z33)/$Y33)</f>
        <v>1</v>
      </c>
      <c r="M32" s="153" t="n">
        <f aca="false">INT((INT(M$6/$X33)*$X$7+$X$7+$Z33-1)/($X$7+$Z33)/$Y33)</f>
        <v>1</v>
      </c>
      <c r="N32" s="153" t="n">
        <f aca="false">INT((INT(N$6/$X33)*$X$7+$X$7+$Z33-1)/($X$7+$Z33)/$Y33)</f>
        <v>1</v>
      </c>
      <c r="O32" s="153" t="n">
        <f aca="false">INT((INT(O$6/$X33)*$X$7+$X$7+$Z33-1)/($X$7+$Z33)/$Y33)</f>
        <v>1</v>
      </c>
      <c r="P32" s="153" t="n">
        <f aca="false">INT((INT(P$6/$X33)*$X$7+$X$7+$Z33-1)/($X$7+$Z33)/$Y33)</f>
        <v>1</v>
      </c>
      <c r="Q32" s="153" t="n">
        <f aca="false">INT((INT(Q$6/$X33)*$X$7+$X$7+$Z33-1)/($X$7+$Z33)/$Y33)</f>
        <v>2</v>
      </c>
      <c r="R32" s="153" t="n">
        <f aca="false">INT((INT(R$6/$X33)*$X$7+$X$7+$Z33-1)/($X$7+$Z33)/$Y33)</f>
        <v>2</v>
      </c>
      <c r="S32" s="153" t="n">
        <f aca="false">INT((INT(S$6/$X33)*$X$7+$X$7+$Z33-1)/($X$7+$Z33)/$Y33)</f>
        <v>2</v>
      </c>
      <c r="T32" s="153" t="n">
        <f aca="false">INT((INT(T$6/$X33)*$X$7+$X$7+$Z33-1)/($X$7+$Z33)/$Y33)</f>
        <v>2</v>
      </c>
      <c r="U32" s="153" t="n">
        <f aca="false">INT((INT(U$6/$X33)*$X$7+$X$7+$Z33-1)/($X$7+$Z33)/$Y33)</f>
        <v>2</v>
      </c>
      <c r="V32" s="153" t="n">
        <f aca="false">INT((INT(V$6/$X33)*$X$7+$X$7+$Z33-1)/($X$7+$Z33)/$Y33)</f>
        <v>2</v>
      </c>
    </row>
    <row r="33" customFormat="false" ht="13.5" hidden="false" customHeight="true" outlineLevel="0" collapsed="false">
      <c r="A33" s="153" t="s">
        <v>1396</v>
      </c>
      <c r="B33" s="511" t="s">
        <v>1007</v>
      </c>
      <c r="C33" s="511" t="n">
        <f aca="false">IF($Y33=1,0,$X$7*(INT(C$6/$X33)-INT(B$6/$X33))-IF(SUM($B33:B33)&gt;0,C34,0))</f>
        <v>0</v>
      </c>
      <c r="D33" s="511" t="n">
        <f aca="false">IF($Y33=1,0,$X$7*(INT(D$6/$X33)-INT(C$6/$X33))-IF(SUM($B33:C33)&gt;0,D34,0))</f>
        <v>0</v>
      </c>
      <c r="E33" s="511" t="n">
        <f aca="false">IF($Y33=1,0,$X$7*(INT(E$6/$X33)-INT(D$6/$X33))-IF(SUM($B33:D33)&gt;0,E34,0))</f>
        <v>2</v>
      </c>
      <c r="F33" s="511" t="n">
        <f aca="false">IF($Y33=1,0,$X$7*(INT(F$6/$X33)-INT(E$6/$X33))-IF(SUM($B33:E33)&gt;0,F34,0))</f>
        <v>0</v>
      </c>
      <c r="G33" s="511" t="n">
        <f aca="false">IF($Y33=1,0,$X$7*(INT(G$6/$X33)-INT(F$6/$X33))-IF(SUM($B33:F33)&gt;0,G34,0))</f>
        <v>0</v>
      </c>
      <c r="H33" s="511" t="n">
        <f aca="false">IF($Y33=1,0,$X$7*(INT(H$6/$X33)-INT(G$6/$X33))-IF(SUM($B33:G33)&gt;0,H34,0))</f>
        <v>1</v>
      </c>
      <c r="I33" s="511" t="n">
        <f aca="false">IF($Y33=1,0,$X$7*(INT(I$6/$X33)-INT(H$6/$X33))-IF(SUM($B33:H33)&gt;0,I34,0))</f>
        <v>0</v>
      </c>
      <c r="J33" s="511" t="n">
        <f aca="false">IF($Y33=1,0,$X$7*(INT(J$6/$X33)-INT(I$6/$X33))-IF(SUM($B33:I33)&gt;0,J34,0))</f>
        <v>0</v>
      </c>
      <c r="K33" s="511" t="n">
        <f aca="false">IF($Y33=1,0,$X$7*(INT(K$6/$X33)-INT(J$6/$X33))-IF(SUM($B33:J33)&gt;0,K34,0))</f>
        <v>0</v>
      </c>
      <c r="L33" s="511" t="n">
        <f aca="false">IF($Y33=1,0,$X$7*(INT(L$6/$X33)-INT(K$6/$X33))-IF(SUM($B33:K33)&gt;0,L34,0))</f>
        <v>0</v>
      </c>
      <c r="M33" s="511" t="n">
        <f aca="false">IF($Y33=1,0,$X$7*(INT(M$6/$X33)-INT(L$6/$X33))-IF(SUM($B33:L33)&gt;0,M34,0))</f>
        <v>0</v>
      </c>
      <c r="N33" s="511" t="n">
        <f aca="false">IF($Y33=1,0,$X$7*(INT(N$6/$X33)-INT(M$6/$X33))-IF(SUM($B33:M33)&gt;0,N34,0))</f>
        <v>2</v>
      </c>
      <c r="O33" s="511" t="n">
        <f aca="false">IF($Y33=1,0,$X$7*(INT(O$6/$X33)-INT(N$6/$X33))-IF(SUM($B33:N33)&gt;0,O34,0))</f>
        <v>0</v>
      </c>
      <c r="P33" s="511" t="n">
        <f aca="false">IF($Y33=1,0,$X$7*(INT(P$6/$X33)-INT(O$6/$X33))-IF(SUM($B33:O33)&gt;0,P34,0))</f>
        <v>0</v>
      </c>
      <c r="Q33" s="511" t="n">
        <f aca="false">IF($Y33=1,0,$X$7*(INT(Q$6/$X33)-INT(P$6/$X33))-IF(SUM($B33:P33)&gt;0,Q34,0))</f>
        <v>1</v>
      </c>
      <c r="R33" s="511" t="n">
        <f aca="false">IF($Y33=1,0,$X$7*(INT(R$6/$X33)-INT(Q$6/$X33))-IF(SUM($B33:Q33)&gt;0,R34,0))</f>
        <v>0</v>
      </c>
      <c r="S33" s="511" t="n">
        <f aca="false">IF($Y33=1,0,$X$7*(INT(S$6/$X33)-INT(R$6/$X33))-IF(SUM($B33:R33)&gt;0,S34,0))</f>
        <v>0</v>
      </c>
      <c r="T33" s="511" t="n">
        <f aca="false">IF($Y33=1,0,$X$7*(INT(T$6/$X33)-INT(S$6/$X33))-IF(SUM($B33:S33)&gt;0,T34,0))</f>
        <v>0</v>
      </c>
      <c r="U33" s="511" t="n">
        <f aca="false">IF($Y33=1,0,$X$7*(INT(U$6/$X33)-INT(T$6/$X33))-IF(SUM($B33:T33)&gt;0,U34,0))</f>
        <v>0</v>
      </c>
      <c r="V33" s="511" t="n">
        <f aca="false">IF($Y33=1,0,$X$7*(INT(V$6/$X33)-INT(U$6/$X33))-IF(SUM($B33:U33)&gt;0,V34,0))</f>
        <v>0</v>
      </c>
      <c r="W33" s="800" t="str">
        <f aca="false">'GT schd cost(7FA)'!A17</f>
        <v>Stage 1 Nozzles</v>
      </c>
      <c r="X33" s="800" t="n">
        <f aca="false">IF($AD$6=1,'GTDB(7FA)'!B20,'GTDB(7FA)'!G20)</f>
        <v>24000</v>
      </c>
      <c r="Y33" s="800" t="n">
        <f aca="false">IF($AD$6=1,'GTDB(7FA)'!C20,'GTDB(7FA)'!H20)</f>
        <v>2</v>
      </c>
      <c r="Z33" s="801" t="n">
        <v>1</v>
      </c>
      <c r="AA33" s="805" t="n">
        <f aca="false">'Initial_Spares(7FA)'!$E$14</f>
        <v>1</v>
      </c>
      <c r="AB33" s="764" t="n">
        <f aca="false">'GT schd cost(7FA)'!X17+'GT schd cost(7FA)'!X40</f>
        <v>12033.564</v>
      </c>
    </row>
    <row r="34" customFormat="false" ht="12.75" hidden="false" customHeight="false" outlineLevel="0" collapsed="false">
      <c r="A34" s="153" t="s">
        <v>1397</v>
      </c>
      <c r="B34" s="511" t="s">
        <v>1007</v>
      </c>
      <c r="C34" s="511" t="n">
        <f aca="false">IF(INT(C$6/$X33)*$X$7&gt;C32*($X$7+$Z33)*$Y33,C32*($X$7+$Z33)-SUM($B34:B34),INT(C$6/$X33)*$X$7-C32*($X$7+$Z33)*($Y33-1)-SUM($B34:B34))+IF($Y33&gt;1,IF(INT(C$6/$X33)&gt;0,$Z33-$AA33,0),-$AA33)</f>
        <v>0</v>
      </c>
      <c r="D34" s="511" t="n">
        <f aca="false">IF(INT(D$6/$X33)*$X$7&gt;D32*($X$7+$Z33)*$Y33,D32*($X$7+$Z33)-SUM($B34:C34),INT(D$6/$X33)*$X$7-D32*($X$7+$Z33)*($Y33-1)-SUM($B34:C34))+IF($Y33&gt;1,IF(INT(D$6/$X33)&gt;0,$Z33-$AA33,0),-$AA33)</f>
        <v>0</v>
      </c>
      <c r="E34" s="511" t="n">
        <f aca="false">IF(INT(E$6/$X33)*$X$7&gt;E32*($X$7+$Z33)*$Y33,E32*($X$7+$Z33)-SUM($B34:D34),INT(E$6/$X33)*$X$7-E32*($X$7+$Z33)*($Y33-1)-SUM($B34:D34))+IF($Y33&gt;1,IF(INT(E$6/$X33)&gt;0,$Z33-$AA33,0),-$AA33)</f>
        <v>0</v>
      </c>
      <c r="F34" s="511" t="n">
        <f aca="false">IF(INT(F$6/$X33)*$X$7&gt;F32*($X$7+$Z33)*$Y33,F32*($X$7+$Z33)-SUM($B34:E34),INT(F$6/$X33)*$X$7-F32*($X$7+$Z33)*($Y33-1)-SUM($B34:E34))+IF($Y33&gt;1,IF(INT(F$6/$X33)&gt;0,$Z33-$AA33,0),-$AA33)</f>
        <v>0</v>
      </c>
      <c r="G34" s="511" t="n">
        <f aca="false">IF(INT(G$6/$X33)*$X$7&gt;G32*($X$7+$Z33)*$Y33,G32*($X$7+$Z33)-SUM($B34:F34),INT(G$6/$X33)*$X$7-G32*($X$7+$Z33)*($Y33-1)-SUM($B34:F34))+IF($Y33&gt;1,IF(INT(G$6/$X33)&gt;0,$Z33-$AA33,0),-$AA33)</f>
        <v>0</v>
      </c>
      <c r="H34" s="511" t="n">
        <f aca="false">IF(INT(H$6/$X33)*$X$7&gt;H32*($X$7+$Z33)*$Y33,H32*($X$7+$Z33)-SUM($B34:G34),INT(H$6/$X33)*$X$7-H32*($X$7+$Z33)*($Y33-1)-SUM($B34:G34))+IF($Y33&gt;1,IF(INT(H$6/$X33)&gt;0,$Z33-$AA33,0),-$AA33)</f>
        <v>1</v>
      </c>
      <c r="I34" s="511" t="n">
        <f aca="false">IF(INT(I$6/$X33)*$X$7&gt;I32*($X$7+$Z33)*$Y33,I32*($X$7+$Z33)-SUM($B34:H34),INT(I$6/$X33)*$X$7-I32*($X$7+$Z33)*($Y33-1)-SUM($B34:H34))+IF($Y33&gt;1,IF(INT(I$6/$X33)&gt;0,$Z33-$AA33,0),-$AA33)</f>
        <v>0</v>
      </c>
      <c r="J34" s="511" t="n">
        <f aca="false">IF(INT(J$6/$X33)*$X$7&gt;J32*($X$7+$Z33)*$Y33,J32*($X$7+$Z33)-SUM($B34:I34),INT(J$6/$X33)*$X$7-J32*($X$7+$Z33)*($Y33-1)-SUM($B34:I34))+IF($Y33&gt;1,IF(INT(J$6/$X33)&gt;0,$Z33-$AA33,0),-$AA33)</f>
        <v>0</v>
      </c>
      <c r="K34" s="511" t="n">
        <f aca="false">IF(INT(K$6/$X33)*$X$7&gt;K32*($X$7+$Z33)*$Y33,K32*($X$7+$Z33)-SUM($B34:J34),INT(K$6/$X33)*$X$7-K32*($X$7+$Z33)*($Y33-1)-SUM($B34:J34))+IF($Y33&gt;1,IF(INT(K$6/$X33)&gt;0,$Z33-$AA33,0),-$AA33)</f>
        <v>2</v>
      </c>
      <c r="L34" s="511" t="n">
        <f aca="false">IF(INT(L$6/$X33)*$X$7&gt;L32*($X$7+$Z33)*$Y33,L32*($X$7+$Z33)-SUM($B34:K34),INT(L$6/$X33)*$X$7-L32*($X$7+$Z33)*($Y33-1)-SUM($B34:K34))+IF($Y33&gt;1,IF(INT(L$6/$X33)&gt;0,$Z33-$AA33,0),-$AA33)</f>
        <v>0</v>
      </c>
      <c r="M34" s="511" t="n">
        <f aca="false">IF(INT(M$6/$X33)*$X$7&gt;M32*($X$7+$Z33)*$Y33,M32*($X$7+$Z33)-SUM($B34:L34),INT(M$6/$X33)*$X$7-M32*($X$7+$Z33)*($Y33-1)-SUM($B34:L34))+IF($Y33&gt;1,IF(INT(M$6/$X33)&gt;0,$Z33-$AA33,0),-$AA33)</f>
        <v>0</v>
      </c>
      <c r="N34" s="511" t="n">
        <f aca="false">IF(INT(N$6/$X33)*$X$7&gt;N32*($X$7+$Z33)*$Y33,N32*($X$7+$Z33)-SUM($B34:M34),INT(N$6/$X33)*$X$7-N32*($X$7+$Z33)*($Y33-1)-SUM($B34:M34))+IF($Y33&gt;1,IF(INT(N$6/$X33)&gt;0,$Z33-$AA33,0),-$AA33)</f>
        <v>0</v>
      </c>
      <c r="O34" s="511" t="n">
        <f aca="false">IF(INT(O$6/$X33)*$X$7&gt;O32*($X$7+$Z33)*$Y33,O32*($X$7+$Z33)-SUM($B34:N34),INT(O$6/$X33)*$X$7-O32*($X$7+$Z33)*($Y33-1)-SUM($B34:N34))+IF($Y33&gt;1,IF(INT(O$6/$X33)&gt;0,$Z33-$AA33,0),-$AA33)</f>
        <v>0</v>
      </c>
      <c r="P34" s="511" t="n">
        <f aca="false">IF(INT(P$6/$X33)*$X$7&gt;P32*($X$7+$Z33)*$Y33,P32*($X$7+$Z33)-SUM($B34:O34),INT(P$6/$X33)*$X$7-P32*($X$7+$Z33)*($Y33-1)-SUM($B34:O34))+IF($Y33&gt;1,IF(INT(P$6/$X33)&gt;0,$Z33-$AA33,0),-$AA33)</f>
        <v>0</v>
      </c>
      <c r="Q34" s="511" t="n">
        <f aca="false">IF(INT(Q$6/$X33)*$X$7&gt;Q32*($X$7+$Z33)*$Y33,Q32*($X$7+$Z33)-SUM($B34:P34),INT(Q$6/$X33)*$X$7-Q32*($X$7+$Z33)*($Y33-1)-SUM($B34:P34))+IF($Y33&gt;1,IF(INT(Q$6/$X33)&gt;0,$Z33-$AA33,0),-$AA33)</f>
        <v>1</v>
      </c>
      <c r="R34" s="511" t="n">
        <f aca="false">IF(INT(R$6/$X33)*$X$7&gt;R32*($X$7+$Z33)*$Y33,R32*($X$7+$Z33)-SUM($B34:Q34),INT(R$6/$X33)*$X$7-R32*($X$7+$Z33)*($Y33-1)-SUM($B34:Q34))+IF($Y33&gt;1,IF(INT(R$6/$X33)&gt;0,$Z33-$AA33,0),-$AA33)</f>
        <v>0</v>
      </c>
      <c r="S34" s="511" t="n">
        <f aca="false">IF(INT(S$6/$X33)*$X$7&gt;S32*($X$7+$Z33)*$Y33,S32*($X$7+$Z33)-SUM($B34:R34),INT(S$6/$X33)*$X$7-S32*($X$7+$Z33)*($Y33-1)-SUM($B34:R34))+IF($Y33&gt;1,IF(INT(S$6/$X33)&gt;0,$Z33-$AA33,0),-$AA33)</f>
        <v>0</v>
      </c>
      <c r="T34" s="511" t="n">
        <f aca="false">IF(INT(T$6/$X33)*$X$7&gt;T32*($X$7+$Z33)*$Y33,T32*($X$7+$Z33)-SUM($B34:S34),INT(T$6/$X33)*$X$7-T32*($X$7+$Z33)*($Y33-1)-SUM($B34:S34))+IF($Y33&gt;1,IF(INT(T$6/$X33)&gt;0,$Z33-$AA33,0),-$AA33)</f>
        <v>2</v>
      </c>
      <c r="U34" s="511" t="n">
        <f aca="false">IF(INT(U$6/$X33)*$X$7&gt;U32*($X$7+$Z33)*$Y33,U32*($X$7+$Z33)-SUM($B34:T34),INT(U$6/$X33)*$X$7-U32*($X$7+$Z33)*($Y33-1)-SUM($B34:T34))+IF($Y33&gt;1,IF(INT(U$6/$X33)&gt;0,$Z33-$AA33,0),-$AA33)</f>
        <v>0</v>
      </c>
      <c r="V34" s="511" t="n">
        <f aca="false">IF(INT(V$6/$X33)*$X$7&gt;V32*($X$7+$Z33)*$Y33,V32*($X$7+$Z33)-SUM($B34:U34),INT(V$6/$X33)*$X$7-V32*($X$7+$Z33)*($Y33-1)-SUM($B34:U34))+IF($Y33&gt;1,IF(INT(V$6/$X33)&gt;0,$Z33-$AA33,0),-$AA33)</f>
        <v>0</v>
      </c>
      <c r="W34" s="803"/>
      <c r="AA34" s="157"/>
      <c r="AB34" s="157"/>
    </row>
    <row r="35" customFormat="false" ht="12.75" hidden="false" customHeight="false" outlineLevel="0" collapsed="false">
      <c r="A35" s="157"/>
      <c r="B35" s="157"/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785"/>
      <c r="X35" s="157"/>
      <c r="Y35" s="157"/>
      <c r="Z35" s="157"/>
      <c r="AA35" s="157"/>
      <c r="AB35" s="157"/>
    </row>
    <row r="36" customFormat="false" ht="12.75" hidden="true" customHeight="false" outlineLevel="0" collapsed="false">
      <c r="A36" s="153" t="s">
        <v>1395</v>
      </c>
      <c r="B36" s="511"/>
      <c r="C36" s="153" t="n">
        <f aca="false">INT((INT(C$6/$X37)*$X$7+$X$7+$Z37-1)/($X$7+$Z37)/$Y37)</f>
        <v>0</v>
      </c>
      <c r="D36" s="153" t="n">
        <f aca="false">INT((INT(D$6/$X37)*$X$7+$X$7+$Z37-1)/($X$7+$Z37)/$Y37)</f>
        <v>0</v>
      </c>
      <c r="E36" s="153" t="n">
        <f aca="false">INT((INT(E$6/$X37)*$X$7+$X$7+$Z37-1)/($X$7+$Z37)/$Y37)</f>
        <v>0</v>
      </c>
      <c r="F36" s="153" t="n">
        <f aca="false">INT((INT(F$6/$X37)*$X$7+$X$7+$Z37-1)/($X$7+$Z37)/$Y37)</f>
        <v>0</v>
      </c>
      <c r="G36" s="153" t="n">
        <f aca="false">INT((INT(G$6/$X37)*$X$7+$X$7+$Z37-1)/($X$7+$Z37)/$Y37)</f>
        <v>0</v>
      </c>
      <c r="H36" s="153" t="n">
        <f aca="false">INT((INT(H$6/$X37)*$X$7+$X$7+$Z37-1)/($X$7+$Z37)/$Y37)</f>
        <v>0</v>
      </c>
      <c r="I36" s="153" t="n">
        <f aca="false">INT((INT(I$6/$X37)*$X$7+$X$7+$Z37-1)/($X$7+$Z37)/$Y37)</f>
        <v>0</v>
      </c>
      <c r="J36" s="153" t="n">
        <f aca="false">INT((INT(J$6/$X37)*$X$7+$X$7+$Z37-1)/($X$7+$Z37)/$Y37)</f>
        <v>0</v>
      </c>
      <c r="K36" s="153" t="n">
        <f aca="false">INT((INT(K$6/$X37)*$X$7+$X$7+$Z37-1)/($X$7+$Z37)/$Y37)</f>
        <v>0</v>
      </c>
      <c r="L36" s="153" t="n">
        <f aca="false">INT((INT(L$6/$X37)*$X$7+$X$7+$Z37-1)/($X$7+$Z37)/$Y37)</f>
        <v>0</v>
      </c>
      <c r="M36" s="153" t="n">
        <f aca="false">INT((INT(M$6/$X37)*$X$7+$X$7+$Z37-1)/($X$7+$Z37)/$Y37)</f>
        <v>0</v>
      </c>
      <c r="N36" s="153" t="n">
        <f aca="false">INT((INT(N$6/$X37)*$X$7+$X$7+$Z37-1)/($X$7+$Z37)/$Y37)</f>
        <v>1</v>
      </c>
      <c r="O36" s="153" t="n">
        <f aca="false">INT((INT(O$6/$X37)*$X$7+$X$7+$Z37-1)/($X$7+$Z37)/$Y37)</f>
        <v>1</v>
      </c>
      <c r="P36" s="153" t="n">
        <f aca="false">INT((INT(P$6/$X37)*$X$7+$X$7+$Z37-1)/($X$7+$Z37)/$Y37)</f>
        <v>1</v>
      </c>
      <c r="Q36" s="153" t="n">
        <f aca="false">INT((INT(Q$6/$X37)*$X$7+$X$7+$Z37-1)/($X$7+$Z37)/$Y37)</f>
        <v>1</v>
      </c>
      <c r="R36" s="153" t="n">
        <f aca="false">INT((INT(R$6/$X37)*$X$7+$X$7+$Z37-1)/($X$7+$Z37)/$Y37)</f>
        <v>1</v>
      </c>
      <c r="S36" s="153" t="n">
        <f aca="false">INT((INT(S$6/$X37)*$X$7+$X$7+$Z37-1)/($X$7+$Z37)/$Y37)</f>
        <v>1</v>
      </c>
      <c r="T36" s="153" t="n">
        <f aca="false">INT((INT(T$6/$X37)*$X$7+$X$7+$Z37-1)/($X$7+$Z37)/$Y37)</f>
        <v>1</v>
      </c>
      <c r="U36" s="153" t="n">
        <f aca="false">INT((INT(U$6/$X37)*$X$7+$X$7+$Z37-1)/($X$7+$Z37)/$Y37)</f>
        <v>1</v>
      </c>
      <c r="V36" s="153" t="n">
        <f aca="false">INT((INT(V$6/$X37)*$X$7+$X$7+$Z37-1)/($X$7+$Z37)/$Y37)</f>
        <v>1</v>
      </c>
      <c r="W36" s="157"/>
      <c r="X36" s="157"/>
      <c r="Y36" s="157"/>
      <c r="Z36" s="157"/>
      <c r="AA36" s="157"/>
      <c r="AB36" s="157"/>
    </row>
    <row r="37" customFormat="false" ht="12.75" hidden="false" customHeight="false" outlineLevel="0" collapsed="false">
      <c r="A37" s="153" t="s">
        <v>1396</v>
      </c>
      <c r="B37" s="511" t="s">
        <v>1007</v>
      </c>
      <c r="C37" s="511" t="n">
        <f aca="false">IF($Y37=1,0,$X$7*(INT(C$6/$X37)-INT(B$6/$X37))-IF(SUM($B37:B37)&gt;0,C38,0))</f>
        <v>0</v>
      </c>
      <c r="D37" s="511" t="n">
        <f aca="false">IF($Y37=1,0,$X$7*(INT(D$6/$X37)-INT(C$6/$X37))-IF(SUM($B37:C37)&gt;0,D38,0))</f>
        <v>0</v>
      </c>
      <c r="E37" s="511" t="n">
        <f aca="false">IF($Y37=1,0,$X$7*(INT(E$6/$X37)-INT(D$6/$X37))-IF(SUM($B37:D37)&gt;0,E38,0))</f>
        <v>2</v>
      </c>
      <c r="F37" s="511" t="n">
        <f aca="false">IF($Y37=1,0,$X$7*(INT(F$6/$X37)-INT(E$6/$X37))-IF(SUM($B37:E37)&gt;0,F38,0))</f>
        <v>0</v>
      </c>
      <c r="G37" s="511" t="n">
        <f aca="false">IF($Y37=1,0,$X$7*(INT(G$6/$X37)-INT(F$6/$X37))-IF(SUM($B37:F37)&gt;0,G38,0))</f>
        <v>0</v>
      </c>
      <c r="H37" s="511" t="n">
        <f aca="false">IF($Y37=1,0,$X$7*(INT(H$6/$X37)-INT(G$6/$X37))-IF(SUM($B37:G37)&gt;0,H38,0))</f>
        <v>2</v>
      </c>
      <c r="I37" s="511" t="n">
        <f aca="false">IF($Y37=1,0,$X$7*(INT(I$6/$X37)-INT(H$6/$X37))-IF(SUM($B37:H37)&gt;0,I38,0))</f>
        <v>0</v>
      </c>
      <c r="J37" s="511" t="n">
        <f aca="false">IF($Y37=1,0,$X$7*(INT(J$6/$X37)-INT(I$6/$X37))-IF(SUM($B37:I37)&gt;0,J38,0))</f>
        <v>0</v>
      </c>
      <c r="K37" s="511" t="n">
        <f aca="false">IF($Y37=1,0,$X$7*(INT(K$6/$X37)-INT(J$6/$X37))-IF(SUM($B37:J37)&gt;0,K38,0))</f>
        <v>2</v>
      </c>
      <c r="L37" s="511" t="n">
        <f aca="false">IF($Y37=1,0,$X$7*(INT(L$6/$X37)-INT(K$6/$X37))-IF(SUM($B37:K37)&gt;0,L38,0))</f>
        <v>0</v>
      </c>
      <c r="M37" s="511" t="n">
        <f aca="false">IF($Y37=1,0,$X$7*(INT(M$6/$X37)-INT(L$6/$X37))-IF(SUM($B37:L37)&gt;0,M38,0))</f>
        <v>0</v>
      </c>
      <c r="N37" s="511" t="n">
        <f aca="false">IF($Y37=1,0,$X$7*(INT(N$6/$X37)-INT(M$6/$X37))-IF(SUM($B37:M37)&gt;0,N38,0))</f>
        <v>0</v>
      </c>
      <c r="O37" s="511" t="n">
        <f aca="false">IF($Y37=1,0,$X$7*(INT(O$6/$X37)-INT(N$6/$X37))-IF(SUM($B37:N37)&gt;0,O38,0))</f>
        <v>0</v>
      </c>
      <c r="P37" s="511" t="n">
        <f aca="false">IF($Y37=1,0,$X$7*(INT(P$6/$X37)-INT(O$6/$X37))-IF(SUM($B37:O37)&gt;0,P38,0))</f>
        <v>0</v>
      </c>
      <c r="Q37" s="511" t="n">
        <f aca="false">IF($Y37=1,0,$X$7*(INT(Q$6/$X37)-INT(P$6/$X37))-IF(SUM($B37:P37)&gt;0,Q38,0))</f>
        <v>1</v>
      </c>
      <c r="R37" s="511" t="n">
        <f aca="false">IF($Y37=1,0,$X$7*(INT(R$6/$X37)-INT(Q$6/$X37))-IF(SUM($B37:Q37)&gt;0,R38,0))</f>
        <v>0</v>
      </c>
      <c r="S37" s="511" t="n">
        <f aca="false">IF($Y37=1,0,$X$7*(INT(S$6/$X37)-INT(R$6/$X37))-IF(SUM($B37:R37)&gt;0,S38,0))</f>
        <v>0</v>
      </c>
      <c r="T37" s="511" t="n">
        <f aca="false">IF($Y37=1,0,$X$7*(INT(T$6/$X37)-INT(S$6/$X37))-IF(SUM($B37:S37)&gt;0,T38,0))</f>
        <v>2</v>
      </c>
      <c r="U37" s="511" t="n">
        <f aca="false">IF($Y37=1,0,$X$7*(INT(U$6/$X37)-INT(T$6/$X37))-IF(SUM($B37:T37)&gt;0,U38,0))</f>
        <v>0</v>
      </c>
      <c r="V37" s="511" t="n">
        <f aca="false">IF($Y37=1,0,$X$7*(INT(V$6/$X37)-INT(U$6/$X37))-IF(SUM($B37:U37)&gt;0,V38,0))</f>
        <v>0</v>
      </c>
      <c r="W37" s="800" t="str">
        <f aca="false">'GT schd cost(7FA)'!A18</f>
        <v>Stage 2 Nozzles</v>
      </c>
      <c r="X37" s="800" t="n">
        <f aca="false">IF($AD$6=1,'GTDB(7FA)'!B21,'GTDB(7FA)'!G21)</f>
        <v>24000</v>
      </c>
      <c r="Y37" s="800" t="n">
        <f aca="false">IF($AD$6=1,'GTDB(7FA)'!C21,'GTDB(7FA)'!H21)</f>
        <v>3</v>
      </c>
      <c r="Z37" s="801" t="n">
        <v>1</v>
      </c>
      <c r="AA37" s="805" t="n">
        <f aca="false">'Initial_Spares(7FA)'!$E$15</f>
        <v>0</v>
      </c>
      <c r="AB37" s="764" t="n">
        <f aca="false">'GT schd cost(7FA)'!X18+'GT schd cost(7FA)'!X41</f>
        <v>8925.368</v>
      </c>
    </row>
    <row r="38" customFormat="false" ht="12.75" hidden="false" customHeight="false" outlineLevel="0" collapsed="false">
      <c r="A38" s="153" t="s">
        <v>1397</v>
      </c>
      <c r="B38" s="511" t="s">
        <v>1007</v>
      </c>
      <c r="C38" s="511" t="n">
        <f aca="false">IF(INT(C$6/$X37)*$X$7&gt;C36*($X$7+$Z37)*$Y37,C36*($X$7+$Z37)-SUM($B38:B38),INT(C$6/$X37)*$X$7-C36*($X$7+$Z37)*($Y37-1)-SUM($B38:B38))+IF($Y37&gt;1,IF(INT(C$6/$X37)&gt;0,$Z37-$AA37,0),-$AA37)</f>
        <v>0</v>
      </c>
      <c r="D38" s="511" t="n">
        <f aca="false">IF(INT(D$6/$X37)*$X$7&gt;D36*($X$7+$Z37)*$Y37,D36*($X$7+$Z37)-SUM($B38:C38),INT(D$6/$X37)*$X$7-D36*($X$7+$Z37)*($Y37-1)-SUM($B38:C38))+IF($Y37&gt;1,IF(INT(D$6/$X37)&gt;0,$Z37-$AA37,0),-$AA37)</f>
        <v>0</v>
      </c>
      <c r="E38" s="511" t="n">
        <f aca="false">IF(INT(E$6/$X37)*$X$7&gt;E36*($X$7+$Z37)*$Y37,E36*($X$7+$Z37)-SUM($B38:D38),INT(E$6/$X37)*$X$7-E36*($X$7+$Z37)*($Y37-1)-SUM($B38:D38))+IF($Y37&gt;1,IF(INT(E$6/$X37)&gt;0,$Z37-$AA37,0),-$AA37)</f>
        <v>1</v>
      </c>
      <c r="F38" s="511" t="n">
        <f aca="false">IF(INT(F$6/$X37)*$X$7&gt;F36*($X$7+$Z37)*$Y37,F36*($X$7+$Z37)-SUM($B38:E38),INT(F$6/$X37)*$X$7-F36*($X$7+$Z37)*($Y37-1)-SUM($B38:E38))+IF($Y37&gt;1,IF(INT(F$6/$X37)&gt;0,$Z37-$AA37,0),-$AA37)</f>
        <v>0</v>
      </c>
      <c r="G38" s="511" t="n">
        <f aca="false">IF(INT(G$6/$X37)*$X$7&gt;G36*($X$7+$Z37)*$Y37,G36*($X$7+$Z37)-SUM($B38:F38),INT(G$6/$X37)*$X$7-G36*($X$7+$Z37)*($Y37-1)-SUM($B38:F38))+IF($Y37&gt;1,IF(INT(G$6/$X37)&gt;0,$Z37-$AA37,0),-$AA37)</f>
        <v>0</v>
      </c>
      <c r="H38" s="511" t="n">
        <f aca="false">IF(INT(H$6/$X37)*$X$7&gt;H36*($X$7+$Z37)*$Y37,H36*($X$7+$Z37)-SUM($B38:G38),INT(H$6/$X37)*$X$7-H36*($X$7+$Z37)*($Y37-1)-SUM($B38:G38))+IF($Y37&gt;1,IF(INT(H$6/$X37)&gt;0,$Z37-$AA37,0),-$AA37)</f>
        <v>0</v>
      </c>
      <c r="I38" s="511" t="n">
        <f aca="false">IF(INT(I$6/$X37)*$X$7&gt;I36*($X$7+$Z37)*$Y37,I36*($X$7+$Z37)-SUM($B38:H38),INT(I$6/$X37)*$X$7-I36*($X$7+$Z37)*($Y37-1)-SUM($B38:H38))+IF($Y37&gt;1,IF(INT(I$6/$X37)&gt;0,$Z37-$AA37,0),-$AA37)</f>
        <v>0</v>
      </c>
      <c r="J38" s="511" t="n">
        <f aca="false">IF(INT(J$6/$X37)*$X$7&gt;J36*($X$7+$Z37)*$Y37,J36*($X$7+$Z37)-SUM($B38:I38),INT(J$6/$X37)*$X$7-J36*($X$7+$Z37)*($Y37-1)-SUM($B38:I38))+IF($Y37&gt;1,IF(INT(J$6/$X37)&gt;0,$Z37-$AA37,0),-$AA37)</f>
        <v>0</v>
      </c>
      <c r="K38" s="511" t="n">
        <f aca="false">IF(INT(K$6/$X37)*$X$7&gt;K36*($X$7+$Z37)*$Y37,K36*($X$7+$Z37)-SUM($B38:J38),INT(K$6/$X37)*$X$7-K36*($X$7+$Z37)*($Y37-1)-SUM($B38:J38))+IF($Y37&gt;1,IF(INT(K$6/$X37)&gt;0,$Z37-$AA37,0),-$AA37)</f>
        <v>0</v>
      </c>
      <c r="L38" s="511" t="n">
        <f aca="false">IF(INT(L$6/$X37)*$X$7&gt;L36*($X$7+$Z37)*$Y37,L36*($X$7+$Z37)-SUM($B38:K38),INT(L$6/$X37)*$X$7-L36*($X$7+$Z37)*($Y37-1)-SUM($B38:K38))+IF($Y37&gt;1,IF(INT(L$6/$X37)&gt;0,$Z37-$AA37,0),-$AA37)</f>
        <v>0</v>
      </c>
      <c r="M38" s="511" t="n">
        <f aca="false">IF(INT(M$6/$X37)*$X$7&gt;M36*($X$7+$Z37)*$Y37,M36*($X$7+$Z37)-SUM($B38:L38),INT(M$6/$X37)*$X$7-M36*($X$7+$Z37)*($Y37-1)-SUM($B38:L38))+IF($Y37&gt;1,IF(INT(M$6/$X37)&gt;0,$Z37-$AA37,0),-$AA37)</f>
        <v>0</v>
      </c>
      <c r="N38" s="511" t="n">
        <f aca="false">IF(INT(N$6/$X37)*$X$7&gt;N36*($X$7+$Z37)*$Y37,N36*($X$7+$Z37)-SUM($B38:M38),INT(N$6/$X37)*$X$7-N36*($X$7+$Z37)*($Y37-1)-SUM($B38:M38))+IF($Y37&gt;1,IF(INT(N$6/$X37)&gt;0,$Z37-$AA37,0),-$AA37)</f>
        <v>2</v>
      </c>
      <c r="O38" s="511" t="n">
        <f aca="false">IF(INT(O$6/$X37)*$X$7&gt;O36*($X$7+$Z37)*$Y37,O36*($X$7+$Z37)-SUM($B38:N38),INT(O$6/$X37)*$X$7-O36*($X$7+$Z37)*($Y37-1)-SUM($B38:N38))+IF($Y37&gt;1,IF(INT(O$6/$X37)&gt;0,$Z37-$AA37,0),-$AA37)</f>
        <v>0</v>
      </c>
      <c r="P38" s="511" t="n">
        <f aca="false">IF(INT(P$6/$X37)*$X$7&gt;P36*($X$7+$Z37)*$Y37,P36*($X$7+$Z37)-SUM($B38:O38),INT(P$6/$X37)*$X$7-P36*($X$7+$Z37)*($Y37-1)-SUM($B38:O38))+IF($Y37&gt;1,IF(INT(P$6/$X37)&gt;0,$Z37-$AA37,0),-$AA37)</f>
        <v>0</v>
      </c>
      <c r="Q38" s="511" t="n">
        <f aca="false">IF(INT(Q$6/$X37)*$X$7&gt;Q36*($X$7+$Z37)*$Y37,Q36*($X$7+$Z37)-SUM($B38:P38),INT(Q$6/$X37)*$X$7-Q36*($X$7+$Z37)*($Y37-1)-SUM($B38:P38))+IF($Y37&gt;1,IF(INT(Q$6/$X37)&gt;0,$Z37-$AA37,0),-$AA37)</f>
        <v>1</v>
      </c>
      <c r="R38" s="511" t="n">
        <f aca="false">IF(INT(R$6/$X37)*$X$7&gt;R36*($X$7+$Z37)*$Y37,R36*($X$7+$Z37)-SUM($B38:Q38),INT(R$6/$X37)*$X$7-R36*($X$7+$Z37)*($Y37-1)-SUM($B38:Q38))+IF($Y37&gt;1,IF(INT(R$6/$X37)&gt;0,$Z37-$AA37,0),-$AA37)</f>
        <v>0</v>
      </c>
      <c r="S38" s="511" t="n">
        <f aca="false">IF(INT(S$6/$X37)*$X$7&gt;S36*($X$7+$Z37)*$Y37,S36*($X$7+$Z37)-SUM($B38:R38),INT(S$6/$X37)*$X$7-S36*($X$7+$Z37)*($Y37-1)-SUM($B38:R38))+IF($Y37&gt;1,IF(INT(S$6/$X37)&gt;0,$Z37-$AA37,0),-$AA37)</f>
        <v>0</v>
      </c>
      <c r="T38" s="511" t="n">
        <f aca="false">IF(INT(T$6/$X37)*$X$7&gt;T36*($X$7+$Z37)*$Y37,T36*($X$7+$Z37)-SUM($B38:S38),INT(T$6/$X37)*$X$7-T36*($X$7+$Z37)*($Y37-1)-SUM($B38:S38))+IF($Y37&gt;1,IF(INT(T$6/$X37)&gt;0,$Z37-$AA37,0),-$AA37)</f>
        <v>0</v>
      </c>
      <c r="U38" s="511" t="n">
        <f aca="false">IF(INT(U$6/$X37)*$X$7&gt;U36*($X$7+$Z37)*$Y37,U36*($X$7+$Z37)-SUM($B38:T38),INT(U$6/$X37)*$X$7-U36*($X$7+$Z37)*($Y37-1)-SUM($B38:T38))+IF($Y37&gt;1,IF(INT(U$6/$X37)&gt;0,$Z37-$AA37,0),-$AA37)</f>
        <v>0</v>
      </c>
      <c r="V38" s="511" t="n">
        <f aca="false">IF(INT(V$6/$X37)*$X$7&gt;V36*($X$7+$Z37)*$Y37,V36*($X$7+$Z37)-SUM($B38:U38),INT(V$6/$X37)*$X$7-V36*($X$7+$Z37)*($Y37-1)-SUM($B38:U38))+IF($Y37&gt;1,IF(INT(V$6/$X37)&gt;0,$Z37-$AA37,0),-$AA37)</f>
        <v>0</v>
      </c>
      <c r="W38" s="803"/>
      <c r="AA38" s="157"/>
      <c r="AB38" s="157"/>
    </row>
    <row r="39" customFormat="false" ht="12.75" hidden="false" customHeight="false" outlineLevel="0" collapsed="false">
      <c r="A39" s="157"/>
      <c r="B39" s="518"/>
      <c r="C39" s="518"/>
      <c r="D39" s="518"/>
      <c r="E39" s="518"/>
      <c r="F39" s="518"/>
      <c r="G39" s="518"/>
      <c r="H39" s="518"/>
      <c r="I39" s="806"/>
      <c r="J39" s="518"/>
      <c r="K39" s="518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785"/>
      <c r="X39" s="157"/>
      <c r="Y39" s="157"/>
      <c r="Z39" s="157"/>
      <c r="AA39" s="157"/>
      <c r="AB39" s="157"/>
    </row>
    <row r="40" customFormat="false" ht="12.75" hidden="true" customHeight="false" outlineLevel="0" collapsed="false">
      <c r="A40" s="153" t="s">
        <v>1395</v>
      </c>
      <c r="B40" s="511"/>
      <c r="C40" s="153" t="n">
        <f aca="false">INT((INT(C$6/$X41)*$X$7+$X$7+$Z41-1)/($X$7+$Z41)/$Y41)</f>
        <v>0</v>
      </c>
      <c r="D40" s="153" t="n">
        <f aca="false">INT((INT(D$6/$X41)*$X$7+$X$7+$Z41-1)/($X$7+$Z41)/$Y41)</f>
        <v>0</v>
      </c>
      <c r="E40" s="153" t="n">
        <f aca="false">INT((INT(E$6/$X41)*$X$7+$X$7+$Z41-1)/($X$7+$Z41)/$Y41)</f>
        <v>0</v>
      </c>
      <c r="F40" s="153" t="n">
        <f aca="false">INT((INT(F$6/$X41)*$X$7+$X$7+$Z41-1)/($X$7+$Z41)/$Y41)</f>
        <v>0</v>
      </c>
      <c r="G40" s="153" t="n">
        <f aca="false">INT((INT(G$6/$X41)*$X$7+$X$7+$Z41-1)/($X$7+$Z41)/$Y41)</f>
        <v>0</v>
      </c>
      <c r="H40" s="153" t="n">
        <f aca="false">INT((INT(H$6/$X41)*$X$7+$X$7+$Z41-1)/($X$7+$Z41)/$Y41)</f>
        <v>0</v>
      </c>
      <c r="I40" s="153" t="n">
        <f aca="false">INT((INT(I$6/$X41)*$X$7+$X$7+$Z41-1)/($X$7+$Z41)/$Y41)</f>
        <v>0</v>
      </c>
      <c r="J40" s="153" t="n">
        <f aca="false">INT((INT(J$6/$X41)*$X$7+$X$7+$Z41-1)/($X$7+$Z41)/$Y41)</f>
        <v>0</v>
      </c>
      <c r="K40" s="153" t="n">
        <f aca="false">INT((INT(K$6/$X41)*$X$7+$X$7+$Z41-1)/($X$7+$Z41)/$Y41)</f>
        <v>0</v>
      </c>
      <c r="L40" s="153" t="n">
        <f aca="false">INT((INT(L$6/$X41)*$X$7+$X$7+$Z41-1)/($X$7+$Z41)/$Y41)</f>
        <v>0</v>
      </c>
      <c r="M40" s="153" t="n">
        <f aca="false">INT((INT(M$6/$X41)*$X$7+$X$7+$Z41-1)/($X$7+$Z41)/$Y41)</f>
        <v>0</v>
      </c>
      <c r="N40" s="153" t="n">
        <f aca="false">INT((INT(N$6/$X41)*$X$7+$X$7+$Z41-1)/($X$7+$Z41)/$Y41)</f>
        <v>1</v>
      </c>
      <c r="O40" s="153" t="n">
        <f aca="false">INT((INT(O$6/$X41)*$X$7+$X$7+$Z41-1)/($X$7+$Z41)/$Y41)</f>
        <v>1</v>
      </c>
      <c r="P40" s="153" t="n">
        <f aca="false">INT((INT(P$6/$X41)*$X$7+$X$7+$Z41-1)/($X$7+$Z41)/$Y41)</f>
        <v>1</v>
      </c>
      <c r="Q40" s="153" t="n">
        <f aca="false">INT((INT(Q$6/$X41)*$X$7+$X$7+$Z41-1)/($X$7+$Z41)/$Y41)</f>
        <v>1</v>
      </c>
      <c r="R40" s="153" t="n">
        <f aca="false">INT((INT(R$6/$X41)*$X$7+$X$7+$Z41-1)/($X$7+$Z41)/$Y41)</f>
        <v>1</v>
      </c>
      <c r="S40" s="153" t="n">
        <f aca="false">INT((INT(S$6/$X41)*$X$7+$X$7+$Z41-1)/($X$7+$Z41)/$Y41)</f>
        <v>1</v>
      </c>
      <c r="T40" s="153" t="n">
        <f aca="false">INT((INT(T$6/$X41)*$X$7+$X$7+$Z41-1)/($X$7+$Z41)/$Y41)</f>
        <v>1</v>
      </c>
      <c r="U40" s="153" t="n">
        <f aca="false">INT((INT(U$6/$X41)*$X$7+$X$7+$Z41-1)/($X$7+$Z41)/$Y41)</f>
        <v>1</v>
      </c>
      <c r="V40" s="153" t="n">
        <f aca="false">INT((INT(V$6/$X41)*$X$7+$X$7+$Z41-1)/($X$7+$Z41)/$Y41)</f>
        <v>1</v>
      </c>
      <c r="W40" s="157"/>
      <c r="X40" s="157"/>
      <c r="Y40" s="157"/>
      <c r="Z40" s="157"/>
      <c r="AA40" s="157"/>
      <c r="AB40" s="157"/>
    </row>
    <row r="41" customFormat="false" ht="12.75" hidden="false" customHeight="false" outlineLevel="0" collapsed="false">
      <c r="A41" s="153" t="s">
        <v>1396</v>
      </c>
      <c r="B41" s="511" t="s">
        <v>1007</v>
      </c>
      <c r="C41" s="511" t="n">
        <f aca="false">IF($Y41=1,0,$X$7*(INT(C$6/$X41)-INT(B$6/$X41))-IF(SUM($B41:B41)&gt;0,C42,0))</f>
        <v>0</v>
      </c>
      <c r="D41" s="511" t="n">
        <f aca="false">IF($Y41=1,0,$X$7*(INT(D$6/$X41)-INT(C$6/$X41))-IF(SUM($B41:C41)&gt;0,D42,0))</f>
        <v>0</v>
      </c>
      <c r="E41" s="511" t="n">
        <f aca="false">IF($Y41=1,0,$X$7*(INT(E$6/$X41)-INT(D$6/$X41))-IF(SUM($B41:D41)&gt;0,E42,0))</f>
        <v>2</v>
      </c>
      <c r="F41" s="511" t="n">
        <f aca="false">IF($Y41=1,0,$X$7*(INT(F$6/$X41)-INT(E$6/$X41))-IF(SUM($B41:E41)&gt;0,F42,0))</f>
        <v>0</v>
      </c>
      <c r="G41" s="511" t="n">
        <f aca="false">IF($Y41=1,0,$X$7*(INT(G$6/$X41)-INT(F$6/$X41))-IF(SUM($B41:F41)&gt;0,G42,0))</f>
        <v>0</v>
      </c>
      <c r="H41" s="511" t="n">
        <f aca="false">IF($Y41=1,0,$X$7*(INT(H$6/$X41)-INT(G$6/$X41))-IF(SUM($B41:G41)&gt;0,H42,0))</f>
        <v>2</v>
      </c>
      <c r="I41" s="511" t="n">
        <f aca="false">IF($Y41=1,0,$X$7*(INT(I$6/$X41)-INT(H$6/$X41))-IF(SUM($B41:H41)&gt;0,I42,0))</f>
        <v>0</v>
      </c>
      <c r="J41" s="511" t="n">
        <f aca="false">IF($Y41=1,0,$X$7*(INT(J$6/$X41)-INT(I$6/$X41))-IF(SUM($B41:I41)&gt;0,J42,0))</f>
        <v>0</v>
      </c>
      <c r="K41" s="511" t="n">
        <f aca="false">IF($Y41=1,0,$X$7*(INT(K$6/$X41)-INT(J$6/$X41))-IF(SUM($B41:J41)&gt;0,K42,0))</f>
        <v>2</v>
      </c>
      <c r="L41" s="511" t="n">
        <f aca="false">IF($Y41=1,0,$X$7*(INT(L$6/$X41)-INT(K$6/$X41))-IF(SUM($B41:K41)&gt;0,L42,0))</f>
        <v>0</v>
      </c>
      <c r="M41" s="511" t="n">
        <f aca="false">IF($Y41=1,0,$X$7*(INT(M$6/$X41)-INT(L$6/$X41))-IF(SUM($B41:L41)&gt;0,M42,0))</f>
        <v>0</v>
      </c>
      <c r="N41" s="511" t="n">
        <f aca="false">IF($Y41=1,0,$X$7*(INT(N$6/$X41)-INT(M$6/$X41))-IF(SUM($B41:M41)&gt;0,N42,0))</f>
        <v>0</v>
      </c>
      <c r="O41" s="511" t="n">
        <f aca="false">IF($Y41=1,0,$X$7*(INT(O$6/$X41)-INT(N$6/$X41))-IF(SUM($B41:N41)&gt;0,O42,0))</f>
        <v>0</v>
      </c>
      <c r="P41" s="511" t="n">
        <f aca="false">IF($Y41=1,0,$X$7*(INT(P$6/$X41)-INT(O$6/$X41))-IF(SUM($B41:O41)&gt;0,P42,0))</f>
        <v>0</v>
      </c>
      <c r="Q41" s="511" t="n">
        <f aca="false">IF($Y41=1,0,$X$7*(INT(Q$6/$X41)-INT(P$6/$X41))-IF(SUM($B41:P41)&gt;0,Q42,0))</f>
        <v>1</v>
      </c>
      <c r="R41" s="511" t="n">
        <f aca="false">IF($Y41=1,0,$X$7*(INT(R$6/$X41)-INT(Q$6/$X41))-IF(SUM($B41:Q41)&gt;0,R42,0))</f>
        <v>0</v>
      </c>
      <c r="S41" s="511" t="n">
        <f aca="false">IF($Y41=1,0,$X$7*(INT(S$6/$X41)-INT(R$6/$X41))-IF(SUM($B41:R41)&gt;0,S42,0))</f>
        <v>0</v>
      </c>
      <c r="T41" s="511" t="n">
        <f aca="false">IF($Y41=1,0,$X$7*(INT(T$6/$X41)-INT(S$6/$X41))-IF(SUM($B41:S41)&gt;0,T42,0))</f>
        <v>2</v>
      </c>
      <c r="U41" s="511" t="n">
        <f aca="false">IF($Y41=1,0,$X$7*(INT(U$6/$X41)-INT(T$6/$X41))-IF(SUM($B41:T41)&gt;0,U42,0))</f>
        <v>0</v>
      </c>
      <c r="V41" s="511" t="n">
        <f aca="false">IF($Y41=1,0,$X$7*(INT(V$6/$X41)-INT(U$6/$X41))-IF(SUM($B41:U41)&gt;0,V42,0))</f>
        <v>0</v>
      </c>
      <c r="W41" s="800" t="str">
        <f aca="false">'GT schd cost(7FA)'!A19</f>
        <v>Stage 3 Nozzles</v>
      </c>
      <c r="X41" s="800" t="n">
        <f aca="false">IF($AD$6=1,'GTDB(7FA)'!B22,'GTDB(7FA)'!G22)</f>
        <v>24000</v>
      </c>
      <c r="Y41" s="800" t="n">
        <f aca="false">IF($AD$6=1,'GTDB(7FA)'!C22,'GTDB(7FA)'!H22)</f>
        <v>3</v>
      </c>
      <c r="Z41" s="801" t="n">
        <v>1</v>
      </c>
      <c r="AA41" s="805" t="n">
        <f aca="false">'Initial_Spares(7FA)'!$E$16</f>
        <v>0</v>
      </c>
      <c r="AB41" s="764" t="n">
        <f aca="false">'GT schd cost(7FA)'!X19+'GT schd cost(7FA)'!X42</f>
        <v>7166.472</v>
      </c>
    </row>
    <row r="42" customFormat="false" ht="12.75" hidden="false" customHeight="false" outlineLevel="0" collapsed="false">
      <c r="A42" s="153" t="s">
        <v>1397</v>
      </c>
      <c r="B42" s="511" t="s">
        <v>1007</v>
      </c>
      <c r="C42" s="511" t="n">
        <f aca="false">IF(INT(C$6/$X41)*$X$7&gt;C40*($X$7+$Z41)*$Y41,C40*($X$7+$Z41)-SUM($B42:B42),INT(C$6/$X41)*$X$7-C40*($X$7+$Z41)*($Y41-1)-SUM($B42:B42))+IF($Y41&gt;1,IF(INT(C$6/$X41)&gt;0,$Z41-$AA41,0),-$AA41)</f>
        <v>0</v>
      </c>
      <c r="D42" s="511" t="n">
        <f aca="false">IF(INT(D$6/$X41)*$X$7&gt;D40*($X$7+$Z41)*$Y41,D40*($X$7+$Z41)-SUM($B42:C42),INT(D$6/$X41)*$X$7-D40*($X$7+$Z41)*($Y41-1)-SUM($B42:C42))+IF($Y41&gt;1,IF(INT(D$6/$X41)&gt;0,$Z41-$AA41,0),-$AA41)</f>
        <v>0</v>
      </c>
      <c r="E42" s="511" t="n">
        <f aca="false">IF(INT(E$6/$X41)*$X$7&gt;E40*($X$7+$Z41)*$Y41,E40*($X$7+$Z41)-SUM($B42:D42),INT(E$6/$X41)*$X$7-E40*($X$7+$Z41)*($Y41-1)-SUM($B42:D42))+IF($Y41&gt;1,IF(INT(E$6/$X41)&gt;0,$Z41-$AA41,0),-$AA41)</f>
        <v>1</v>
      </c>
      <c r="F42" s="511" t="n">
        <f aca="false">IF(INT(F$6/$X41)*$X$7&gt;F40*($X$7+$Z41)*$Y41,F40*($X$7+$Z41)-SUM($B42:E42),INT(F$6/$X41)*$X$7-F40*($X$7+$Z41)*($Y41-1)-SUM($B42:E42))+IF($Y41&gt;1,IF(INT(F$6/$X41)&gt;0,$Z41-$AA41,0),-$AA41)</f>
        <v>0</v>
      </c>
      <c r="G42" s="511" t="n">
        <f aca="false">IF(INT(G$6/$X41)*$X$7&gt;G40*($X$7+$Z41)*$Y41,G40*($X$7+$Z41)-SUM($B42:F42),INT(G$6/$X41)*$X$7-G40*($X$7+$Z41)*($Y41-1)-SUM($B42:F42))+IF($Y41&gt;1,IF(INT(G$6/$X41)&gt;0,$Z41-$AA41,0),-$AA41)</f>
        <v>0</v>
      </c>
      <c r="H42" s="511" t="n">
        <f aca="false">IF(INT(H$6/$X41)*$X$7&gt;H40*($X$7+$Z41)*$Y41,H40*($X$7+$Z41)-SUM($B42:G42),INT(H$6/$X41)*$X$7-H40*($X$7+$Z41)*($Y41-1)-SUM($B42:G42))+IF($Y41&gt;1,IF(INT(H$6/$X41)&gt;0,$Z41-$AA41,0),-$AA41)</f>
        <v>0</v>
      </c>
      <c r="I42" s="511" t="n">
        <f aca="false">IF(INT(I$6/$X41)*$X$7&gt;I40*($X$7+$Z41)*$Y41,I40*($X$7+$Z41)-SUM($B42:H42),INT(I$6/$X41)*$X$7-I40*($X$7+$Z41)*($Y41-1)-SUM($B42:H42))+IF($Y41&gt;1,IF(INT(I$6/$X41)&gt;0,$Z41-$AA41,0),-$AA41)</f>
        <v>0</v>
      </c>
      <c r="J42" s="511" t="n">
        <f aca="false">IF(INT(J$6/$X41)*$X$7&gt;J40*($X$7+$Z41)*$Y41,J40*($X$7+$Z41)-SUM($B42:I42),INT(J$6/$X41)*$X$7-J40*($X$7+$Z41)*($Y41-1)-SUM($B42:I42))+IF($Y41&gt;1,IF(INT(J$6/$X41)&gt;0,$Z41-$AA41,0),-$AA41)</f>
        <v>0</v>
      </c>
      <c r="K42" s="511" t="n">
        <f aca="false">IF(INT(K$6/$X41)*$X$7&gt;K40*($X$7+$Z41)*$Y41,K40*($X$7+$Z41)-SUM($B42:J42),INT(K$6/$X41)*$X$7-K40*($X$7+$Z41)*($Y41-1)-SUM($B42:J42))+IF($Y41&gt;1,IF(INT(K$6/$X41)&gt;0,$Z41-$AA41,0),-$AA41)</f>
        <v>0</v>
      </c>
      <c r="L42" s="511" t="n">
        <f aca="false">IF(INT(L$6/$X41)*$X$7&gt;L40*($X$7+$Z41)*$Y41,L40*($X$7+$Z41)-SUM($B42:K42),INT(L$6/$X41)*$X$7-L40*($X$7+$Z41)*($Y41-1)-SUM($B42:K42))+IF($Y41&gt;1,IF(INT(L$6/$X41)&gt;0,$Z41-$AA41,0),-$AA41)</f>
        <v>0</v>
      </c>
      <c r="M42" s="511" t="n">
        <f aca="false">IF(INT(M$6/$X41)*$X$7&gt;M40*($X$7+$Z41)*$Y41,M40*($X$7+$Z41)-SUM($B42:L42),INT(M$6/$X41)*$X$7-M40*($X$7+$Z41)*($Y41-1)-SUM($B42:L42))+IF($Y41&gt;1,IF(INT(M$6/$X41)&gt;0,$Z41-$AA41,0),-$AA41)</f>
        <v>0</v>
      </c>
      <c r="N42" s="511" t="n">
        <f aca="false">IF(INT(N$6/$X41)*$X$7&gt;N40*($X$7+$Z41)*$Y41,N40*($X$7+$Z41)-SUM($B42:M42),INT(N$6/$X41)*$X$7-N40*($X$7+$Z41)*($Y41-1)-SUM($B42:M42))+IF($Y41&gt;1,IF(INT(N$6/$X41)&gt;0,$Z41-$AA41,0),-$AA41)</f>
        <v>2</v>
      </c>
      <c r="O42" s="511" t="n">
        <f aca="false">IF(INT(O$6/$X41)*$X$7&gt;O40*($X$7+$Z41)*$Y41,O40*($X$7+$Z41)-SUM($B42:N42),INT(O$6/$X41)*$X$7-O40*($X$7+$Z41)*($Y41-1)-SUM($B42:N42))+IF($Y41&gt;1,IF(INT(O$6/$X41)&gt;0,$Z41-$AA41,0),-$AA41)</f>
        <v>0</v>
      </c>
      <c r="P42" s="511" t="n">
        <f aca="false">IF(INT(P$6/$X41)*$X$7&gt;P40*($X$7+$Z41)*$Y41,P40*($X$7+$Z41)-SUM($B42:O42),INT(P$6/$X41)*$X$7-P40*($X$7+$Z41)*($Y41-1)-SUM($B42:O42))+IF($Y41&gt;1,IF(INT(P$6/$X41)&gt;0,$Z41-$AA41,0),-$AA41)</f>
        <v>0</v>
      </c>
      <c r="Q42" s="511" t="n">
        <f aca="false">IF(INT(Q$6/$X41)*$X$7&gt;Q40*($X$7+$Z41)*$Y41,Q40*($X$7+$Z41)-SUM($B42:P42),INT(Q$6/$X41)*$X$7-Q40*($X$7+$Z41)*($Y41-1)-SUM($B42:P42))+IF($Y41&gt;1,IF(INT(Q$6/$X41)&gt;0,$Z41-$AA41,0),-$AA41)</f>
        <v>1</v>
      </c>
      <c r="R42" s="511" t="n">
        <f aca="false">IF(INT(R$6/$X41)*$X$7&gt;R40*($X$7+$Z41)*$Y41,R40*($X$7+$Z41)-SUM($B42:Q42),INT(R$6/$X41)*$X$7-R40*($X$7+$Z41)*($Y41-1)-SUM($B42:Q42))+IF($Y41&gt;1,IF(INT(R$6/$X41)&gt;0,$Z41-$AA41,0),-$AA41)</f>
        <v>0</v>
      </c>
      <c r="S42" s="511" t="n">
        <f aca="false">IF(INT(S$6/$X41)*$X$7&gt;S40*($X$7+$Z41)*$Y41,S40*($X$7+$Z41)-SUM($B42:R42),INT(S$6/$X41)*$X$7-S40*($X$7+$Z41)*($Y41-1)-SUM($B42:R42))+IF($Y41&gt;1,IF(INT(S$6/$X41)&gt;0,$Z41-$AA41,0),-$AA41)</f>
        <v>0</v>
      </c>
      <c r="T42" s="511" t="n">
        <f aca="false">IF(INT(T$6/$X41)*$X$7&gt;T40*($X$7+$Z41)*$Y41,T40*($X$7+$Z41)-SUM($B42:S42),INT(T$6/$X41)*$X$7-T40*($X$7+$Z41)*($Y41-1)-SUM($B42:S42))+IF($Y41&gt;1,IF(INT(T$6/$X41)&gt;0,$Z41-$AA41,0),-$AA41)</f>
        <v>0</v>
      </c>
      <c r="U42" s="511" t="n">
        <f aca="false">IF(INT(U$6/$X41)*$X$7&gt;U40*($X$7+$Z41)*$Y41,U40*($X$7+$Z41)-SUM($B42:T42),INT(U$6/$X41)*$X$7-U40*($X$7+$Z41)*($Y41-1)-SUM($B42:T42))+IF($Y41&gt;1,IF(INT(U$6/$X41)&gt;0,$Z41-$AA41,0),-$AA41)</f>
        <v>0</v>
      </c>
      <c r="V42" s="511" t="n">
        <f aca="false">IF(INT(V$6/$X41)*$X$7&gt;V40*($X$7+$Z41)*$Y41,V40*($X$7+$Z41)-SUM($B42:U42),INT(V$6/$X41)*$X$7-V40*($X$7+$Z41)*($Y41-1)-SUM($B42:U42))+IF($Y41&gt;1,IF(INT(V$6/$X41)&gt;0,$Z41-$AA41,0),-$AA41)</f>
        <v>0</v>
      </c>
      <c r="W42" s="803"/>
      <c r="AA42" s="157"/>
      <c r="AB42" s="157"/>
    </row>
    <row r="43" customFormat="false" ht="12.75" hidden="false" customHeight="false" outlineLevel="0" collapsed="false">
      <c r="A43" s="157"/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785"/>
      <c r="X43" s="157"/>
      <c r="Y43" s="157"/>
      <c r="Z43" s="157"/>
      <c r="AA43" s="157"/>
      <c r="AB43" s="157"/>
    </row>
    <row r="44" customFormat="false" ht="12.75" hidden="true" customHeight="false" outlineLevel="0" collapsed="false">
      <c r="A44" s="153" t="s">
        <v>1395</v>
      </c>
      <c r="B44" s="511"/>
      <c r="C44" s="153" t="n">
        <f aca="false">INT((INT(C$6/$X45)*$X$7+$X$7+$Z45-1)/($X$7+$Z45)/$Y45)</f>
        <v>0</v>
      </c>
      <c r="D44" s="153" t="n">
        <f aca="false">INT((INT(D$6/$X45)*$X$7+$X$7+$Z45-1)/($X$7+$Z45)/$Y45)</f>
        <v>0</v>
      </c>
      <c r="E44" s="153" t="n">
        <f aca="false">INT((INT(E$6/$X45)*$X$7+$X$7+$Z45-1)/($X$7+$Z45)/$Y45)</f>
        <v>0</v>
      </c>
      <c r="F44" s="153" t="n">
        <f aca="false">INT((INT(F$6/$X45)*$X$7+$X$7+$Z45-1)/($X$7+$Z45)/$Y45)</f>
        <v>0</v>
      </c>
      <c r="G44" s="153" t="n">
        <f aca="false">INT((INT(G$6/$X45)*$X$7+$X$7+$Z45-1)/($X$7+$Z45)/$Y45)</f>
        <v>0</v>
      </c>
      <c r="H44" s="153" t="n">
        <f aca="false">INT((INT(H$6/$X45)*$X$7+$X$7+$Z45-1)/($X$7+$Z45)/$Y45)</f>
        <v>0</v>
      </c>
      <c r="I44" s="153" t="n">
        <f aca="false">INT((INT(I$6/$X45)*$X$7+$X$7+$Z45-1)/($X$7+$Z45)/$Y45)</f>
        <v>0</v>
      </c>
      <c r="J44" s="153" t="n">
        <f aca="false">INT((INT(J$6/$X45)*$X$7+$X$7+$Z45-1)/($X$7+$Z45)/$Y45)</f>
        <v>0</v>
      </c>
      <c r="K44" s="153" t="n">
        <f aca="false">INT((INT(K$6/$X45)*$X$7+$X$7+$Z45-1)/($X$7+$Z45)/$Y45)</f>
        <v>0</v>
      </c>
      <c r="L44" s="153" t="n">
        <f aca="false">INT((INT(L$6/$X45)*$X$7+$X$7+$Z45-1)/($X$7+$Z45)/$Y45)</f>
        <v>0</v>
      </c>
      <c r="M44" s="153" t="n">
        <f aca="false">INT((INT(M$6/$X45)*$X$7+$X$7+$Z45-1)/($X$7+$Z45)/$Y45)</f>
        <v>0</v>
      </c>
      <c r="N44" s="153" t="n">
        <f aca="false">INT((INT(N$6/$X45)*$X$7+$X$7+$Z45-1)/($X$7+$Z45)/$Y45)</f>
        <v>1</v>
      </c>
      <c r="O44" s="153" t="n">
        <f aca="false">INT((INT(O$6/$X45)*$X$7+$X$7+$Z45-1)/($X$7+$Z45)/$Y45)</f>
        <v>1</v>
      </c>
      <c r="P44" s="153" t="n">
        <f aca="false">INT((INT(P$6/$X45)*$X$7+$X$7+$Z45-1)/($X$7+$Z45)/$Y45)</f>
        <v>1</v>
      </c>
      <c r="Q44" s="153" t="n">
        <f aca="false">INT((INT(Q$6/$X45)*$X$7+$X$7+$Z45-1)/($X$7+$Z45)/$Y45)</f>
        <v>1</v>
      </c>
      <c r="R44" s="153" t="n">
        <f aca="false">INT((INT(R$6/$X45)*$X$7+$X$7+$Z45-1)/($X$7+$Z45)/$Y45)</f>
        <v>1</v>
      </c>
      <c r="S44" s="153" t="n">
        <f aca="false">INT((INT(S$6/$X45)*$X$7+$X$7+$Z45-1)/($X$7+$Z45)/$Y45)</f>
        <v>1</v>
      </c>
      <c r="T44" s="153" t="n">
        <f aca="false">INT((INT(T$6/$X45)*$X$7+$X$7+$Z45-1)/($X$7+$Z45)/$Y45)</f>
        <v>1</v>
      </c>
      <c r="U44" s="153" t="n">
        <f aca="false">INT((INT(U$6/$X45)*$X$7+$X$7+$Z45-1)/($X$7+$Z45)/$Y45)</f>
        <v>1</v>
      </c>
      <c r="V44" s="153" t="n">
        <f aca="false">INT((INT(V$6/$X45)*$X$7+$X$7+$Z45-1)/($X$7+$Z45)/$Y45)</f>
        <v>1</v>
      </c>
      <c r="W44" s="157"/>
      <c r="X44" s="157"/>
      <c r="Y44" s="157"/>
      <c r="Z44" s="157"/>
      <c r="AA44" s="157"/>
      <c r="AB44" s="157"/>
    </row>
    <row r="45" customFormat="false" ht="12.75" hidden="false" customHeight="false" outlineLevel="0" collapsed="false">
      <c r="A45" s="153" t="s">
        <v>1396</v>
      </c>
      <c r="B45" s="511" t="s">
        <v>1007</v>
      </c>
      <c r="C45" s="511" t="n">
        <f aca="false">IF($Y45=1,0,$X$7*(INT(C$6/$X45)-INT(B$6/$X45))-IF(SUM($B45:B45)&gt;0,C46,0))</f>
        <v>0</v>
      </c>
      <c r="D45" s="511" t="n">
        <f aca="false">IF($Y45=1,0,$X$7*(INT(D$6/$X45)-INT(C$6/$X45))-IF(SUM($B45:C45)&gt;0,D46,0))</f>
        <v>0</v>
      </c>
      <c r="E45" s="511" t="n">
        <f aca="false">IF($Y45=1,0,$X$7*(INT(E$6/$X45)-INT(D$6/$X45))-IF(SUM($B45:D45)&gt;0,E46,0))</f>
        <v>2</v>
      </c>
      <c r="F45" s="511" t="n">
        <f aca="false">IF($Y45=1,0,$X$7*(INT(F$6/$X45)-INT(E$6/$X45))-IF(SUM($B45:E45)&gt;0,F46,0))</f>
        <v>0</v>
      </c>
      <c r="G45" s="511" t="n">
        <f aca="false">IF($Y45=1,0,$X$7*(INT(G$6/$X45)-INT(F$6/$X45))-IF(SUM($B45:F45)&gt;0,G46,0))</f>
        <v>0</v>
      </c>
      <c r="H45" s="511" t="n">
        <f aca="false">IF($Y45=1,0,$X$7*(INT(H$6/$X45)-INT(G$6/$X45))-IF(SUM($B45:G45)&gt;0,H46,0))</f>
        <v>2</v>
      </c>
      <c r="I45" s="511" t="n">
        <f aca="false">IF($Y45=1,0,$X$7*(INT(I$6/$X45)-INT(H$6/$X45))-IF(SUM($B45:H45)&gt;0,I46,0))</f>
        <v>0</v>
      </c>
      <c r="J45" s="511" t="n">
        <f aca="false">IF($Y45=1,0,$X$7*(INT(J$6/$X45)-INT(I$6/$X45))-IF(SUM($B45:I45)&gt;0,J46,0))</f>
        <v>0</v>
      </c>
      <c r="K45" s="511" t="n">
        <f aca="false">IF($Y45=1,0,$X$7*(INT(K$6/$X45)-INT(J$6/$X45))-IF(SUM($B45:J45)&gt;0,K46,0))</f>
        <v>2</v>
      </c>
      <c r="L45" s="511" t="n">
        <f aca="false">IF($Y45=1,0,$X$7*(INT(L$6/$X45)-INT(K$6/$X45))-IF(SUM($B45:K45)&gt;0,L46,0))</f>
        <v>0</v>
      </c>
      <c r="M45" s="511" t="n">
        <f aca="false">IF($Y45=1,0,$X$7*(INT(M$6/$X45)-INT(L$6/$X45))-IF(SUM($B45:L45)&gt;0,M46,0))</f>
        <v>0</v>
      </c>
      <c r="N45" s="511" t="n">
        <f aca="false">IF($Y45=1,0,$X$7*(INT(N$6/$X45)-INT(M$6/$X45))-IF(SUM($B45:M45)&gt;0,N46,0))</f>
        <v>0</v>
      </c>
      <c r="O45" s="511" t="n">
        <f aca="false">IF($Y45=1,0,$X$7*(INT(O$6/$X45)-INT(N$6/$X45))-IF(SUM($B45:N45)&gt;0,O46,0))</f>
        <v>0</v>
      </c>
      <c r="P45" s="511" t="n">
        <f aca="false">IF($Y45=1,0,$X$7*(INT(P$6/$X45)-INT(O$6/$X45))-IF(SUM($B45:O45)&gt;0,P46,0))</f>
        <v>0</v>
      </c>
      <c r="Q45" s="511" t="n">
        <f aca="false">IF($Y45=1,0,$X$7*(INT(Q$6/$X45)-INT(P$6/$X45))-IF(SUM($B45:P45)&gt;0,Q46,0))</f>
        <v>1</v>
      </c>
      <c r="R45" s="511" t="n">
        <f aca="false">IF($Y45=1,0,$X$7*(INT(R$6/$X45)-INT(Q$6/$X45))-IF(SUM($B45:Q45)&gt;0,R46,0))</f>
        <v>0</v>
      </c>
      <c r="S45" s="511" t="n">
        <f aca="false">IF($Y45=1,0,$X$7*(INT(S$6/$X45)-INT(R$6/$X45))-IF(SUM($B45:R45)&gt;0,S46,0))</f>
        <v>0</v>
      </c>
      <c r="T45" s="511" t="n">
        <f aca="false">IF($Y45=1,0,$X$7*(INT(T$6/$X45)-INT(S$6/$X45))-IF(SUM($B45:S45)&gt;0,T46,0))</f>
        <v>2</v>
      </c>
      <c r="U45" s="511" t="n">
        <f aca="false">IF($Y45=1,0,$X$7*(INT(U$6/$X45)-INT(T$6/$X45))-IF(SUM($B45:T45)&gt;0,U46,0))</f>
        <v>0</v>
      </c>
      <c r="V45" s="511" t="n">
        <f aca="false">IF($Y45=1,0,$X$7*(INT(V$6/$X45)-INT(U$6/$X45))-IF(SUM($B45:U45)&gt;0,V46,0))</f>
        <v>0</v>
      </c>
      <c r="W45" s="800" t="str">
        <f aca="false">'GT schd cost(7FA)'!A20</f>
        <v>Stage 1 Buckets</v>
      </c>
      <c r="X45" s="800" t="n">
        <f aca="false">IF($AD$6=1,'GTDB(7FA)'!B23,'GTDB(7FA)'!G23)</f>
        <v>24000</v>
      </c>
      <c r="Y45" s="800" t="n">
        <f aca="false">IF($AD$6=1,'GTDB(7FA)'!C23,'GTDB(7FA)'!H23)</f>
        <v>3</v>
      </c>
      <c r="Z45" s="801" t="n">
        <v>1</v>
      </c>
      <c r="AA45" s="805" t="n">
        <f aca="false">'Initial_Spares(7FA)'!$E$17</f>
        <v>1</v>
      </c>
      <c r="AB45" s="764" t="n">
        <f aca="false">'GT schd cost(7FA)'!X20+'GT schd cost(7FA)'!X43</f>
        <v>18408.834</v>
      </c>
    </row>
    <row r="46" customFormat="false" ht="12.75" hidden="false" customHeight="false" outlineLevel="0" collapsed="false">
      <c r="A46" s="153" t="s">
        <v>1397</v>
      </c>
      <c r="B46" s="511" t="s">
        <v>1007</v>
      </c>
      <c r="C46" s="511" t="n">
        <f aca="false">IF(INT(C$6/$X45)*$X$7&gt;C44*($X$7+$Z45)*$Y45,C44*($X$7+$Z45)-SUM($B46:B46),INT(C$6/$X45)*$X$7-C44*($X$7+$Z45)*($Y45-1)-SUM($B46:B46))+IF($Y45&gt;1,IF(INT(C$6/$X45)&gt;0,$Z45-$AA45,0),-$AA45)</f>
        <v>0</v>
      </c>
      <c r="D46" s="511" t="n">
        <f aca="false">IF(INT(D$6/$X45)*$X$7&gt;D44*($X$7+$Z45)*$Y45,D44*($X$7+$Z45)-SUM($B46:C46),INT(D$6/$X45)*$X$7-D44*($X$7+$Z45)*($Y45-1)-SUM($B46:C46))+IF($Y45&gt;1,IF(INT(D$6/$X45)&gt;0,$Z45-$AA45,0),-$AA45)</f>
        <v>0</v>
      </c>
      <c r="E46" s="511" t="n">
        <f aca="false">IF(INT(E$6/$X45)*$X$7&gt;E44*($X$7+$Z45)*$Y45,E44*($X$7+$Z45)-SUM($B46:D46),INT(E$6/$X45)*$X$7-E44*($X$7+$Z45)*($Y45-1)-SUM($B46:D46))+IF($Y45&gt;1,IF(INT(E$6/$X45)&gt;0,$Z45-$AA45,0),-$AA45)</f>
        <v>0</v>
      </c>
      <c r="F46" s="511" t="n">
        <f aca="false">IF(INT(F$6/$X45)*$X$7&gt;F44*($X$7+$Z45)*$Y45,F44*($X$7+$Z45)-SUM($B46:E46),INT(F$6/$X45)*$X$7-F44*($X$7+$Z45)*($Y45-1)-SUM($B46:E46))+IF($Y45&gt;1,IF(INT(F$6/$X45)&gt;0,$Z45-$AA45,0),-$AA45)</f>
        <v>0</v>
      </c>
      <c r="G46" s="511" t="n">
        <f aca="false">IF(INT(G$6/$X45)*$X$7&gt;G44*($X$7+$Z45)*$Y45,G44*($X$7+$Z45)-SUM($B46:F46),INT(G$6/$X45)*$X$7-G44*($X$7+$Z45)*($Y45-1)-SUM($B46:F46))+IF($Y45&gt;1,IF(INT(G$6/$X45)&gt;0,$Z45-$AA45,0),-$AA45)</f>
        <v>0</v>
      </c>
      <c r="H46" s="511" t="n">
        <f aca="false">IF(INT(H$6/$X45)*$X$7&gt;H44*($X$7+$Z45)*$Y45,H44*($X$7+$Z45)-SUM($B46:G46),INT(H$6/$X45)*$X$7-H44*($X$7+$Z45)*($Y45-1)-SUM($B46:G46))+IF($Y45&gt;1,IF(INT(H$6/$X45)&gt;0,$Z45-$AA45,0),-$AA45)</f>
        <v>0</v>
      </c>
      <c r="I46" s="511" t="n">
        <f aca="false">IF(INT(I$6/$X45)*$X$7&gt;I44*($X$7+$Z45)*$Y45,I44*($X$7+$Z45)-SUM($B46:H46),INT(I$6/$X45)*$X$7-I44*($X$7+$Z45)*($Y45-1)-SUM($B46:H46))+IF($Y45&gt;1,IF(INT(I$6/$X45)&gt;0,$Z45-$AA45,0),-$AA45)</f>
        <v>0</v>
      </c>
      <c r="J46" s="511" t="n">
        <f aca="false">IF(INT(J$6/$X45)*$X$7&gt;J44*($X$7+$Z45)*$Y45,J44*($X$7+$Z45)-SUM($B46:I46),INT(J$6/$X45)*$X$7-J44*($X$7+$Z45)*($Y45-1)-SUM($B46:I46))+IF($Y45&gt;1,IF(INT(J$6/$X45)&gt;0,$Z45-$AA45,0),-$AA45)</f>
        <v>0</v>
      </c>
      <c r="K46" s="511" t="n">
        <f aca="false">IF(INT(K$6/$X45)*$X$7&gt;K44*($X$7+$Z45)*$Y45,K44*($X$7+$Z45)-SUM($B46:J46),INT(K$6/$X45)*$X$7-K44*($X$7+$Z45)*($Y45-1)-SUM($B46:J46))+IF($Y45&gt;1,IF(INT(K$6/$X45)&gt;0,$Z45-$AA45,0),-$AA45)</f>
        <v>0</v>
      </c>
      <c r="L46" s="511" t="n">
        <f aca="false">IF(INT(L$6/$X45)*$X$7&gt;L44*($X$7+$Z45)*$Y45,L44*($X$7+$Z45)-SUM($B46:K46),INT(L$6/$X45)*$X$7-L44*($X$7+$Z45)*($Y45-1)-SUM($B46:K46))+IF($Y45&gt;1,IF(INT(L$6/$X45)&gt;0,$Z45-$AA45,0),-$AA45)</f>
        <v>0</v>
      </c>
      <c r="M46" s="511" t="n">
        <f aca="false">IF(INT(M$6/$X45)*$X$7&gt;M44*($X$7+$Z45)*$Y45,M44*($X$7+$Z45)-SUM($B46:L46),INT(M$6/$X45)*$X$7-M44*($X$7+$Z45)*($Y45-1)-SUM($B46:L46))+IF($Y45&gt;1,IF(INT(M$6/$X45)&gt;0,$Z45-$AA45,0),-$AA45)</f>
        <v>0</v>
      </c>
      <c r="N46" s="511" t="n">
        <f aca="false">IF(INT(N$6/$X45)*$X$7&gt;N44*($X$7+$Z45)*$Y45,N44*($X$7+$Z45)-SUM($B46:M46),INT(N$6/$X45)*$X$7-N44*($X$7+$Z45)*($Y45-1)-SUM($B46:M46))+IF($Y45&gt;1,IF(INT(N$6/$X45)&gt;0,$Z45-$AA45,0),-$AA45)</f>
        <v>2</v>
      </c>
      <c r="O46" s="511" t="n">
        <f aca="false">IF(INT(O$6/$X45)*$X$7&gt;O44*($X$7+$Z45)*$Y45,O44*($X$7+$Z45)-SUM($B46:N46),INT(O$6/$X45)*$X$7-O44*($X$7+$Z45)*($Y45-1)-SUM($B46:N46))+IF($Y45&gt;1,IF(INT(O$6/$X45)&gt;0,$Z45-$AA45,0),-$AA45)</f>
        <v>0</v>
      </c>
      <c r="P46" s="511" t="n">
        <f aca="false">IF(INT(P$6/$X45)*$X$7&gt;P44*($X$7+$Z45)*$Y45,P44*($X$7+$Z45)-SUM($B46:O46),INT(P$6/$X45)*$X$7-P44*($X$7+$Z45)*($Y45-1)-SUM($B46:O46))+IF($Y45&gt;1,IF(INT(P$6/$X45)&gt;0,$Z45-$AA45,0),-$AA45)</f>
        <v>0</v>
      </c>
      <c r="Q46" s="511" t="n">
        <f aca="false">IF(INT(Q$6/$X45)*$X$7&gt;Q44*($X$7+$Z45)*$Y45,Q44*($X$7+$Z45)-SUM($B46:P46),INT(Q$6/$X45)*$X$7-Q44*($X$7+$Z45)*($Y45-1)-SUM($B46:P46))+IF($Y45&gt;1,IF(INT(Q$6/$X45)&gt;0,$Z45-$AA45,0),-$AA45)</f>
        <v>1</v>
      </c>
      <c r="R46" s="511" t="n">
        <f aca="false">IF(INT(R$6/$X45)*$X$7&gt;R44*($X$7+$Z45)*$Y45,R44*($X$7+$Z45)-SUM($B46:Q46),INT(R$6/$X45)*$X$7-R44*($X$7+$Z45)*($Y45-1)-SUM($B46:Q46))+IF($Y45&gt;1,IF(INT(R$6/$X45)&gt;0,$Z45-$AA45,0),-$AA45)</f>
        <v>0</v>
      </c>
      <c r="S46" s="511" t="n">
        <f aca="false">IF(INT(S$6/$X45)*$X$7&gt;S44*($X$7+$Z45)*$Y45,S44*($X$7+$Z45)-SUM($B46:R46),INT(S$6/$X45)*$X$7-S44*($X$7+$Z45)*($Y45-1)-SUM($B46:R46))+IF($Y45&gt;1,IF(INT(S$6/$X45)&gt;0,$Z45-$AA45,0),-$AA45)</f>
        <v>0</v>
      </c>
      <c r="T46" s="511" t="n">
        <f aca="false">IF(INT(T$6/$X45)*$X$7&gt;T44*($X$7+$Z45)*$Y45,T44*($X$7+$Z45)-SUM($B46:S46),INT(T$6/$X45)*$X$7-T44*($X$7+$Z45)*($Y45-1)-SUM($B46:S46))+IF($Y45&gt;1,IF(INT(T$6/$X45)&gt;0,$Z45-$AA45,0),-$AA45)</f>
        <v>0</v>
      </c>
      <c r="U46" s="511" t="n">
        <f aca="false">IF(INT(U$6/$X45)*$X$7&gt;U44*($X$7+$Z45)*$Y45,U44*($X$7+$Z45)-SUM($B46:T46),INT(U$6/$X45)*$X$7-U44*($X$7+$Z45)*($Y45-1)-SUM($B46:T46))+IF($Y45&gt;1,IF(INT(U$6/$X45)&gt;0,$Z45-$AA45,0),-$AA45)</f>
        <v>0</v>
      </c>
      <c r="V46" s="511" t="n">
        <f aca="false">IF(INT(V$6/$X45)*$X$7&gt;V44*($X$7+$Z45)*$Y45,V44*($X$7+$Z45)-SUM($B46:U46),INT(V$6/$X45)*$X$7-V44*($X$7+$Z45)*($Y45-1)-SUM($B46:U46))+IF($Y45&gt;1,IF(INT(V$6/$X45)&gt;0,$Z45-$AA45,0),-$AA45)</f>
        <v>0</v>
      </c>
      <c r="W46" s="803"/>
      <c r="AA46" s="157"/>
      <c r="AB46" s="157"/>
    </row>
    <row r="47" customFormat="false" ht="12.75" hidden="false" customHeight="false" outlineLevel="0" collapsed="false">
      <c r="A47" s="157"/>
      <c r="B47" s="518"/>
      <c r="C47" s="518"/>
      <c r="D47" s="518"/>
      <c r="E47" s="518"/>
      <c r="F47" s="518"/>
      <c r="G47" s="518"/>
      <c r="H47" s="518"/>
      <c r="I47" s="518"/>
      <c r="J47" s="518"/>
      <c r="K47" s="518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785"/>
      <c r="X47" s="157"/>
      <c r="Y47" s="157"/>
      <c r="Z47" s="157"/>
      <c r="AA47" s="157"/>
      <c r="AB47" s="157"/>
    </row>
    <row r="48" customFormat="false" ht="12.75" hidden="true" customHeight="false" outlineLevel="0" collapsed="false">
      <c r="A48" s="153" t="s">
        <v>1395</v>
      </c>
      <c r="B48" s="511"/>
      <c r="C48" s="153" t="n">
        <f aca="false">INT((INT(C$6/$X49)*$X$7+$X$7+$Z49-1)/($X$7+$Z49)/$Y49)</f>
        <v>0</v>
      </c>
      <c r="D48" s="153" t="n">
        <f aca="false">INT((INT(D$6/$X49)*$X$7+$X$7+$Z49-1)/($X$7+$Z49)/$Y49)</f>
        <v>0</v>
      </c>
      <c r="E48" s="153" t="n">
        <f aca="false">INT((INT(E$6/$X49)*$X$7+$X$7+$Z49-1)/($X$7+$Z49)/$Y49)</f>
        <v>0</v>
      </c>
      <c r="F48" s="153" t="n">
        <f aca="false">INT((INT(F$6/$X49)*$X$7+$X$7+$Z49-1)/($X$7+$Z49)/$Y49)</f>
        <v>0</v>
      </c>
      <c r="G48" s="153" t="n">
        <f aca="false">INT((INT(G$6/$X49)*$X$7+$X$7+$Z49-1)/($X$7+$Z49)/$Y49)</f>
        <v>0</v>
      </c>
      <c r="H48" s="153" t="n">
        <f aca="false">INT((INT(H$6/$X49)*$X$7+$X$7+$Z49-1)/($X$7+$Z49)/$Y49)</f>
        <v>1</v>
      </c>
      <c r="I48" s="153" t="n">
        <f aca="false">INT((INT(I$6/$X49)*$X$7+$X$7+$Z49-1)/($X$7+$Z49)/$Y49)</f>
        <v>1</v>
      </c>
      <c r="J48" s="153" t="n">
        <f aca="false">INT((INT(J$6/$X49)*$X$7+$X$7+$Z49-1)/($X$7+$Z49)/$Y49)</f>
        <v>1</v>
      </c>
      <c r="K48" s="153" t="n">
        <f aca="false">INT((INT(K$6/$X49)*$X$7+$X$7+$Z49-1)/($X$7+$Z49)/$Y49)</f>
        <v>1</v>
      </c>
      <c r="L48" s="153" t="n">
        <f aca="false">INT((INT(L$6/$X49)*$X$7+$X$7+$Z49-1)/($X$7+$Z49)/$Y49)</f>
        <v>1</v>
      </c>
      <c r="M48" s="153" t="n">
        <f aca="false">INT((INT(M$6/$X49)*$X$7+$X$7+$Z49-1)/($X$7+$Z49)/$Y49)</f>
        <v>1</v>
      </c>
      <c r="N48" s="153" t="n">
        <f aca="false">INT((INT(N$6/$X49)*$X$7+$X$7+$Z49-1)/($X$7+$Z49)/$Y49)</f>
        <v>1</v>
      </c>
      <c r="O48" s="153" t="n">
        <f aca="false">INT((INT(O$6/$X49)*$X$7+$X$7+$Z49-1)/($X$7+$Z49)/$Y49)</f>
        <v>1</v>
      </c>
      <c r="P48" s="153" t="n">
        <f aca="false">INT((INT(P$6/$X49)*$X$7+$X$7+$Z49-1)/($X$7+$Z49)/$Y49)</f>
        <v>1</v>
      </c>
      <c r="Q48" s="153" t="n">
        <f aca="false">INT((INT(Q$6/$X49)*$X$7+$X$7+$Z49-1)/($X$7+$Z49)/$Y49)</f>
        <v>2</v>
      </c>
      <c r="R48" s="153" t="n">
        <f aca="false">INT((INT(R$6/$X49)*$X$7+$X$7+$Z49-1)/($X$7+$Z49)/$Y49)</f>
        <v>2</v>
      </c>
      <c r="S48" s="153" t="n">
        <f aca="false">INT((INT(S$6/$X49)*$X$7+$X$7+$Z49-1)/($X$7+$Z49)/$Y49)</f>
        <v>2</v>
      </c>
      <c r="T48" s="153" t="n">
        <f aca="false">INT((INT(T$6/$X49)*$X$7+$X$7+$Z49-1)/($X$7+$Z49)/$Y49)</f>
        <v>2</v>
      </c>
      <c r="U48" s="153" t="n">
        <f aca="false">INT((INT(U$6/$X49)*$X$7+$X$7+$Z49-1)/($X$7+$Z49)/$Y49)</f>
        <v>2</v>
      </c>
      <c r="V48" s="153" t="n">
        <f aca="false">INT((INT(V$6/$X49)*$X$7+$X$7+$Z49-1)/($X$7+$Z49)/$Y49)</f>
        <v>2</v>
      </c>
      <c r="W48" s="157"/>
      <c r="X48" s="157"/>
      <c r="Y48" s="157"/>
      <c r="Z48" s="157"/>
      <c r="AA48" s="157"/>
      <c r="AB48" s="157"/>
    </row>
    <row r="49" customFormat="false" ht="12.75" hidden="false" customHeight="false" outlineLevel="0" collapsed="false">
      <c r="A49" s="153" t="s">
        <v>1396</v>
      </c>
      <c r="B49" s="511" t="s">
        <v>1007</v>
      </c>
      <c r="C49" s="511" t="n">
        <f aca="false">IF($Y49=1,0,$X$7*(INT(C$6/$X49)-INT(B$6/$X49))-IF(SUM($B49:B49)&gt;0,C50,0))</f>
        <v>0</v>
      </c>
      <c r="D49" s="511" t="n">
        <f aca="false">IF($Y49=1,0,$X$7*(INT(D$6/$X49)-INT(C$6/$X49))-IF(SUM($B49:C49)&gt;0,D50,0))</f>
        <v>0</v>
      </c>
      <c r="E49" s="511" t="n">
        <f aca="false">IF($Y49=1,0,$X$7*(INT(E$6/$X49)-INT(D$6/$X49))-IF(SUM($B49:D49)&gt;0,E50,0))</f>
        <v>2</v>
      </c>
      <c r="F49" s="511" t="n">
        <f aca="false">IF($Y49=1,0,$X$7*(INT(F$6/$X49)-INT(E$6/$X49))-IF(SUM($B49:E49)&gt;0,F50,0))</f>
        <v>0</v>
      </c>
      <c r="G49" s="511" t="n">
        <f aca="false">IF($Y49=1,0,$X$7*(INT(G$6/$X49)-INT(F$6/$X49))-IF(SUM($B49:F49)&gt;0,G50,0))</f>
        <v>0</v>
      </c>
      <c r="H49" s="511" t="n">
        <f aca="false">IF($Y49=1,0,$X$7*(INT(H$6/$X49)-INT(G$6/$X49))-IF(SUM($B49:G49)&gt;0,H50,0))</f>
        <v>1</v>
      </c>
      <c r="I49" s="511" t="n">
        <f aca="false">IF($Y49=1,0,$X$7*(INT(I$6/$X49)-INT(H$6/$X49))-IF(SUM($B49:H49)&gt;0,I50,0))</f>
        <v>0</v>
      </c>
      <c r="J49" s="511" t="n">
        <f aca="false">IF($Y49=1,0,$X$7*(INT(J$6/$X49)-INT(I$6/$X49))-IF(SUM($B49:I49)&gt;0,J50,0))</f>
        <v>0</v>
      </c>
      <c r="K49" s="511" t="n">
        <f aca="false">IF($Y49=1,0,$X$7*(INT(K$6/$X49)-INT(J$6/$X49))-IF(SUM($B49:J49)&gt;0,K50,0))</f>
        <v>0</v>
      </c>
      <c r="L49" s="511" t="n">
        <f aca="false">IF($Y49=1,0,$X$7*(INT(L$6/$X49)-INT(K$6/$X49))-IF(SUM($B49:K49)&gt;0,L50,0))</f>
        <v>0</v>
      </c>
      <c r="M49" s="511" t="n">
        <f aca="false">IF($Y49=1,0,$X$7*(INT(M$6/$X49)-INT(L$6/$X49))-IF(SUM($B49:L49)&gt;0,M50,0))</f>
        <v>0</v>
      </c>
      <c r="N49" s="511" t="n">
        <f aca="false">IF($Y49=1,0,$X$7*(INT(N$6/$X49)-INT(M$6/$X49))-IF(SUM($B49:M49)&gt;0,N50,0))</f>
        <v>2</v>
      </c>
      <c r="O49" s="511" t="n">
        <f aca="false">IF($Y49=1,0,$X$7*(INT(O$6/$X49)-INT(N$6/$X49))-IF(SUM($B49:N49)&gt;0,O50,0))</f>
        <v>0</v>
      </c>
      <c r="P49" s="511" t="n">
        <f aca="false">IF($Y49=1,0,$X$7*(INT(P$6/$X49)-INT(O$6/$X49))-IF(SUM($B49:O49)&gt;0,P50,0))</f>
        <v>0</v>
      </c>
      <c r="Q49" s="511" t="n">
        <f aca="false">IF($Y49=1,0,$X$7*(INT(Q$6/$X49)-INT(P$6/$X49))-IF(SUM($B49:P49)&gt;0,Q50,0))</f>
        <v>1</v>
      </c>
      <c r="R49" s="511" t="n">
        <f aca="false">IF($Y49=1,0,$X$7*(INT(R$6/$X49)-INT(Q$6/$X49))-IF(SUM($B49:Q49)&gt;0,R50,0))</f>
        <v>0</v>
      </c>
      <c r="S49" s="511" t="n">
        <f aca="false">IF($Y49=1,0,$X$7*(INT(S$6/$X49)-INT(R$6/$X49))-IF(SUM($B49:R49)&gt;0,S50,0))</f>
        <v>0</v>
      </c>
      <c r="T49" s="511" t="n">
        <f aca="false">IF($Y49=1,0,$X$7*(INT(T$6/$X49)-INT(S$6/$X49))-IF(SUM($B49:S49)&gt;0,T50,0))</f>
        <v>0</v>
      </c>
      <c r="U49" s="511" t="n">
        <f aca="false">IF($Y49=1,0,$X$7*(INT(U$6/$X49)-INT(T$6/$X49))-IF(SUM($B49:T49)&gt;0,U50,0))</f>
        <v>0</v>
      </c>
      <c r="V49" s="511" t="n">
        <f aca="false">IF($Y49=1,0,$X$7*(INT(V$6/$X49)-INT(U$6/$X49))-IF(SUM($B49:U49)&gt;0,V50,0))</f>
        <v>0</v>
      </c>
      <c r="W49" s="800" t="str">
        <f aca="false">'GT schd cost(7FA)'!A21</f>
        <v>Stage 2 Buckets</v>
      </c>
      <c r="X49" s="800" t="n">
        <f aca="false">IF($AD$6=1,'GTDB(7FA)'!B24,'GTDB(7FA)'!G24)</f>
        <v>24000</v>
      </c>
      <c r="Y49" s="800" t="n">
        <f aca="false">IF($AD$6=1,'GTDB(7FA)'!C24,'GTDB(7FA)'!H24)</f>
        <v>2</v>
      </c>
      <c r="Z49" s="801" t="n">
        <v>1</v>
      </c>
      <c r="AA49" s="805" t="n">
        <f aca="false">'Initial_Spares(7FA)'!$E$18</f>
        <v>0</v>
      </c>
      <c r="AB49" s="764" t="n">
        <f aca="false">'GT schd cost(7FA)'!X21+'GT schd cost(7FA)'!X44</f>
        <v>16067.951</v>
      </c>
    </row>
    <row r="50" customFormat="false" ht="12.75" hidden="false" customHeight="false" outlineLevel="0" collapsed="false">
      <c r="A50" s="153" t="s">
        <v>1397</v>
      </c>
      <c r="B50" s="511" t="s">
        <v>1007</v>
      </c>
      <c r="C50" s="511" t="n">
        <f aca="false">IF(INT(C$6/$X49)*$X$7&gt;C48*($X$7+$Z49)*$Y49,C48*($X$7+$Z49)-SUM($B50:B50),INT(C$6/$X49)*$X$7-C48*($X$7+$Z49)*($Y49-1)-SUM($B50:B50))+IF($Y49&gt;1,IF(INT(C$6/$X49)&gt;0,$Z49-$AA49,0),-$AA49)</f>
        <v>0</v>
      </c>
      <c r="D50" s="511" t="n">
        <f aca="false">IF(INT(D$6/$X49)*$X$7&gt;D48*($X$7+$Z49)*$Y49,D48*($X$7+$Z49)-SUM($B50:C50),INT(D$6/$X49)*$X$7-D48*($X$7+$Z49)*($Y49-1)-SUM($B50:C50))+IF($Y49&gt;1,IF(INT(D$6/$X49)&gt;0,$Z49-$AA49,0),-$AA49)</f>
        <v>0</v>
      </c>
      <c r="E50" s="511" t="n">
        <f aca="false">IF(INT(E$6/$X49)*$X$7&gt;E48*($X$7+$Z49)*$Y49,E48*($X$7+$Z49)-SUM($B50:D50),INT(E$6/$X49)*$X$7-E48*($X$7+$Z49)*($Y49-1)-SUM($B50:D50))+IF($Y49&gt;1,IF(INT(E$6/$X49)&gt;0,$Z49-$AA49,0),-$AA49)</f>
        <v>1</v>
      </c>
      <c r="F50" s="511" t="n">
        <f aca="false">IF(INT(F$6/$X49)*$X$7&gt;F48*($X$7+$Z49)*$Y49,F48*($X$7+$Z49)-SUM($B50:E50),INT(F$6/$X49)*$X$7-F48*($X$7+$Z49)*($Y49-1)-SUM($B50:E50))+IF($Y49&gt;1,IF(INT(F$6/$X49)&gt;0,$Z49-$AA49,0),-$AA49)</f>
        <v>0</v>
      </c>
      <c r="G50" s="511" t="n">
        <f aca="false">IF(INT(G$6/$X49)*$X$7&gt;G48*($X$7+$Z49)*$Y49,G48*($X$7+$Z49)-SUM($B50:F50),INT(G$6/$X49)*$X$7-G48*($X$7+$Z49)*($Y49-1)-SUM($B50:F50))+IF($Y49&gt;1,IF(INT(G$6/$X49)&gt;0,$Z49-$AA49,0),-$AA49)</f>
        <v>0</v>
      </c>
      <c r="H50" s="511" t="n">
        <f aca="false">IF(INT(H$6/$X49)*$X$7&gt;H48*($X$7+$Z49)*$Y49,H48*($X$7+$Z49)-SUM($B50:G50),INT(H$6/$X49)*$X$7-H48*($X$7+$Z49)*($Y49-1)-SUM($B50:G50))+IF($Y49&gt;1,IF(INT(H$6/$X49)&gt;0,$Z49-$AA49,0),-$AA49)</f>
        <v>1</v>
      </c>
      <c r="I50" s="511" t="n">
        <f aca="false">IF(INT(I$6/$X49)*$X$7&gt;I48*($X$7+$Z49)*$Y49,I48*($X$7+$Z49)-SUM($B50:H50),INT(I$6/$X49)*$X$7-I48*($X$7+$Z49)*($Y49-1)-SUM($B50:H50))+IF($Y49&gt;1,IF(INT(I$6/$X49)&gt;0,$Z49-$AA49,0),-$AA49)</f>
        <v>0</v>
      </c>
      <c r="J50" s="511" t="n">
        <f aca="false">IF(INT(J$6/$X49)*$X$7&gt;J48*($X$7+$Z49)*$Y49,J48*($X$7+$Z49)-SUM($B50:I50),INT(J$6/$X49)*$X$7-J48*($X$7+$Z49)*($Y49-1)-SUM($B50:I50))+IF($Y49&gt;1,IF(INT(J$6/$X49)&gt;0,$Z49-$AA49,0),-$AA49)</f>
        <v>0</v>
      </c>
      <c r="K50" s="511" t="n">
        <f aca="false">IF(INT(K$6/$X49)*$X$7&gt;K48*($X$7+$Z49)*$Y49,K48*($X$7+$Z49)-SUM($B50:J50),INT(K$6/$X49)*$X$7-K48*($X$7+$Z49)*($Y49-1)-SUM($B50:J50))+IF($Y49&gt;1,IF(INT(K$6/$X49)&gt;0,$Z49-$AA49,0),-$AA49)</f>
        <v>2</v>
      </c>
      <c r="L50" s="511" t="n">
        <f aca="false">IF(INT(L$6/$X49)*$X$7&gt;L48*($X$7+$Z49)*$Y49,L48*($X$7+$Z49)-SUM($B50:K50),INT(L$6/$X49)*$X$7-L48*($X$7+$Z49)*($Y49-1)-SUM($B50:K50))+IF($Y49&gt;1,IF(INT(L$6/$X49)&gt;0,$Z49-$AA49,0),-$AA49)</f>
        <v>0</v>
      </c>
      <c r="M50" s="511" t="n">
        <f aca="false">IF(INT(M$6/$X49)*$X$7&gt;M48*($X$7+$Z49)*$Y49,M48*($X$7+$Z49)-SUM($B50:L50),INT(M$6/$X49)*$X$7-M48*($X$7+$Z49)*($Y49-1)-SUM($B50:L50))+IF($Y49&gt;1,IF(INT(M$6/$X49)&gt;0,$Z49-$AA49,0),-$AA49)</f>
        <v>0</v>
      </c>
      <c r="N50" s="511" t="n">
        <f aca="false">IF(INT(N$6/$X49)*$X$7&gt;N48*($X$7+$Z49)*$Y49,N48*($X$7+$Z49)-SUM($B50:M50),INT(N$6/$X49)*$X$7-N48*($X$7+$Z49)*($Y49-1)-SUM($B50:M50))+IF($Y49&gt;1,IF(INT(N$6/$X49)&gt;0,$Z49-$AA49,0),-$AA49)</f>
        <v>0</v>
      </c>
      <c r="O50" s="511" t="n">
        <f aca="false">IF(INT(O$6/$X49)*$X$7&gt;O48*($X$7+$Z49)*$Y49,O48*($X$7+$Z49)-SUM($B50:N50),INT(O$6/$X49)*$X$7-O48*($X$7+$Z49)*($Y49-1)-SUM($B50:N50))+IF($Y49&gt;1,IF(INT(O$6/$X49)&gt;0,$Z49-$AA49,0),-$AA49)</f>
        <v>0</v>
      </c>
      <c r="P50" s="511" t="n">
        <f aca="false">IF(INT(P$6/$X49)*$X$7&gt;P48*($X$7+$Z49)*$Y49,P48*($X$7+$Z49)-SUM($B50:O50),INT(P$6/$X49)*$X$7-P48*($X$7+$Z49)*($Y49-1)-SUM($B50:O50))+IF($Y49&gt;1,IF(INT(P$6/$X49)&gt;0,$Z49-$AA49,0),-$AA49)</f>
        <v>0</v>
      </c>
      <c r="Q50" s="511" t="n">
        <f aca="false">IF(INT(Q$6/$X49)*$X$7&gt;Q48*($X$7+$Z49)*$Y49,Q48*($X$7+$Z49)-SUM($B50:P50),INT(Q$6/$X49)*$X$7-Q48*($X$7+$Z49)*($Y49-1)-SUM($B50:P50))+IF($Y49&gt;1,IF(INT(Q$6/$X49)&gt;0,$Z49-$AA49,0),-$AA49)</f>
        <v>1</v>
      </c>
      <c r="R50" s="511" t="n">
        <f aca="false">IF(INT(R$6/$X49)*$X$7&gt;R48*($X$7+$Z49)*$Y49,R48*($X$7+$Z49)-SUM($B50:Q50),INT(R$6/$X49)*$X$7-R48*($X$7+$Z49)*($Y49-1)-SUM($B50:Q50))+IF($Y49&gt;1,IF(INT(R$6/$X49)&gt;0,$Z49-$AA49,0),-$AA49)</f>
        <v>0</v>
      </c>
      <c r="S50" s="511" t="n">
        <f aca="false">IF(INT(S$6/$X49)*$X$7&gt;S48*($X$7+$Z49)*$Y49,S48*($X$7+$Z49)-SUM($B50:R50),INT(S$6/$X49)*$X$7-S48*($X$7+$Z49)*($Y49-1)-SUM($B50:R50))+IF($Y49&gt;1,IF(INT(S$6/$X49)&gt;0,$Z49-$AA49,0),-$AA49)</f>
        <v>0</v>
      </c>
      <c r="T50" s="511" t="n">
        <f aca="false">IF(INT(T$6/$X49)*$X$7&gt;T48*($X$7+$Z49)*$Y49,T48*($X$7+$Z49)-SUM($B50:S50),INT(T$6/$X49)*$X$7-T48*($X$7+$Z49)*($Y49-1)-SUM($B50:S50))+IF($Y49&gt;1,IF(INT(T$6/$X49)&gt;0,$Z49-$AA49,0),-$AA49)</f>
        <v>2</v>
      </c>
      <c r="U50" s="511" t="n">
        <f aca="false">IF(INT(U$6/$X49)*$X$7&gt;U48*($X$7+$Z49)*$Y49,U48*($X$7+$Z49)-SUM($B50:T50),INT(U$6/$X49)*$X$7-U48*($X$7+$Z49)*($Y49-1)-SUM($B50:T50))+IF($Y49&gt;1,IF(INT(U$6/$X49)&gt;0,$Z49-$AA49,0),-$AA49)</f>
        <v>0</v>
      </c>
      <c r="V50" s="511" t="n">
        <f aca="false">IF(INT(V$6/$X49)*$X$7&gt;V48*($X$7+$Z49)*$Y49,V48*($X$7+$Z49)-SUM($B50:U50),INT(V$6/$X49)*$X$7-V48*($X$7+$Z49)*($Y49-1)-SUM($B50:U50))+IF($Y49&gt;1,IF(INT(V$6/$X49)&gt;0,$Z49-$AA49,0),-$AA49)</f>
        <v>0</v>
      </c>
      <c r="W50" s="803"/>
      <c r="AA50" s="157"/>
      <c r="AB50" s="157"/>
    </row>
    <row r="51" customFormat="false" ht="12.75" hidden="false" customHeight="false" outlineLevel="0" collapsed="false">
      <c r="A51" s="157"/>
      <c r="B51" s="157"/>
      <c r="C51" s="518"/>
      <c r="D51" s="518"/>
      <c r="E51" s="518"/>
      <c r="F51" s="518"/>
      <c r="G51" s="518"/>
      <c r="H51" s="518"/>
      <c r="I51" s="518"/>
      <c r="J51" s="518"/>
      <c r="K51" s="518"/>
      <c r="L51" s="518"/>
      <c r="M51" s="518"/>
      <c r="N51" s="518"/>
      <c r="O51" s="518"/>
      <c r="P51" s="518"/>
      <c r="Q51" s="518"/>
      <c r="R51" s="518"/>
      <c r="S51" s="518"/>
      <c r="T51" s="518"/>
      <c r="U51" s="518"/>
      <c r="V51" s="518"/>
      <c r="W51" s="785"/>
      <c r="X51" s="157"/>
      <c r="Y51" s="157"/>
      <c r="Z51" s="157"/>
      <c r="AA51" s="157"/>
      <c r="AB51" s="157"/>
    </row>
    <row r="52" customFormat="false" ht="12.75" hidden="true" customHeight="false" outlineLevel="0" collapsed="false">
      <c r="A52" s="153" t="s">
        <v>1395</v>
      </c>
      <c r="B52" s="511"/>
      <c r="C52" s="153" t="n">
        <f aca="false">INT((INT(C$6/$X53)*$X$7+$X$7+$Z53-1)/($X$7+$Z53)/$Y53)</f>
        <v>0</v>
      </c>
      <c r="D52" s="153" t="n">
        <f aca="false">INT((INT(D$6/$X53)*$X$7+$X$7+$Z53-1)/($X$7+$Z53)/$Y53)</f>
        <v>0</v>
      </c>
      <c r="E52" s="153" t="n">
        <f aca="false">INT((INT(E$6/$X53)*$X$7+$X$7+$Z53-1)/($X$7+$Z53)/$Y53)</f>
        <v>1</v>
      </c>
      <c r="F52" s="153" t="n">
        <f aca="false">INT((INT(F$6/$X53)*$X$7+$X$7+$Z53-1)/($X$7+$Z53)/$Y53)</f>
        <v>1</v>
      </c>
      <c r="G52" s="153" t="n">
        <f aca="false">INT((INT(G$6/$X53)*$X$7+$X$7+$Z53-1)/($X$7+$Z53)/$Y53)</f>
        <v>1</v>
      </c>
      <c r="H52" s="153" t="n">
        <f aca="false">INT((INT(H$6/$X53)*$X$7+$X$7+$Z53-1)/($X$7+$Z53)/$Y53)</f>
        <v>2</v>
      </c>
      <c r="I52" s="153" t="n">
        <f aca="false">INT((INT(I$6/$X53)*$X$7+$X$7+$Z53-1)/($X$7+$Z53)/$Y53)</f>
        <v>2</v>
      </c>
      <c r="J52" s="153" t="n">
        <f aca="false">INT((INT(J$6/$X53)*$X$7+$X$7+$Z53-1)/($X$7+$Z53)/$Y53)</f>
        <v>2</v>
      </c>
      <c r="K52" s="153" t="n">
        <f aca="false">INT((INT(K$6/$X53)*$X$7+$X$7+$Z53-1)/($X$7+$Z53)/$Y53)</f>
        <v>2</v>
      </c>
      <c r="L52" s="153" t="n">
        <f aca="false">INT((INT(L$6/$X53)*$X$7+$X$7+$Z53-1)/($X$7+$Z53)/$Y53)</f>
        <v>2</v>
      </c>
      <c r="M52" s="153" t="n">
        <f aca="false">INT((INT(M$6/$X53)*$X$7+$X$7+$Z53-1)/($X$7+$Z53)/$Y53)</f>
        <v>2</v>
      </c>
      <c r="N52" s="153" t="n">
        <f aca="false">INT((INT(N$6/$X53)*$X$7+$X$7+$Z53-1)/($X$7+$Z53)/$Y53)</f>
        <v>3</v>
      </c>
      <c r="O52" s="153" t="n">
        <f aca="false">INT((INT(O$6/$X53)*$X$7+$X$7+$Z53-1)/($X$7+$Z53)/$Y53)</f>
        <v>3</v>
      </c>
      <c r="P52" s="153" t="n">
        <f aca="false">INT((INT(P$6/$X53)*$X$7+$X$7+$Z53-1)/($X$7+$Z53)/$Y53)</f>
        <v>3</v>
      </c>
      <c r="Q52" s="153" t="n">
        <f aca="false">INT((INT(Q$6/$X53)*$X$7+$X$7+$Z53-1)/($X$7+$Z53)/$Y53)</f>
        <v>4</v>
      </c>
      <c r="R52" s="153" t="n">
        <f aca="false">INT((INT(R$6/$X53)*$X$7+$X$7+$Z53-1)/($X$7+$Z53)/$Y53)</f>
        <v>4</v>
      </c>
      <c r="S52" s="153" t="n">
        <f aca="false">INT((INT(S$6/$X53)*$X$7+$X$7+$Z53-1)/($X$7+$Z53)/$Y53)</f>
        <v>4</v>
      </c>
      <c r="T52" s="153" t="n">
        <f aca="false">INT((INT(T$6/$X53)*$X$7+$X$7+$Z53-1)/($X$7+$Z53)/$Y53)</f>
        <v>4</v>
      </c>
      <c r="U52" s="153" t="n">
        <f aca="false">INT((INT(U$6/$X53)*$X$7+$X$7+$Z53-1)/($X$7+$Z53)/$Y53)</f>
        <v>4</v>
      </c>
      <c r="V52" s="153" t="n">
        <f aca="false">INT((INT(V$6/$X53)*$X$7+$X$7+$Z53-1)/($X$7+$Z53)/$Y53)</f>
        <v>4</v>
      </c>
      <c r="W52" s="157"/>
      <c r="X52" s="157"/>
      <c r="Y52" s="157"/>
      <c r="Z52" s="157"/>
      <c r="AA52" s="157"/>
      <c r="AB52" s="157"/>
    </row>
    <row r="53" customFormat="false" ht="12.75" hidden="false" customHeight="false" outlineLevel="0" collapsed="false">
      <c r="A53" s="153" t="s">
        <v>1396</v>
      </c>
      <c r="B53" s="511" t="s">
        <v>1007</v>
      </c>
      <c r="C53" s="511" t="n">
        <f aca="false">IF($Y53=1,0,$X$7*(INT(C$6/$X53)-INT(B$6/$X53))-IF(SUM($B53:B53)&gt;0,C54,0))</f>
        <v>0</v>
      </c>
      <c r="D53" s="511" t="n">
        <f aca="false">IF($Y53=1,0,$X$7*(INT(D$6/$X53)-INT(C$6/$X53))-IF(SUM($B53:C53)&gt;0,D54,0))</f>
        <v>0</v>
      </c>
      <c r="E53" s="511" t="n">
        <f aca="false">IF($Y53=1,0,$X$7*(INT(E$6/$X53)-INT(D$6/$X53))-IF(SUM($B53:D53)&gt;0,E54,0))</f>
        <v>0</v>
      </c>
      <c r="F53" s="511" t="n">
        <f aca="false">IF($Y53=1,0,$X$7*(INT(F$6/$X53)-INT(E$6/$X53))-IF(SUM($B53:E53)&gt;0,F54,0))</f>
        <v>0</v>
      </c>
      <c r="G53" s="511" t="n">
        <f aca="false">IF($Y53=1,0,$X$7*(INT(G$6/$X53)-INT(F$6/$X53))-IF(SUM($B53:F53)&gt;0,G54,0))</f>
        <v>0</v>
      </c>
      <c r="H53" s="511" t="n">
        <f aca="false">IF($Y53=1,0,$X$7*(INT(H$6/$X53)-INT(G$6/$X53))-IF(SUM($B53:G53)&gt;0,H54,0))</f>
        <v>0</v>
      </c>
      <c r="I53" s="511" t="n">
        <f aca="false">IF($Y53=1,0,$X$7*(INT(I$6/$X53)-INT(H$6/$X53))-IF(SUM($B53:H53)&gt;0,I54,0))</f>
        <v>0</v>
      </c>
      <c r="J53" s="511" t="n">
        <f aca="false">IF($Y53=1,0,$X$7*(INT(J$6/$X53)-INT(I$6/$X53))-IF(SUM($B53:I53)&gt;0,J54,0))</f>
        <v>0</v>
      </c>
      <c r="K53" s="511" t="n">
        <f aca="false">IF($Y53=1,0,$X$7*(INT(K$6/$X53)-INT(J$6/$X53))-IF(SUM($B53:J53)&gt;0,K54,0))</f>
        <v>0</v>
      </c>
      <c r="L53" s="511" t="n">
        <f aca="false">IF($Y53=1,0,$X$7*(INT(L$6/$X53)-INT(K$6/$X53))-IF(SUM($B53:K53)&gt;0,L54,0))</f>
        <v>0</v>
      </c>
      <c r="M53" s="511" t="n">
        <f aca="false">IF($Y53=1,0,$X$7*(INT(M$6/$X53)-INT(L$6/$X53))-IF(SUM($B53:L53)&gt;0,M54,0))</f>
        <v>0</v>
      </c>
      <c r="N53" s="511" t="n">
        <f aca="false">IF($Y53=1,0,$X$7*(INT(N$6/$X53)-INT(M$6/$X53))-IF(SUM($B53:M53)&gt;0,N54,0))</f>
        <v>0</v>
      </c>
      <c r="O53" s="511" t="n">
        <f aca="false">IF($Y53=1,0,$X$7*(INT(O$6/$X53)-INT(N$6/$X53))-IF(SUM($B53:N53)&gt;0,O54,0))</f>
        <v>0</v>
      </c>
      <c r="P53" s="511" t="n">
        <f aca="false">IF($Y53=1,0,$X$7*(INT(P$6/$X53)-INT(O$6/$X53))-IF(SUM($B53:O53)&gt;0,P54,0))</f>
        <v>0</v>
      </c>
      <c r="Q53" s="511" t="n">
        <f aca="false">IF($Y53=1,0,$X$7*(INT(Q$6/$X53)-INT(P$6/$X53))-IF(SUM($B53:P53)&gt;0,Q54,0))</f>
        <v>0</v>
      </c>
      <c r="R53" s="511" t="n">
        <f aca="false">IF($Y53=1,0,$X$7*(INT(R$6/$X53)-INT(Q$6/$X53))-IF(SUM($B53:Q53)&gt;0,R54,0))</f>
        <v>0</v>
      </c>
      <c r="S53" s="511" t="n">
        <f aca="false">IF($Y53=1,0,$X$7*(INT(S$6/$X53)-INT(R$6/$X53))-IF(SUM($B53:R53)&gt;0,S54,0))</f>
        <v>0</v>
      </c>
      <c r="T53" s="511" t="n">
        <f aca="false">IF($Y53=1,0,$X$7*(INT(T$6/$X53)-INT(S$6/$X53))-IF(SUM($B53:S53)&gt;0,T54,0))</f>
        <v>0</v>
      </c>
      <c r="U53" s="511" t="n">
        <f aca="false">IF($Y53=1,0,$X$7*(INT(U$6/$X53)-INT(T$6/$X53))-IF(SUM($B53:T53)&gt;0,U54,0))</f>
        <v>0</v>
      </c>
      <c r="V53" s="511" t="n">
        <f aca="false">IF($Y53=1,0,$X$7*(INT(V$6/$X53)-INT(U$6/$X53))-IF(SUM($B53:U53)&gt;0,V54,0))</f>
        <v>0</v>
      </c>
      <c r="W53" s="800" t="str">
        <f aca="false">'GT schd cost(7FA)'!A22</f>
        <v>Stage 3 Buckets</v>
      </c>
      <c r="X53" s="800" t="n">
        <f aca="false">IF($AD$6=1,'GTDB(7FA)'!B25,'GTDB(7FA)'!G25)</f>
        <v>24000</v>
      </c>
      <c r="Y53" s="800" t="n">
        <f aca="false">IF($AD$6=1,'GTDB(7FA)'!C25,'GTDB(7FA)'!H25)</f>
        <v>1</v>
      </c>
      <c r="Z53" s="801" t="n">
        <v>1</v>
      </c>
      <c r="AA53" s="805" t="n">
        <f aca="false">'Initial_Spares(7FA)'!$E$19</f>
        <v>0</v>
      </c>
      <c r="AB53" s="764" t="n">
        <f aca="false">'GT schd cost(7FA)'!X22+'GT schd cost(7FA)'!X45</f>
        <v>27021.36</v>
      </c>
    </row>
    <row r="54" customFormat="false" ht="12.75" hidden="false" customHeight="false" outlineLevel="0" collapsed="false">
      <c r="A54" s="153" t="s">
        <v>1397</v>
      </c>
      <c r="B54" s="511" t="s">
        <v>1007</v>
      </c>
      <c r="C54" s="511" t="n">
        <f aca="false">IF(INT(C$6/$X53)*$X$7&gt;C52*($X$7+$Z53)*$Y53,C52*($X$7+$Z53)-SUM($B54:B54),INT(C$6/$X53)*$X$7-C52*($X$7+$Z53)*($Y53-1)-SUM($B54:B54))+IF($Y53&gt;1,IF(INT(C$6/$X53)&gt;0,$Z53-$AA53,0),-$AA53)</f>
        <v>0</v>
      </c>
      <c r="D54" s="511" t="n">
        <f aca="false">IF(INT(D$6/$X53)*$X$7&gt;D52*($X$7+$Z53)*$Y53,D52*($X$7+$Z53)-SUM($B54:C54),INT(D$6/$X53)*$X$7-D52*($X$7+$Z53)*($Y53-1)-SUM($B54:C54))+IF($Y53&gt;1,IF(INT(D$6/$X53)&gt;0,$Z53-$AA53,0),-$AA53)</f>
        <v>0</v>
      </c>
      <c r="E54" s="511" t="n">
        <f aca="false">IF(INT(E$6/$X53)*$X$7&gt;E52*($X$7+$Z53)*$Y53,E52*($X$7+$Z53)-SUM($B54:D54),INT(E$6/$X53)*$X$7-E52*($X$7+$Z53)*($Y53-1)-SUM($B54:D54))+IF($Y53&gt;1,IF(INT(E$6/$X53)&gt;0,$Z53-$AA53,0),-$AA53)</f>
        <v>2</v>
      </c>
      <c r="F54" s="511" t="n">
        <f aca="false">IF(INT(F$6/$X53)*$X$7&gt;F52*($X$7+$Z53)*$Y53,F52*($X$7+$Z53)-SUM($B54:E54),INT(F$6/$X53)*$X$7-F52*($X$7+$Z53)*($Y53-1)-SUM($B54:E54))+IF($Y53&gt;1,IF(INT(F$6/$X53)&gt;0,$Z53-$AA53,0),-$AA53)</f>
        <v>0</v>
      </c>
      <c r="G54" s="511" t="n">
        <f aca="false">IF(INT(G$6/$X53)*$X$7&gt;G52*($X$7+$Z53)*$Y53,G52*($X$7+$Z53)-SUM($B54:F54),INT(G$6/$X53)*$X$7-G52*($X$7+$Z53)*($Y53-1)-SUM($B54:F54))+IF($Y53&gt;1,IF(INT(G$6/$X53)&gt;0,$Z53-$AA53,0),-$AA53)</f>
        <v>0</v>
      </c>
      <c r="H54" s="511" t="n">
        <f aca="false">IF(INT(H$6/$X53)*$X$7&gt;H52*($X$7+$Z53)*$Y53,H52*($X$7+$Z53)-SUM($B54:G54),INT(H$6/$X53)*$X$7-H52*($X$7+$Z53)*($Y53-1)-SUM($B54:G54))+IF($Y53&gt;1,IF(INT(H$6/$X53)&gt;0,$Z53-$AA53,0),-$AA53)</f>
        <v>2</v>
      </c>
      <c r="I54" s="511" t="n">
        <f aca="false">IF(INT(I$6/$X53)*$X$7&gt;I52*($X$7+$Z53)*$Y53,I52*($X$7+$Z53)-SUM($B54:H54),INT(I$6/$X53)*$X$7-I52*($X$7+$Z53)*($Y53-1)-SUM($B54:H54))+IF($Y53&gt;1,IF(INT(I$6/$X53)&gt;0,$Z53-$AA53,0),-$AA53)</f>
        <v>0</v>
      </c>
      <c r="J54" s="511" t="n">
        <f aca="false">IF(INT(J$6/$X53)*$X$7&gt;J52*($X$7+$Z53)*$Y53,J52*($X$7+$Z53)-SUM($B54:I54),INT(J$6/$X53)*$X$7-J52*($X$7+$Z53)*($Y53-1)-SUM($B54:I54))+IF($Y53&gt;1,IF(INT(J$6/$X53)&gt;0,$Z53-$AA53,0),-$AA53)</f>
        <v>0</v>
      </c>
      <c r="K54" s="511" t="n">
        <f aca="false">IF(INT(K$6/$X53)*$X$7&gt;K52*($X$7+$Z53)*$Y53,K52*($X$7+$Z53)-SUM($B54:J54),INT(K$6/$X53)*$X$7-K52*($X$7+$Z53)*($Y53-1)-SUM($B54:J54))+IF($Y53&gt;1,IF(INT(K$6/$X53)&gt;0,$Z53-$AA53,0),-$AA53)</f>
        <v>2</v>
      </c>
      <c r="L54" s="511" t="n">
        <f aca="false">IF(INT(L$6/$X53)*$X$7&gt;L52*($X$7+$Z53)*$Y53,L52*($X$7+$Z53)-SUM($B54:K54),INT(L$6/$X53)*$X$7-L52*($X$7+$Z53)*($Y53-1)-SUM($B54:K54))+IF($Y53&gt;1,IF(INT(L$6/$X53)&gt;0,$Z53-$AA53,0),-$AA53)</f>
        <v>0</v>
      </c>
      <c r="M54" s="511" t="n">
        <f aca="false">IF(INT(M$6/$X53)*$X$7&gt;M52*($X$7+$Z53)*$Y53,M52*($X$7+$Z53)-SUM($B54:L54),INT(M$6/$X53)*$X$7-M52*($X$7+$Z53)*($Y53-1)-SUM($B54:L54))+IF($Y53&gt;1,IF(INT(M$6/$X53)&gt;0,$Z53-$AA53,0),-$AA53)</f>
        <v>0</v>
      </c>
      <c r="N54" s="511" t="n">
        <f aca="false">IF(INT(N$6/$X53)*$X$7&gt;N52*($X$7+$Z53)*$Y53,N52*($X$7+$Z53)-SUM($B54:M54),INT(N$6/$X53)*$X$7-N52*($X$7+$Z53)*($Y53-1)-SUM($B54:M54))+IF($Y53&gt;1,IF(INT(N$6/$X53)&gt;0,$Z53-$AA53,0),-$AA53)</f>
        <v>2</v>
      </c>
      <c r="O54" s="511" t="n">
        <f aca="false">IF(INT(O$6/$X53)*$X$7&gt;O52*($X$7+$Z53)*$Y53,O52*($X$7+$Z53)-SUM($B54:N54),INT(O$6/$X53)*$X$7-O52*($X$7+$Z53)*($Y53-1)-SUM($B54:N54))+IF($Y53&gt;1,IF(INT(O$6/$X53)&gt;0,$Z53-$AA53,0),-$AA53)</f>
        <v>0</v>
      </c>
      <c r="P54" s="511" t="n">
        <f aca="false">IF(INT(P$6/$X53)*$X$7&gt;P52*($X$7+$Z53)*$Y53,P52*($X$7+$Z53)-SUM($B54:O54),INT(P$6/$X53)*$X$7-P52*($X$7+$Z53)*($Y53-1)-SUM($B54:O54))+IF($Y53&gt;1,IF(INT(P$6/$X53)&gt;0,$Z53-$AA53,0),-$AA53)</f>
        <v>0</v>
      </c>
      <c r="Q54" s="511" t="n">
        <f aca="false">IF(INT(Q$6/$X53)*$X$7&gt;Q52*($X$7+$Z53)*$Y53,Q52*($X$7+$Z53)-SUM($B54:P54),INT(Q$6/$X53)*$X$7-Q52*($X$7+$Z53)*($Y53-1)-SUM($B54:P54))+IF($Y53&gt;1,IF(INT(Q$6/$X53)&gt;0,$Z53-$AA53,0),-$AA53)</f>
        <v>2</v>
      </c>
      <c r="R54" s="511" t="n">
        <f aca="false">IF(INT(R$6/$X53)*$X$7&gt;R52*($X$7+$Z53)*$Y53,R52*($X$7+$Z53)-SUM($B54:Q54),INT(R$6/$X53)*$X$7-R52*($X$7+$Z53)*($Y53-1)-SUM($B54:Q54))+IF($Y53&gt;1,IF(INT(R$6/$X53)&gt;0,$Z53-$AA53,0),-$AA53)</f>
        <v>0</v>
      </c>
      <c r="S54" s="511" t="n">
        <f aca="false">IF(INT(S$6/$X53)*$X$7&gt;S52*($X$7+$Z53)*$Y53,S52*($X$7+$Z53)-SUM($B54:R54),INT(S$6/$X53)*$X$7-S52*($X$7+$Z53)*($Y53-1)-SUM($B54:R54))+IF($Y53&gt;1,IF(INT(S$6/$X53)&gt;0,$Z53-$AA53,0),-$AA53)</f>
        <v>0</v>
      </c>
      <c r="T54" s="511" t="n">
        <f aca="false">IF(INT(T$6/$X53)*$X$7&gt;T52*($X$7+$Z53)*$Y53,T52*($X$7+$Z53)-SUM($B54:S54),INT(T$6/$X53)*$X$7-T52*($X$7+$Z53)*($Y53-1)-SUM($B54:S54))+IF($Y53&gt;1,IF(INT(T$6/$X53)&gt;0,$Z53-$AA53,0),-$AA53)</f>
        <v>2</v>
      </c>
      <c r="U54" s="511" t="n">
        <f aca="false">IF(INT(U$6/$X53)*$X$7&gt;U52*($X$7+$Z53)*$Y53,U52*($X$7+$Z53)-SUM($B54:T54),INT(U$6/$X53)*$X$7-U52*($X$7+$Z53)*($Y53-1)-SUM($B54:T54))+IF($Y53&gt;1,IF(INT(U$6/$X53)&gt;0,$Z53-$AA53,0),-$AA53)</f>
        <v>0</v>
      </c>
      <c r="V54" s="511" t="n">
        <f aca="false">IF(INT(V$6/$X53)*$X$7&gt;V52*($X$7+$Z53)*$Y53,V52*($X$7+$Z53)-SUM($B54:U54),INT(V$6/$X53)*$X$7-V52*($X$7+$Z53)*($Y53-1)-SUM($B54:U54))+IF($Y53&gt;1,IF(INT(V$6/$X53)&gt;0,$Z53-$AA53,0),-$AA53)</f>
        <v>0</v>
      </c>
      <c r="W54" s="803"/>
      <c r="AA54" s="157"/>
      <c r="AB54" s="157"/>
    </row>
    <row r="55" customFormat="false" ht="12.75" hidden="false" customHeight="false" outlineLevel="0" collapsed="false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790"/>
      <c r="X55" s="157"/>
      <c r="Y55" s="157"/>
      <c r="Z55" s="157"/>
      <c r="AA55" s="157"/>
      <c r="AB55" s="157"/>
    </row>
    <row r="56" customFormat="false" ht="12.75" hidden="true" customHeight="false" outlineLevel="0" collapsed="false">
      <c r="A56" s="153" t="s">
        <v>1395</v>
      </c>
      <c r="B56" s="511"/>
      <c r="C56" s="153" t="n">
        <f aca="false">INT((INT(C$6/$X57)*$X$7+$X$7+$Z57-1)/($X$7+$Z57)/$Y57)</f>
        <v>0</v>
      </c>
      <c r="D56" s="153" t="n">
        <f aca="false">INT((INT(D$6/$X57)*$X$7+$X$7+$Z57-1)/($X$7+$Z57)/$Y57)</f>
        <v>0</v>
      </c>
      <c r="E56" s="153" t="n">
        <f aca="false">INT((INT(E$6/$X57)*$X$7+$X$7+$Z57-1)/($X$7+$Z57)/$Y57)</f>
        <v>0</v>
      </c>
      <c r="F56" s="153" t="n">
        <f aca="false">INT((INT(F$6/$X57)*$X$7+$X$7+$Z57-1)/($X$7+$Z57)/$Y57)</f>
        <v>0</v>
      </c>
      <c r="G56" s="153" t="n">
        <f aca="false">INT((INT(G$6/$X57)*$X$7+$X$7+$Z57-1)/($X$7+$Z57)/$Y57)</f>
        <v>0</v>
      </c>
      <c r="H56" s="153" t="n">
        <f aca="false">INT((INT(H$6/$X57)*$X$7+$X$7+$Z57-1)/($X$7+$Z57)/$Y57)</f>
        <v>1</v>
      </c>
      <c r="I56" s="153" t="n">
        <f aca="false">INT((INT(I$6/$X57)*$X$7+$X$7+$Z57-1)/($X$7+$Z57)/$Y57)</f>
        <v>1</v>
      </c>
      <c r="J56" s="153" t="n">
        <f aca="false">INT((INT(J$6/$X57)*$X$7+$X$7+$Z57-1)/($X$7+$Z57)/$Y57)</f>
        <v>1</v>
      </c>
      <c r="K56" s="153" t="n">
        <f aca="false">INT((INT(K$6/$X57)*$X$7+$X$7+$Z57-1)/($X$7+$Z57)/$Y57)</f>
        <v>1</v>
      </c>
      <c r="L56" s="153" t="n">
        <f aca="false">INT((INT(L$6/$X57)*$X$7+$X$7+$Z57-1)/($X$7+$Z57)/$Y57)</f>
        <v>1</v>
      </c>
      <c r="M56" s="153" t="n">
        <f aca="false">INT((INT(M$6/$X57)*$X$7+$X$7+$Z57-1)/($X$7+$Z57)/$Y57)</f>
        <v>1</v>
      </c>
      <c r="N56" s="153" t="n">
        <f aca="false">INT((INT(N$6/$X57)*$X$7+$X$7+$Z57-1)/($X$7+$Z57)/$Y57)</f>
        <v>1</v>
      </c>
      <c r="O56" s="153" t="n">
        <f aca="false">INT((INT(O$6/$X57)*$X$7+$X$7+$Z57-1)/($X$7+$Z57)/$Y57)</f>
        <v>1</v>
      </c>
      <c r="P56" s="153" t="n">
        <f aca="false">INT((INT(P$6/$X57)*$X$7+$X$7+$Z57-1)/($X$7+$Z57)/$Y57)</f>
        <v>1</v>
      </c>
      <c r="Q56" s="153" t="n">
        <f aca="false">INT((INT(Q$6/$X57)*$X$7+$X$7+$Z57-1)/($X$7+$Z57)/$Y57)</f>
        <v>2</v>
      </c>
      <c r="R56" s="153" t="n">
        <f aca="false">INT((INT(R$6/$X57)*$X$7+$X$7+$Z57-1)/($X$7+$Z57)/$Y57)</f>
        <v>2</v>
      </c>
      <c r="S56" s="153" t="n">
        <f aca="false">INT((INT(S$6/$X57)*$X$7+$X$7+$Z57-1)/($X$7+$Z57)/$Y57)</f>
        <v>2</v>
      </c>
      <c r="T56" s="153" t="n">
        <f aca="false">INT((INT(T$6/$X57)*$X$7+$X$7+$Z57-1)/($X$7+$Z57)/$Y57)</f>
        <v>2</v>
      </c>
      <c r="U56" s="153" t="n">
        <f aca="false">INT((INT(U$6/$X57)*$X$7+$X$7+$Z57-1)/($X$7+$Z57)/$Y57)</f>
        <v>2</v>
      </c>
      <c r="V56" s="153" t="n">
        <f aca="false">INT((INT(V$6/$X57)*$X$7+$X$7+$Z57-1)/($X$7+$Z57)/$Y57)</f>
        <v>2</v>
      </c>
      <c r="W56" s="157"/>
      <c r="X56" s="157"/>
      <c r="Y56" s="157"/>
      <c r="Z56" s="157"/>
      <c r="AA56" s="157"/>
      <c r="AB56" s="157"/>
    </row>
    <row r="57" customFormat="false" ht="12.75" hidden="false" customHeight="false" outlineLevel="0" collapsed="false">
      <c r="A57" s="153" t="s">
        <v>1396</v>
      </c>
      <c r="B57" s="511" t="s">
        <v>1007</v>
      </c>
      <c r="C57" s="511" t="n">
        <f aca="false">IF($Y57=1,0,$X$7*(INT(C$6/$X57)-INT(B$6/$X57))-IF(SUM($B57:B57)&gt;0,C58,0))</f>
        <v>0</v>
      </c>
      <c r="D57" s="511" t="n">
        <f aca="false">IF($Y57=1,0,$X$7*(INT(D$6/$X57)-INT(C$6/$X57))-IF(SUM($B57:C57)&gt;0,D58,0))</f>
        <v>0</v>
      </c>
      <c r="E57" s="511" t="n">
        <f aca="false">IF($Y57=1,0,$X$7*(INT(E$6/$X57)-INT(D$6/$X57))-IF(SUM($B57:D57)&gt;0,E58,0))</f>
        <v>2</v>
      </c>
      <c r="F57" s="511" t="n">
        <f aca="false">IF($Y57=1,0,$X$7*(INT(F$6/$X57)-INT(E$6/$X57))-IF(SUM($B57:E57)&gt;0,F58,0))</f>
        <v>0</v>
      </c>
      <c r="G57" s="511" t="n">
        <f aca="false">IF($Y57=1,0,$X$7*(INT(G$6/$X57)-INT(F$6/$X57))-IF(SUM($B57:F57)&gt;0,G58,0))</f>
        <v>0</v>
      </c>
      <c r="H57" s="511" t="n">
        <f aca="false">IF($Y57=1,0,$X$7*(INT(H$6/$X57)-INT(G$6/$X57))-IF(SUM($B57:G57)&gt;0,H58,0))</f>
        <v>1</v>
      </c>
      <c r="I57" s="511" t="n">
        <f aca="false">IF($Y57=1,0,$X$7*(INT(I$6/$X57)-INT(H$6/$X57))-IF(SUM($B57:H57)&gt;0,I58,0))</f>
        <v>0</v>
      </c>
      <c r="J57" s="511" t="n">
        <f aca="false">IF($Y57=1,0,$X$7*(INT(J$6/$X57)-INT(I$6/$X57))-IF(SUM($B57:I57)&gt;0,J58,0))</f>
        <v>0</v>
      </c>
      <c r="K57" s="511" t="n">
        <f aca="false">IF($Y57=1,0,$X$7*(INT(K$6/$X57)-INT(J$6/$X57))-IF(SUM($B57:J57)&gt;0,K58,0))</f>
        <v>0</v>
      </c>
      <c r="L57" s="511" t="n">
        <f aca="false">IF($Y57=1,0,$X$7*(INT(L$6/$X57)-INT(K$6/$X57))-IF(SUM($B57:K57)&gt;0,L58,0))</f>
        <v>0</v>
      </c>
      <c r="M57" s="511" t="n">
        <f aca="false">IF($Y57=1,0,$X$7*(INT(M$6/$X57)-INT(L$6/$X57))-IF(SUM($B57:L57)&gt;0,M58,0))</f>
        <v>0</v>
      </c>
      <c r="N57" s="511" t="n">
        <f aca="false">IF($Y57=1,0,$X$7*(INT(N$6/$X57)-INT(M$6/$X57))-IF(SUM($B57:M57)&gt;0,N58,0))</f>
        <v>2</v>
      </c>
      <c r="O57" s="511" t="n">
        <f aca="false">IF($Y57=1,0,$X$7*(INT(O$6/$X57)-INT(N$6/$X57))-IF(SUM($B57:N57)&gt;0,O58,0))</f>
        <v>0</v>
      </c>
      <c r="P57" s="511" t="n">
        <f aca="false">IF($Y57=1,0,$X$7*(INT(P$6/$X57)-INT(O$6/$X57))-IF(SUM($B57:O57)&gt;0,P58,0))</f>
        <v>0</v>
      </c>
      <c r="Q57" s="511" t="n">
        <f aca="false">IF($Y57=1,0,$X$7*(INT(Q$6/$X57)-INT(P$6/$X57))-IF(SUM($B57:P57)&gt;0,Q58,0))</f>
        <v>1</v>
      </c>
      <c r="R57" s="511" t="n">
        <f aca="false">IF($Y57=1,0,$X$7*(INT(R$6/$X57)-INT(Q$6/$X57))-IF(SUM($B57:Q57)&gt;0,R58,0))</f>
        <v>0</v>
      </c>
      <c r="S57" s="511" t="n">
        <f aca="false">IF($Y57=1,0,$X$7*(INT(S$6/$X57)-INT(R$6/$X57))-IF(SUM($B57:R57)&gt;0,S58,0))</f>
        <v>0</v>
      </c>
      <c r="T57" s="511" t="n">
        <f aca="false">IF($Y57=1,0,$X$7*(INT(T$6/$X57)-INT(S$6/$X57))-IF(SUM($B57:S57)&gt;0,T58,0))</f>
        <v>0</v>
      </c>
      <c r="U57" s="511" t="n">
        <f aca="false">IF($Y57=1,0,$X$7*(INT(U$6/$X57)-INT(T$6/$X57))-IF(SUM($B57:T57)&gt;0,U58,0))</f>
        <v>0</v>
      </c>
      <c r="V57" s="511" t="n">
        <f aca="false">IF($Y57=1,0,$X$7*(INT(V$6/$X57)-INT(U$6/$X57))-IF(SUM($B57:U57)&gt;0,V58,0))</f>
        <v>0</v>
      </c>
      <c r="W57" s="800" t="str">
        <f aca="false">'GT schd cost(7FA)'!A23</f>
        <v>Row 1 Support Ring</v>
      </c>
      <c r="X57" s="800" t="n">
        <f aca="false">IF($AD$6=1,'GTDB(7FA)'!B26,'GTDB(7FA)'!G26)</f>
        <v>24000</v>
      </c>
      <c r="Y57" s="800" t="n">
        <f aca="false">IF($AD$6=1,'GTDB(7FA)'!C26,'GTDB(7FA)'!H26)</f>
        <v>2</v>
      </c>
      <c r="Z57" s="801" t="n">
        <v>1</v>
      </c>
      <c r="AA57" s="805" t="n">
        <f aca="false">'Initial_Spares(7FA)'!$E$20</f>
        <v>0</v>
      </c>
      <c r="AB57" s="764" t="n">
        <f aca="false">'GT schd cost(7FA)'!X23+'GT schd cost(7FA)'!X46</f>
        <v>450.662</v>
      </c>
    </row>
    <row r="58" customFormat="false" ht="12.75" hidden="false" customHeight="false" outlineLevel="0" collapsed="false">
      <c r="A58" s="153" t="s">
        <v>1397</v>
      </c>
      <c r="B58" s="511" t="s">
        <v>1007</v>
      </c>
      <c r="C58" s="511" t="n">
        <f aca="false">IF(INT(C$6/$X57)*$X$7&gt;C56*($X$7+$Z57)*$Y57,C56*($X$7+$Z57)-SUM($B58:B58),INT(C$6/$X57)*$X$7-C56*($X$7+$Z57)*($Y57-1)-SUM($B58:B58))+IF($Y57&gt;1,IF(INT(C$6/$X57)&gt;0,$Z57-$AA57,0),-$AA57)</f>
        <v>0</v>
      </c>
      <c r="D58" s="511" t="n">
        <f aca="false">IF(INT(D$6/$X57)*$X$7&gt;D56*($X$7+$Z57)*$Y57,D56*($X$7+$Z57)-SUM($B58:C58),INT(D$6/$X57)*$X$7-D56*($X$7+$Z57)*($Y57-1)-SUM($B58:C58))+IF($Y57&gt;1,IF(INT(D$6/$X57)&gt;0,$Z57-$AA57,0),-$AA57)</f>
        <v>0</v>
      </c>
      <c r="E58" s="511" t="n">
        <f aca="false">IF(INT(E$6/$X57)*$X$7&gt;E56*($X$7+$Z57)*$Y57,E56*($X$7+$Z57)-SUM($B58:D58),INT(E$6/$X57)*$X$7-E56*($X$7+$Z57)*($Y57-1)-SUM($B58:D58))+IF($Y57&gt;1,IF(INT(E$6/$X57)&gt;0,$Z57-$AA57,0),-$AA57)</f>
        <v>1</v>
      </c>
      <c r="F58" s="511" t="n">
        <f aca="false">IF(INT(F$6/$X57)*$X$7&gt;F56*($X$7+$Z57)*$Y57,F56*($X$7+$Z57)-SUM($B58:E58),INT(F$6/$X57)*$X$7-F56*($X$7+$Z57)*($Y57-1)-SUM($B58:E58))+IF($Y57&gt;1,IF(INT(F$6/$X57)&gt;0,$Z57-$AA57,0),-$AA57)</f>
        <v>0</v>
      </c>
      <c r="G58" s="511" t="n">
        <f aca="false">IF(INT(G$6/$X57)*$X$7&gt;G56*($X$7+$Z57)*$Y57,G56*($X$7+$Z57)-SUM($B58:F58),INT(G$6/$X57)*$X$7-G56*($X$7+$Z57)*($Y57-1)-SUM($B58:F58))+IF($Y57&gt;1,IF(INT(G$6/$X57)&gt;0,$Z57-$AA57,0),-$AA57)</f>
        <v>0</v>
      </c>
      <c r="H58" s="511" t="n">
        <f aca="false">IF(INT(H$6/$X57)*$X$7&gt;H56*($X$7+$Z57)*$Y57,H56*($X$7+$Z57)-SUM($B58:G58),INT(H$6/$X57)*$X$7-H56*($X$7+$Z57)*($Y57-1)-SUM($B58:G58))+IF($Y57&gt;1,IF(INT(H$6/$X57)&gt;0,$Z57-$AA57,0),-$AA57)</f>
        <v>1</v>
      </c>
      <c r="I58" s="511" t="n">
        <f aca="false">IF(INT(I$6/$X57)*$X$7&gt;I56*($X$7+$Z57)*$Y57,I56*($X$7+$Z57)-SUM($B58:H58),INT(I$6/$X57)*$X$7-I56*($X$7+$Z57)*($Y57-1)-SUM($B58:H58))+IF($Y57&gt;1,IF(INT(I$6/$X57)&gt;0,$Z57-$AA57,0),-$AA57)</f>
        <v>0</v>
      </c>
      <c r="J58" s="511" t="n">
        <f aca="false">IF(INT(J$6/$X57)*$X$7&gt;J56*($X$7+$Z57)*$Y57,J56*($X$7+$Z57)-SUM($B58:I58),INT(J$6/$X57)*$X$7-J56*($X$7+$Z57)*($Y57-1)-SUM($B58:I58))+IF($Y57&gt;1,IF(INT(J$6/$X57)&gt;0,$Z57-$AA57,0),-$AA57)</f>
        <v>0</v>
      </c>
      <c r="K58" s="511" t="n">
        <f aca="false">IF(INT(K$6/$X57)*$X$7&gt;K56*($X$7+$Z57)*$Y57,K56*($X$7+$Z57)-SUM($B58:J58),INT(K$6/$X57)*$X$7-K56*($X$7+$Z57)*($Y57-1)-SUM($B58:J58))+IF($Y57&gt;1,IF(INT(K$6/$X57)&gt;0,$Z57-$AA57,0),-$AA57)</f>
        <v>2</v>
      </c>
      <c r="L58" s="511" t="n">
        <f aca="false">IF(INT(L$6/$X57)*$X$7&gt;L56*($X$7+$Z57)*$Y57,L56*($X$7+$Z57)-SUM($B58:K58),INT(L$6/$X57)*$X$7-L56*($X$7+$Z57)*($Y57-1)-SUM($B58:K58))+IF($Y57&gt;1,IF(INT(L$6/$X57)&gt;0,$Z57-$AA57,0),-$AA57)</f>
        <v>0</v>
      </c>
      <c r="M58" s="511" t="n">
        <f aca="false">IF(INT(M$6/$X57)*$X$7&gt;M56*($X$7+$Z57)*$Y57,M56*($X$7+$Z57)-SUM($B58:L58),INT(M$6/$X57)*$X$7-M56*($X$7+$Z57)*($Y57-1)-SUM($B58:L58))+IF($Y57&gt;1,IF(INT(M$6/$X57)&gt;0,$Z57-$AA57,0),-$AA57)</f>
        <v>0</v>
      </c>
      <c r="N58" s="511" t="n">
        <f aca="false">IF(INT(N$6/$X57)*$X$7&gt;N56*($X$7+$Z57)*$Y57,N56*($X$7+$Z57)-SUM($B58:M58),INT(N$6/$X57)*$X$7-N56*($X$7+$Z57)*($Y57-1)-SUM($B58:M58))+IF($Y57&gt;1,IF(INT(N$6/$X57)&gt;0,$Z57-$AA57,0),-$AA57)</f>
        <v>0</v>
      </c>
      <c r="O58" s="511" t="n">
        <f aca="false">IF(INT(O$6/$X57)*$X$7&gt;O56*($X$7+$Z57)*$Y57,O56*($X$7+$Z57)-SUM($B58:N58),INT(O$6/$X57)*$X$7-O56*($X$7+$Z57)*($Y57-1)-SUM($B58:N58))+IF($Y57&gt;1,IF(INT(O$6/$X57)&gt;0,$Z57-$AA57,0),-$AA57)</f>
        <v>0</v>
      </c>
      <c r="P58" s="511" t="n">
        <f aca="false">IF(INT(P$6/$X57)*$X$7&gt;P56*($X$7+$Z57)*$Y57,P56*($X$7+$Z57)-SUM($B58:O58),INT(P$6/$X57)*$X$7-P56*($X$7+$Z57)*($Y57-1)-SUM($B58:O58))+IF($Y57&gt;1,IF(INT(P$6/$X57)&gt;0,$Z57-$AA57,0),-$AA57)</f>
        <v>0</v>
      </c>
      <c r="Q58" s="511" t="n">
        <f aca="false">IF(INT(Q$6/$X57)*$X$7&gt;Q56*($X$7+$Z57)*$Y57,Q56*($X$7+$Z57)-SUM($B58:P58),INT(Q$6/$X57)*$X$7-Q56*($X$7+$Z57)*($Y57-1)-SUM($B58:P58))+IF($Y57&gt;1,IF(INT(Q$6/$X57)&gt;0,$Z57-$AA57,0),-$AA57)</f>
        <v>1</v>
      </c>
      <c r="R58" s="511" t="n">
        <f aca="false">IF(INT(R$6/$X57)*$X$7&gt;R56*($X$7+$Z57)*$Y57,R56*($X$7+$Z57)-SUM($B58:Q58),INT(R$6/$X57)*$X$7-R56*($X$7+$Z57)*($Y57-1)-SUM($B58:Q58))+IF($Y57&gt;1,IF(INT(R$6/$X57)&gt;0,$Z57-$AA57,0),-$AA57)</f>
        <v>0</v>
      </c>
      <c r="S58" s="511" t="n">
        <f aca="false">IF(INT(S$6/$X57)*$X$7&gt;S56*($X$7+$Z57)*$Y57,S56*($X$7+$Z57)-SUM($B58:R58),INT(S$6/$X57)*$X$7-S56*($X$7+$Z57)*($Y57-1)-SUM($B58:R58))+IF($Y57&gt;1,IF(INT(S$6/$X57)&gt;0,$Z57-$AA57,0),-$AA57)</f>
        <v>0</v>
      </c>
      <c r="T58" s="511" t="n">
        <f aca="false">IF(INT(T$6/$X57)*$X$7&gt;T56*($X$7+$Z57)*$Y57,T56*($X$7+$Z57)-SUM($B58:S58),INT(T$6/$X57)*$X$7-T56*($X$7+$Z57)*($Y57-1)-SUM($B58:S58))+IF($Y57&gt;1,IF(INT(T$6/$X57)&gt;0,$Z57-$AA57,0),-$AA57)</f>
        <v>2</v>
      </c>
      <c r="U58" s="511" t="n">
        <f aca="false">IF(INT(U$6/$X57)*$X$7&gt;U56*($X$7+$Z57)*$Y57,U56*($X$7+$Z57)-SUM($B58:T58),INT(U$6/$X57)*$X$7-U56*($X$7+$Z57)*($Y57-1)-SUM($B58:T58))+IF($Y57&gt;1,IF(INT(U$6/$X57)&gt;0,$Z57-$AA57,0),-$AA57)</f>
        <v>0</v>
      </c>
      <c r="V58" s="511" t="n">
        <f aca="false">IF(INT(V$6/$X57)*$X$7&gt;V56*($X$7+$Z57)*$Y57,V56*($X$7+$Z57)-SUM($B58:U58),INT(V$6/$X57)*$X$7-V56*($X$7+$Z57)*($Y57-1)-SUM($B58:U58))+IF($Y57&gt;1,IF(INT(V$6/$X57)&gt;0,$Z57-$AA57,0),-$AA57)</f>
        <v>0</v>
      </c>
      <c r="W58" s="803"/>
      <c r="AA58" s="157"/>
      <c r="AB58" s="157"/>
    </row>
    <row r="59" customFormat="false" ht="12.75" hidden="false" customHeight="false" outlineLevel="0" collapsed="false">
      <c r="A59" s="157"/>
      <c r="B59" s="518"/>
      <c r="C59" s="518"/>
      <c r="D59" s="518"/>
      <c r="E59" s="518"/>
      <c r="F59" s="518"/>
      <c r="G59" s="518"/>
      <c r="H59" s="518"/>
      <c r="I59" s="518"/>
      <c r="J59" s="518"/>
      <c r="K59" s="518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785"/>
      <c r="X59" s="157"/>
      <c r="Y59" s="157"/>
      <c r="Z59" s="157"/>
      <c r="AA59" s="157"/>
      <c r="AB59" s="157"/>
    </row>
    <row r="60" customFormat="false" ht="12.75" hidden="true" customHeight="false" outlineLevel="0" collapsed="false">
      <c r="A60" s="153" t="s">
        <v>1395</v>
      </c>
      <c r="B60" s="511"/>
      <c r="C60" s="153" t="n">
        <f aca="false">INT((INT(C$6/$X61)*$X$7+$X$7+$Z61-1)/($X$7+$Z61)/$Y61)</f>
        <v>0</v>
      </c>
      <c r="D60" s="153" t="n">
        <f aca="false">INT((INT(D$6/$X61)*$X$7+$X$7+$Z61-1)/($X$7+$Z61)/$Y61)</f>
        <v>0</v>
      </c>
      <c r="E60" s="153" t="n">
        <f aca="false">INT((INT(E$6/$X61)*$X$7+$X$7+$Z61-1)/($X$7+$Z61)/$Y61)</f>
        <v>0</v>
      </c>
      <c r="F60" s="153" t="n">
        <f aca="false">INT((INT(F$6/$X61)*$X$7+$X$7+$Z61-1)/($X$7+$Z61)/$Y61)</f>
        <v>0</v>
      </c>
      <c r="G60" s="153" t="n">
        <f aca="false">INT((INT(G$6/$X61)*$X$7+$X$7+$Z61-1)/($X$7+$Z61)/$Y61)</f>
        <v>0</v>
      </c>
      <c r="H60" s="153" t="n">
        <f aca="false">INT((INT(H$6/$X61)*$X$7+$X$7+$Z61-1)/($X$7+$Z61)/$Y61)</f>
        <v>0</v>
      </c>
      <c r="I60" s="153" t="n">
        <f aca="false">INT((INT(I$6/$X61)*$X$7+$X$7+$Z61-1)/($X$7+$Z61)/$Y61)</f>
        <v>0</v>
      </c>
      <c r="J60" s="153" t="n">
        <f aca="false">INT((INT(J$6/$X61)*$X$7+$X$7+$Z61-1)/($X$7+$Z61)/$Y61)</f>
        <v>0</v>
      </c>
      <c r="K60" s="153" t="n">
        <f aca="false">INT((INT(K$6/$X61)*$X$7+$X$7+$Z61-1)/($X$7+$Z61)/$Y61)</f>
        <v>0</v>
      </c>
      <c r="L60" s="153" t="n">
        <f aca="false">INT((INT(L$6/$X61)*$X$7+$X$7+$Z61-1)/($X$7+$Z61)/$Y61)</f>
        <v>0</v>
      </c>
      <c r="M60" s="153" t="n">
        <f aca="false">INT((INT(M$6/$X61)*$X$7+$X$7+$Z61-1)/($X$7+$Z61)/$Y61)</f>
        <v>0</v>
      </c>
      <c r="N60" s="153" t="n">
        <f aca="false">INT((INT(N$6/$X61)*$X$7+$X$7+$Z61-1)/($X$7+$Z61)/$Y61)</f>
        <v>1</v>
      </c>
      <c r="O60" s="153" t="n">
        <f aca="false">INT((INT(O$6/$X61)*$X$7+$X$7+$Z61-1)/($X$7+$Z61)/$Y61)</f>
        <v>1</v>
      </c>
      <c r="P60" s="153" t="n">
        <f aca="false">INT((INT(P$6/$X61)*$X$7+$X$7+$Z61-1)/($X$7+$Z61)/$Y61)</f>
        <v>1</v>
      </c>
      <c r="Q60" s="153" t="n">
        <f aca="false">INT((INT(Q$6/$X61)*$X$7+$X$7+$Z61-1)/($X$7+$Z61)/$Y61)</f>
        <v>1</v>
      </c>
      <c r="R60" s="153" t="n">
        <f aca="false">INT((INT(R$6/$X61)*$X$7+$X$7+$Z61-1)/($X$7+$Z61)/$Y61)</f>
        <v>1</v>
      </c>
      <c r="S60" s="153" t="n">
        <f aca="false">INT((INT(S$6/$X61)*$X$7+$X$7+$Z61-1)/($X$7+$Z61)/$Y61)</f>
        <v>1</v>
      </c>
      <c r="T60" s="153" t="n">
        <f aca="false">INT((INT(T$6/$X61)*$X$7+$X$7+$Z61-1)/($X$7+$Z61)/$Y61)</f>
        <v>1</v>
      </c>
      <c r="U60" s="153" t="n">
        <f aca="false">INT((INT(U$6/$X61)*$X$7+$X$7+$Z61-1)/($X$7+$Z61)/$Y61)</f>
        <v>1</v>
      </c>
      <c r="V60" s="153" t="n">
        <f aca="false">INT((INT(V$6/$X61)*$X$7+$X$7+$Z61-1)/($X$7+$Z61)/$Y61)</f>
        <v>1</v>
      </c>
      <c r="W60" s="157"/>
      <c r="X60" s="157"/>
      <c r="Y60" s="157"/>
      <c r="Z60" s="157"/>
      <c r="AA60" s="157"/>
      <c r="AB60" s="157"/>
    </row>
    <row r="61" customFormat="false" ht="12.75" hidden="false" customHeight="false" outlineLevel="0" collapsed="false">
      <c r="A61" s="153" t="s">
        <v>1396</v>
      </c>
      <c r="B61" s="511" t="s">
        <v>1007</v>
      </c>
      <c r="C61" s="511" t="n">
        <f aca="false">IF($Y61=1,0,$X$7*(INT(C$6/$X61)-INT(B$6/$X61))-IF(SUM($B61:B61)&gt;0,C62,0))</f>
        <v>0</v>
      </c>
      <c r="D61" s="511" t="n">
        <f aca="false">IF($Y61=1,0,$X$7*(INT(D$6/$X61)-INT(C$6/$X61))-IF(SUM($B61:C61)&gt;0,D62,0))</f>
        <v>0</v>
      </c>
      <c r="E61" s="511" t="n">
        <f aca="false">IF($Y61=1,0,$X$7*(INT(E$6/$X61)-INT(D$6/$X61))-IF(SUM($B61:D61)&gt;0,E62,0))</f>
        <v>2</v>
      </c>
      <c r="F61" s="511" t="n">
        <f aca="false">IF($Y61=1,0,$X$7*(INT(F$6/$X61)-INT(E$6/$X61))-IF(SUM($B61:E61)&gt;0,F62,0))</f>
        <v>0</v>
      </c>
      <c r="G61" s="511" t="n">
        <f aca="false">IF($Y61=1,0,$X$7*(INT(G$6/$X61)-INT(F$6/$X61))-IF(SUM($B61:F61)&gt;0,G62,0))</f>
        <v>0</v>
      </c>
      <c r="H61" s="511" t="n">
        <f aca="false">IF($Y61=1,0,$X$7*(INT(H$6/$X61)-INT(G$6/$X61))-IF(SUM($B61:G61)&gt;0,H62,0))</f>
        <v>2</v>
      </c>
      <c r="I61" s="511" t="n">
        <f aca="false">IF($Y61=1,0,$X$7*(INT(I$6/$X61)-INT(H$6/$X61))-IF(SUM($B61:H61)&gt;0,I62,0))</f>
        <v>0</v>
      </c>
      <c r="J61" s="511" t="n">
        <f aca="false">IF($Y61=1,0,$X$7*(INT(J$6/$X61)-INT(I$6/$X61))-IF(SUM($B61:I61)&gt;0,J62,0))</f>
        <v>0</v>
      </c>
      <c r="K61" s="511" t="n">
        <f aca="false">IF($Y61=1,0,$X$7*(INT(K$6/$X61)-INT(J$6/$X61))-IF(SUM($B61:J61)&gt;0,K62,0))</f>
        <v>2</v>
      </c>
      <c r="L61" s="511" t="n">
        <f aca="false">IF($Y61=1,0,$X$7*(INT(L$6/$X61)-INT(K$6/$X61))-IF(SUM($B61:K61)&gt;0,L62,0))</f>
        <v>0</v>
      </c>
      <c r="M61" s="511" t="n">
        <f aca="false">IF($Y61=1,0,$X$7*(INT(M$6/$X61)-INT(L$6/$X61))-IF(SUM($B61:L61)&gt;0,M62,0))</f>
        <v>0</v>
      </c>
      <c r="N61" s="511" t="n">
        <f aca="false">IF($Y61=1,0,$X$7*(INT(N$6/$X61)-INT(M$6/$X61))-IF(SUM($B61:M61)&gt;0,N62,0))</f>
        <v>0</v>
      </c>
      <c r="O61" s="511" t="n">
        <f aca="false">IF($Y61=1,0,$X$7*(INT(O$6/$X61)-INT(N$6/$X61))-IF(SUM($B61:N61)&gt;0,O62,0))</f>
        <v>0</v>
      </c>
      <c r="P61" s="511" t="n">
        <f aca="false">IF($Y61=1,0,$X$7*(INT(P$6/$X61)-INT(O$6/$X61))-IF(SUM($B61:O61)&gt;0,P62,0))</f>
        <v>0</v>
      </c>
      <c r="Q61" s="511" t="n">
        <f aca="false">IF($Y61=1,0,$X$7*(INT(Q$6/$X61)-INT(P$6/$X61))-IF(SUM($B61:P61)&gt;0,Q62,0))</f>
        <v>1</v>
      </c>
      <c r="R61" s="511" t="n">
        <f aca="false">IF($Y61=1,0,$X$7*(INT(R$6/$X61)-INT(Q$6/$X61))-IF(SUM($B61:Q61)&gt;0,R62,0))</f>
        <v>0</v>
      </c>
      <c r="S61" s="511" t="n">
        <f aca="false">IF($Y61=1,0,$X$7*(INT(S$6/$X61)-INT(R$6/$X61))-IF(SUM($B61:R61)&gt;0,S62,0))</f>
        <v>0</v>
      </c>
      <c r="T61" s="511" t="n">
        <f aca="false">IF($Y61=1,0,$X$7*(INT(T$6/$X61)-INT(S$6/$X61))-IF(SUM($B61:S61)&gt;0,T62,0))</f>
        <v>2</v>
      </c>
      <c r="U61" s="511" t="n">
        <f aca="false">IF($Y61=1,0,$X$7*(INT(U$6/$X61)-INT(T$6/$X61))-IF(SUM($B61:T61)&gt;0,U62,0))</f>
        <v>0</v>
      </c>
      <c r="V61" s="511" t="n">
        <f aca="false">IF($Y61=1,0,$X$7*(INT(V$6/$X61)-INT(U$6/$X61))-IF(SUM($B61:U61)&gt;0,V62,0))</f>
        <v>0</v>
      </c>
      <c r="W61" s="800" t="str">
        <f aca="false">'GT schd cost(7FA)'!A24</f>
        <v>1st Stage Shroud Blocks </v>
      </c>
      <c r="X61" s="800" t="n">
        <f aca="false">IF($AD$6=1,'GTDB(7FA)'!B27,'GTDB(7FA)'!G27)</f>
        <v>24000</v>
      </c>
      <c r="Y61" s="800" t="n">
        <f aca="false">IF($AD$6=1,'GTDB(7FA)'!C27,'GTDB(7FA)'!H27)</f>
        <v>3</v>
      </c>
      <c r="Z61" s="801" t="n">
        <v>1</v>
      </c>
      <c r="AA61" s="805" t="n">
        <f aca="false">'Initial_Spares(7FA)'!$E$21</f>
        <v>1</v>
      </c>
      <c r="AB61" s="764" t="n">
        <f aca="false">'GT schd cost(7FA)'!X24+'GT schd cost(7FA)'!X47</f>
        <v>3276.729</v>
      </c>
    </row>
    <row r="62" customFormat="false" ht="12.75" hidden="false" customHeight="false" outlineLevel="0" collapsed="false">
      <c r="A62" s="153" t="s">
        <v>1397</v>
      </c>
      <c r="B62" s="511" t="s">
        <v>1007</v>
      </c>
      <c r="C62" s="511" t="n">
        <f aca="false">IF(INT(C$6/$X61)*$X$7&gt;C60*($X$7+$Z61)*$Y61,C60*($X$7+$Z61)-SUM($B62:B62),INT(C$6/$X61)*$X$7-C60*($X$7+$Z61)*($Y61-1)-SUM($B62:B62))+IF($Y61&gt;1,IF(INT(C$6/$X61)&gt;0,$Z61-$AA61,0),-$AA61)</f>
        <v>0</v>
      </c>
      <c r="D62" s="511" t="n">
        <f aca="false">IF(INT(D$6/$X61)*$X$7&gt;D60*($X$7+$Z61)*$Y61,D60*($X$7+$Z61)-SUM($B62:C62),INT(D$6/$X61)*$X$7-D60*($X$7+$Z61)*($Y61-1)-SUM($B62:C62))+IF($Y61&gt;1,IF(INT(D$6/$X61)&gt;0,$Z61-$AA61,0),-$AA61)</f>
        <v>0</v>
      </c>
      <c r="E62" s="511" t="n">
        <f aca="false">IF(INT(E$6/$X61)*$X$7&gt;E60*($X$7+$Z61)*$Y61,E60*($X$7+$Z61)-SUM($B62:D62),INT(E$6/$X61)*$X$7-E60*($X$7+$Z61)*($Y61-1)-SUM($B62:D62))+IF($Y61&gt;1,IF(INT(E$6/$X61)&gt;0,$Z61-$AA61,0),-$AA61)</f>
        <v>0</v>
      </c>
      <c r="F62" s="511" t="n">
        <f aca="false">IF(INT(F$6/$X61)*$X$7&gt;F60*($X$7+$Z61)*$Y61,F60*($X$7+$Z61)-SUM($B62:E62),INT(F$6/$X61)*$X$7-F60*($X$7+$Z61)*($Y61-1)-SUM($B62:E62))+IF($Y61&gt;1,IF(INT(F$6/$X61)&gt;0,$Z61-$AA61,0),-$AA61)</f>
        <v>0</v>
      </c>
      <c r="G62" s="511" t="n">
        <f aca="false">IF(INT(G$6/$X61)*$X$7&gt;G60*($X$7+$Z61)*$Y61,G60*($X$7+$Z61)-SUM($B62:F62),INT(G$6/$X61)*$X$7-G60*($X$7+$Z61)*($Y61-1)-SUM($B62:F62))+IF($Y61&gt;1,IF(INT(G$6/$X61)&gt;0,$Z61-$AA61,0),-$AA61)</f>
        <v>0</v>
      </c>
      <c r="H62" s="511" t="n">
        <f aca="false">IF(INT(H$6/$X61)*$X$7&gt;H60*($X$7+$Z61)*$Y61,H60*($X$7+$Z61)-SUM($B62:G62),INT(H$6/$X61)*$X$7-H60*($X$7+$Z61)*($Y61-1)-SUM($B62:G62))+IF($Y61&gt;1,IF(INT(H$6/$X61)&gt;0,$Z61-$AA61,0),-$AA61)</f>
        <v>0</v>
      </c>
      <c r="I62" s="511" t="n">
        <f aca="false">IF(INT(I$6/$X61)*$X$7&gt;I60*($X$7+$Z61)*$Y61,I60*($X$7+$Z61)-SUM($B62:H62),INT(I$6/$X61)*$X$7-I60*($X$7+$Z61)*($Y61-1)-SUM($B62:H62))+IF($Y61&gt;1,IF(INT(I$6/$X61)&gt;0,$Z61-$AA61,0),-$AA61)</f>
        <v>0</v>
      </c>
      <c r="J62" s="511" t="n">
        <f aca="false">IF(INT(J$6/$X61)*$X$7&gt;J60*($X$7+$Z61)*$Y61,J60*($X$7+$Z61)-SUM($B62:I62),INT(J$6/$X61)*$X$7-J60*($X$7+$Z61)*($Y61-1)-SUM($B62:I62))+IF($Y61&gt;1,IF(INT(J$6/$X61)&gt;0,$Z61-$AA61,0),-$AA61)</f>
        <v>0</v>
      </c>
      <c r="K62" s="511" t="n">
        <f aca="false">IF(INT(K$6/$X61)*$X$7&gt;K60*($X$7+$Z61)*$Y61,K60*($X$7+$Z61)-SUM($B62:J62),INT(K$6/$X61)*$X$7-K60*($X$7+$Z61)*($Y61-1)-SUM($B62:J62))+IF($Y61&gt;1,IF(INT(K$6/$X61)&gt;0,$Z61-$AA61,0),-$AA61)</f>
        <v>0</v>
      </c>
      <c r="L62" s="511" t="n">
        <f aca="false">IF(INT(L$6/$X61)*$X$7&gt;L60*($X$7+$Z61)*$Y61,L60*($X$7+$Z61)-SUM($B62:K62),INT(L$6/$X61)*$X$7-L60*($X$7+$Z61)*($Y61-1)-SUM($B62:K62))+IF($Y61&gt;1,IF(INT(L$6/$X61)&gt;0,$Z61-$AA61,0),-$AA61)</f>
        <v>0</v>
      </c>
      <c r="M62" s="511" t="n">
        <f aca="false">IF(INT(M$6/$X61)*$X$7&gt;M60*($X$7+$Z61)*$Y61,M60*($X$7+$Z61)-SUM($B62:L62),INT(M$6/$X61)*$X$7-M60*($X$7+$Z61)*($Y61-1)-SUM($B62:L62))+IF($Y61&gt;1,IF(INT(M$6/$X61)&gt;0,$Z61-$AA61,0),-$AA61)</f>
        <v>0</v>
      </c>
      <c r="N62" s="511" t="n">
        <f aca="false">IF(INT(N$6/$X61)*$X$7&gt;N60*($X$7+$Z61)*$Y61,N60*($X$7+$Z61)-SUM($B62:M62),INT(N$6/$X61)*$X$7-N60*($X$7+$Z61)*($Y61-1)-SUM($B62:M62))+IF($Y61&gt;1,IF(INT(N$6/$X61)&gt;0,$Z61-$AA61,0),-$AA61)</f>
        <v>2</v>
      </c>
      <c r="O62" s="511" t="n">
        <f aca="false">IF(INT(O$6/$X61)*$X$7&gt;O60*($X$7+$Z61)*$Y61,O60*($X$7+$Z61)-SUM($B62:N62),INT(O$6/$X61)*$X$7-O60*($X$7+$Z61)*($Y61-1)-SUM($B62:N62))+IF($Y61&gt;1,IF(INT(O$6/$X61)&gt;0,$Z61-$AA61,0),-$AA61)</f>
        <v>0</v>
      </c>
      <c r="P62" s="511" t="n">
        <f aca="false">IF(INT(P$6/$X61)*$X$7&gt;P60*($X$7+$Z61)*$Y61,P60*($X$7+$Z61)-SUM($B62:O62),INT(P$6/$X61)*$X$7-P60*($X$7+$Z61)*($Y61-1)-SUM($B62:O62))+IF($Y61&gt;1,IF(INT(P$6/$X61)&gt;0,$Z61-$AA61,0),-$AA61)</f>
        <v>0</v>
      </c>
      <c r="Q62" s="511" t="n">
        <f aca="false">IF(INT(Q$6/$X61)*$X$7&gt;Q60*($X$7+$Z61)*$Y61,Q60*($X$7+$Z61)-SUM($B62:P62),INT(Q$6/$X61)*$X$7-Q60*($X$7+$Z61)*($Y61-1)-SUM($B62:P62))+IF($Y61&gt;1,IF(INT(Q$6/$X61)&gt;0,$Z61-$AA61,0),-$AA61)</f>
        <v>1</v>
      </c>
      <c r="R62" s="511" t="n">
        <f aca="false">IF(INT(R$6/$X61)*$X$7&gt;R60*($X$7+$Z61)*$Y61,R60*($X$7+$Z61)-SUM($B62:Q62),INT(R$6/$X61)*$X$7-R60*($X$7+$Z61)*($Y61-1)-SUM($B62:Q62))+IF($Y61&gt;1,IF(INT(R$6/$X61)&gt;0,$Z61-$AA61,0),-$AA61)</f>
        <v>0</v>
      </c>
      <c r="S62" s="511" t="n">
        <f aca="false">IF(INT(S$6/$X61)*$X$7&gt;S60*($X$7+$Z61)*$Y61,S60*($X$7+$Z61)-SUM($B62:R62),INT(S$6/$X61)*$X$7-S60*($X$7+$Z61)*($Y61-1)-SUM($B62:R62))+IF($Y61&gt;1,IF(INT(S$6/$X61)&gt;0,$Z61-$AA61,0),-$AA61)</f>
        <v>0</v>
      </c>
      <c r="T62" s="511" t="n">
        <f aca="false">IF(INT(T$6/$X61)*$X$7&gt;T60*($X$7+$Z61)*$Y61,T60*($X$7+$Z61)-SUM($B62:S62),INT(T$6/$X61)*$X$7-T60*($X$7+$Z61)*($Y61-1)-SUM($B62:S62))+IF($Y61&gt;1,IF(INT(T$6/$X61)&gt;0,$Z61-$AA61,0),-$AA61)</f>
        <v>0</v>
      </c>
      <c r="U62" s="511" t="n">
        <f aca="false">IF(INT(U$6/$X61)*$X$7&gt;U60*($X$7+$Z61)*$Y61,U60*($X$7+$Z61)-SUM($B62:T62),INT(U$6/$X61)*$X$7-U60*($X$7+$Z61)*($Y61-1)-SUM($B62:T62))+IF($Y61&gt;1,IF(INT(U$6/$X61)&gt;0,$Z61-$AA61,0),-$AA61)</f>
        <v>0</v>
      </c>
      <c r="V62" s="511" t="n">
        <f aca="false">IF(INT(V$6/$X61)*$X$7&gt;V60*($X$7+$Z61)*$Y61,V60*($X$7+$Z61)-SUM($B62:U62),INT(V$6/$X61)*$X$7-V60*($X$7+$Z61)*($Y61-1)-SUM($B62:U62))+IF($Y61&gt;1,IF(INT(V$6/$X61)&gt;0,$Z61-$AA61,0),-$AA61)</f>
        <v>0</v>
      </c>
      <c r="W62" s="803"/>
      <c r="AA62" s="157"/>
      <c r="AB62" s="157"/>
    </row>
    <row r="63" customFormat="false" ht="12.75" hidden="false" customHeight="false" outlineLevel="0" collapsed="false">
      <c r="A63" s="157"/>
      <c r="B63" s="518"/>
      <c r="C63" s="518"/>
      <c r="D63" s="518"/>
      <c r="E63" s="518"/>
      <c r="F63" s="518"/>
      <c r="G63" s="518"/>
      <c r="H63" s="518"/>
      <c r="I63" s="518"/>
      <c r="J63" s="518"/>
      <c r="K63" s="518"/>
      <c r="L63" s="518"/>
      <c r="M63" s="518"/>
      <c r="N63" s="518"/>
      <c r="O63" s="518"/>
      <c r="P63" s="518"/>
      <c r="Q63" s="518"/>
      <c r="R63" s="518"/>
      <c r="S63" s="518"/>
      <c r="T63" s="518"/>
      <c r="U63" s="518"/>
      <c r="V63" s="518"/>
      <c r="W63" s="785"/>
      <c r="X63" s="157"/>
      <c r="Y63" s="157"/>
      <c r="Z63" s="157"/>
      <c r="AA63" s="157"/>
      <c r="AB63" s="157"/>
    </row>
    <row r="64" customFormat="false" ht="12.75" hidden="true" customHeight="false" outlineLevel="0" collapsed="false">
      <c r="A64" s="153" t="s">
        <v>1395</v>
      </c>
      <c r="B64" s="511"/>
      <c r="C64" s="153" t="n">
        <f aca="false">INT((INT(C$6/$X65)*$X$7+$X$7+$Z65-1)/($X$7+$Z65)/$Y65)</f>
        <v>0</v>
      </c>
      <c r="D64" s="153" t="n">
        <f aca="false">INT((INT(D$6/$X65)*$X$7+$X$7+$Z65-1)/($X$7+$Z65)/$Y65)</f>
        <v>0</v>
      </c>
      <c r="E64" s="153" t="n">
        <f aca="false">INT((INT(E$6/$X65)*$X$7+$X$7+$Z65-1)/($X$7+$Z65)/$Y65)</f>
        <v>0</v>
      </c>
      <c r="F64" s="153" t="n">
        <f aca="false">INT((INT(F$6/$X65)*$X$7+$X$7+$Z65-1)/($X$7+$Z65)/$Y65)</f>
        <v>0</v>
      </c>
      <c r="G64" s="153" t="n">
        <f aca="false">INT((INT(G$6/$X65)*$X$7+$X$7+$Z65-1)/($X$7+$Z65)/$Y65)</f>
        <v>0</v>
      </c>
      <c r="H64" s="153" t="n">
        <f aca="false">INT((INT(H$6/$X65)*$X$7+$X$7+$Z65-1)/($X$7+$Z65)/$Y65)</f>
        <v>0</v>
      </c>
      <c r="I64" s="153" t="n">
        <f aca="false">INT((INT(I$6/$X65)*$X$7+$X$7+$Z65-1)/($X$7+$Z65)/$Y65)</f>
        <v>0</v>
      </c>
      <c r="J64" s="153" t="n">
        <f aca="false">INT((INT(J$6/$X65)*$X$7+$X$7+$Z65-1)/($X$7+$Z65)/$Y65)</f>
        <v>0</v>
      </c>
      <c r="K64" s="153" t="n">
        <f aca="false">INT((INT(K$6/$X65)*$X$7+$X$7+$Z65-1)/($X$7+$Z65)/$Y65)</f>
        <v>0</v>
      </c>
      <c r="L64" s="153" t="n">
        <f aca="false">INT((INT(L$6/$X65)*$X$7+$X$7+$Z65-1)/($X$7+$Z65)/$Y65)</f>
        <v>0</v>
      </c>
      <c r="M64" s="153" t="n">
        <f aca="false">INT((INT(M$6/$X65)*$X$7+$X$7+$Z65-1)/($X$7+$Z65)/$Y65)</f>
        <v>0</v>
      </c>
      <c r="N64" s="153" t="n">
        <f aca="false">INT((INT(N$6/$X65)*$X$7+$X$7+$Z65-1)/($X$7+$Z65)/$Y65)</f>
        <v>1</v>
      </c>
      <c r="O64" s="153" t="n">
        <f aca="false">INT((INT(O$6/$X65)*$X$7+$X$7+$Z65-1)/($X$7+$Z65)/$Y65)</f>
        <v>1</v>
      </c>
      <c r="P64" s="153" t="n">
        <f aca="false">INT((INT(P$6/$X65)*$X$7+$X$7+$Z65-1)/($X$7+$Z65)/$Y65)</f>
        <v>1</v>
      </c>
      <c r="Q64" s="153" t="n">
        <f aca="false">INT((INT(Q$6/$X65)*$X$7+$X$7+$Z65-1)/($X$7+$Z65)/$Y65)</f>
        <v>1</v>
      </c>
      <c r="R64" s="153" t="n">
        <f aca="false">INT((INT(R$6/$X65)*$X$7+$X$7+$Z65-1)/($X$7+$Z65)/$Y65)</f>
        <v>1</v>
      </c>
      <c r="S64" s="153" t="n">
        <f aca="false">INT((INT(S$6/$X65)*$X$7+$X$7+$Z65-1)/($X$7+$Z65)/$Y65)</f>
        <v>1</v>
      </c>
      <c r="T64" s="153" t="n">
        <f aca="false">INT((INT(T$6/$X65)*$X$7+$X$7+$Z65-1)/($X$7+$Z65)/$Y65)</f>
        <v>1</v>
      </c>
      <c r="U64" s="153" t="n">
        <f aca="false">INT((INT(U$6/$X65)*$X$7+$X$7+$Z65-1)/($X$7+$Z65)/$Y65)</f>
        <v>1</v>
      </c>
      <c r="V64" s="153" t="n">
        <f aca="false">INT((INT(V$6/$X65)*$X$7+$X$7+$Z65-1)/($X$7+$Z65)/$Y65)</f>
        <v>1</v>
      </c>
      <c r="W64" s="157"/>
      <c r="X64" s="157"/>
      <c r="Y64" s="157"/>
      <c r="Z64" s="157"/>
      <c r="AA64" s="157"/>
      <c r="AB64" s="157"/>
    </row>
    <row r="65" customFormat="false" ht="12.75" hidden="false" customHeight="false" outlineLevel="0" collapsed="false">
      <c r="A65" s="153" t="s">
        <v>1396</v>
      </c>
      <c r="B65" s="511" t="s">
        <v>1007</v>
      </c>
      <c r="C65" s="511" t="n">
        <f aca="false">IF($Y65=1,0,$X$7*(INT(C$6/$X65)-INT(B$6/$X65))-IF(SUM($B65:B65)&gt;0,C66,0))</f>
        <v>0</v>
      </c>
      <c r="D65" s="511" t="n">
        <f aca="false">IF($Y65=1,0,$X$7*(INT(D$6/$X65)-INT(C$6/$X65))-IF(SUM($B65:C65)&gt;0,D66,0))</f>
        <v>0</v>
      </c>
      <c r="E65" s="511" t="n">
        <f aca="false">IF($Y65=1,0,$X$7*(INT(E$6/$X65)-INT(D$6/$X65))-IF(SUM($B65:D65)&gt;0,E66,0))</f>
        <v>2</v>
      </c>
      <c r="F65" s="511" t="n">
        <f aca="false">IF($Y65=1,0,$X$7*(INT(F$6/$X65)-INT(E$6/$X65))-IF(SUM($B65:E65)&gt;0,F66,0))</f>
        <v>0</v>
      </c>
      <c r="G65" s="511" t="n">
        <f aca="false">IF($Y65=1,0,$X$7*(INT(G$6/$X65)-INT(F$6/$X65))-IF(SUM($B65:F65)&gt;0,G66,0))</f>
        <v>0</v>
      </c>
      <c r="H65" s="511" t="n">
        <f aca="false">IF($Y65=1,0,$X$7*(INT(H$6/$X65)-INT(G$6/$X65))-IF(SUM($B65:G65)&gt;0,H66,0))</f>
        <v>2</v>
      </c>
      <c r="I65" s="511" t="n">
        <f aca="false">IF($Y65=1,0,$X$7*(INT(I$6/$X65)-INT(H$6/$X65))-IF(SUM($B65:H65)&gt;0,I66,0))</f>
        <v>0</v>
      </c>
      <c r="J65" s="511" t="n">
        <f aca="false">IF($Y65=1,0,$X$7*(INT(J$6/$X65)-INT(I$6/$X65))-IF(SUM($B65:I65)&gt;0,J66,0))</f>
        <v>0</v>
      </c>
      <c r="K65" s="511" t="n">
        <f aca="false">IF($Y65=1,0,$X$7*(INT(K$6/$X65)-INT(J$6/$X65))-IF(SUM($B65:J65)&gt;0,K66,0))</f>
        <v>2</v>
      </c>
      <c r="L65" s="511" t="n">
        <f aca="false">IF($Y65=1,0,$X$7*(INT(L$6/$X65)-INT(K$6/$X65))-IF(SUM($B65:K65)&gt;0,L66,0))</f>
        <v>0</v>
      </c>
      <c r="M65" s="511" t="n">
        <f aca="false">IF($Y65=1,0,$X$7*(INT(M$6/$X65)-INT(L$6/$X65))-IF(SUM($B65:L65)&gt;0,M66,0))</f>
        <v>0</v>
      </c>
      <c r="N65" s="511" t="n">
        <f aca="false">IF($Y65=1,0,$X$7*(INT(N$6/$X65)-INT(M$6/$X65))-IF(SUM($B65:M65)&gt;0,N66,0))</f>
        <v>0</v>
      </c>
      <c r="O65" s="511" t="n">
        <f aca="false">IF($Y65=1,0,$X$7*(INT(O$6/$X65)-INT(N$6/$X65))-IF(SUM($B65:N65)&gt;0,O66,0))</f>
        <v>0</v>
      </c>
      <c r="P65" s="511" t="n">
        <f aca="false">IF($Y65=1,0,$X$7*(INT(P$6/$X65)-INT(O$6/$X65))-IF(SUM($B65:O65)&gt;0,P66,0))</f>
        <v>0</v>
      </c>
      <c r="Q65" s="511" t="n">
        <f aca="false">IF($Y65=1,0,$X$7*(INT(Q$6/$X65)-INT(P$6/$X65))-IF(SUM($B65:P65)&gt;0,Q66,0))</f>
        <v>1</v>
      </c>
      <c r="R65" s="511" t="n">
        <f aca="false">IF($Y65=1,0,$X$7*(INT(R$6/$X65)-INT(Q$6/$X65))-IF(SUM($B65:Q65)&gt;0,R66,0))</f>
        <v>0</v>
      </c>
      <c r="S65" s="511" t="n">
        <f aca="false">IF($Y65=1,0,$X$7*(INT(S$6/$X65)-INT(R$6/$X65))-IF(SUM($B65:R65)&gt;0,S66,0))</f>
        <v>0</v>
      </c>
      <c r="T65" s="511" t="n">
        <f aca="false">IF($Y65=1,0,$X$7*(INT(T$6/$X65)-INT(S$6/$X65))-IF(SUM($B65:S65)&gt;0,T66,0))</f>
        <v>2</v>
      </c>
      <c r="U65" s="511" t="n">
        <f aca="false">IF($Y65=1,0,$X$7*(INT(U$6/$X65)-INT(T$6/$X65))-IF(SUM($B65:T65)&gt;0,U66,0))</f>
        <v>0</v>
      </c>
      <c r="V65" s="511" t="n">
        <f aca="false">IF($Y65=1,0,$X$7*(INT(V$6/$X65)-INT(U$6/$X65))-IF(SUM($B65:U65)&gt;0,V66,0))</f>
        <v>0</v>
      </c>
      <c r="W65" s="799" t="str">
        <f aca="false">'GT schd cost(7FA)'!A25</f>
        <v>2nd Stage Shroud Blocks</v>
      </c>
      <c r="X65" s="800" t="n">
        <f aca="false">IF($AD$6=1,'GTDB(7FA)'!B28,'GTDB(7FA)'!G28)</f>
        <v>24000</v>
      </c>
      <c r="Y65" s="800" t="n">
        <f aca="false">IF($AD$6=1,'GTDB(7FA)'!C28,'GTDB(7FA)'!H28)</f>
        <v>3</v>
      </c>
      <c r="Z65" s="801" t="n">
        <v>1</v>
      </c>
      <c r="AA65" s="805" t="n">
        <f aca="false">'Initial_Spares(7FA)'!$E$22</f>
        <v>0</v>
      </c>
      <c r="AB65" s="764" t="n">
        <f aca="false">'GT schd cost(7FA)'!X25+'GT schd cost(7FA)'!X48</f>
        <v>3064.232</v>
      </c>
    </row>
    <row r="66" customFormat="false" ht="12.75" hidden="false" customHeight="false" outlineLevel="0" collapsed="false">
      <c r="A66" s="153" t="s">
        <v>1397</v>
      </c>
      <c r="B66" s="511" t="s">
        <v>1007</v>
      </c>
      <c r="C66" s="511" t="n">
        <f aca="false">IF(INT(C$6/$X65)*$X$7&gt;C64*($X$7+$Z65)*$Y65,C64*($X$7+$Z65)-SUM($B66:B66),INT(C$6/$X65)*$X$7-C64*($X$7+$Z65)*($Y65-1)-SUM($B66:B66))+IF($Y65&gt;1,IF(INT(C$6/$X65)&gt;0,$Z65-$AA65,0),-$AA65)</f>
        <v>0</v>
      </c>
      <c r="D66" s="511" t="n">
        <f aca="false">IF(INT(D$6/$X65)*$X$7&gt;D64*($X$7+$Z65)*$Y65,D64*($X$7+$Z65)-SUM($B66:C66),INT(D$6/$X65)*$X$7-D64*($X$7+$Z65)*($Y65-1)-SUM($B66:C66))+IF($Y65&gt;1,IF(INT(D$6/$X65)&gt;0,$Z65-$AA65,0),-$AA65)</f>
        <v>0</v>
      </c>
      <c r="E66" s="511" t="n">
        <f aca="false">IF(INT(E$6/$X65)*$X$7&gt;E64*($X$7+$Z65)*$Y65,E64*($X$7+$Z65)-SUM($B66:D66),INT(E$6/$X65)*$X$7-E64*($X$7+$Z65)*($Y65-1)-SUM($B66:D66))+IF($Y65&gt;1,IF(INT(E$6/$X65)&gt;0,$Z65-$AA65,0),-$AA65)</f>
        <v>1</v>
      </c>
      <c r="F66" s="511" t="n">
        <f aca="false">IF(INT(F$6/$X65)*$X$7&gt;F64*($X$7+$Z65)*$Y65,F64*($X$7+$Z65)-SUM($B66:E66),INT(F$6/$X65)*$X$7-F64*($X$7+$Z65)*($Y65-1)-SUM($B66:E66))+IF($Y65&gt;1,IF(INT(F$6/$X65)&gt;0,$Z65-$AA65,0),-$AA65)</f>
        <v>0</v>
      </c>
      <c r="G66" s="511" t="n">
        <f aca="false">IF(INT(G$6/$X65)*$X$7&gt;G64*($X$7+$Z65)*$Y65,G64*($X$7+$Z65)-SUM($B66:F66),INT(G$6/$X65)*$X$7-G64*($X$7+$Z65)*($Y65-1)-SUM($B66:F66))+IF($Y65&gt;1,IF(INT(G$6/$X65)&gt;0,$Z65-$AA65,0),-$AA65)</f>
        <v>0</v>
      </c>
      <c r="H66" s="511" t="n">
        <f aca="false">IF(INT(H$6/$X65)*$X$7&gt;H64*($X$7+$Z65)*$Y65,H64*($X$7+$Z65)-SUM($B66:G66),INT(H$6/$X65)*$X$7-H64*($X$7+$Z65)*($Y65-1)-SUM($B66:G66))+IF($Y65&gt;1,IF(INT(H$6/$X65)&gt;0,$Z65-$AA65,0),-$AA65)</f>
        <v>0</v>
      </c>
      <c r="I66" s="511" t="n">
        <f aca="false">IF(INT(I$6/$X65)*$X$7&gt;I64*($X$7+$Z65)*$Y65,I64*($X$7+$Z65)-SUM($B66:H66),INT(I$6/$X65)*$X$7-I64*($X$7+$Z65)*($Y65-1)-SUM($B66:H66))+IF($Y65&gt;1,IF(INT(I$6/$X65)&gt;0,$Z65-$AA65,0),-$AA65)</f>
        <v>0</v>
      </c>
      <c r="J66" s="511" t="n">
        <f aca="false">IF(INT(J$6/$X65)*$X$7&gt;J64*($X$7+$Z65)*$Y65,J64*($X$7+$Z65)-SUM($B66:I66),INT(J$6/$X65)*$X$7-J64*($X$7+$Z65)*($Y65-1)-SUM($B66:I66))+IF($Y65&gt;1,IF(INT(J$6/$X65)&gt;0,$Z65-$AA65,0),-$AA65)</f>
        <v>0</v>
      </c>
      <c r="K66" s="511" t="n">
        <f aca="false">IF(INT(K$6/$X65)*$X$7&gt;K64*($X$7+$Z65)*$Y65,K64*($X$7+$Z65)-SUM($B66:J66),INT(K$6/$X65)*$X$7-K64*($X$7+$Z65)*($Y65-1)-SUM($B66:J66))+IF($Y65&gt;1,IF(INT(K$6/$X65)&gt;0,$Z65-$AA65,0),-$AA65)</f>
        <v>0</v>
      </c>
      <c r="L66" s="511" t="n">
        <f aca="false">IF(INT(L$6/$X65)*$X$7&gt;L64*($X$7+$Z65)*$Y65,L64*($X$7+$Z65)-SUM($B66:K66),INT(L$6/$X65)*$X$7-L64*($X$7+$Z65)*($Y65-1)-SUM($B66:K66))+IF($Y65&gt;1,IF(INT(L$6/$X65)&gt;0,$Z65-$AA65,0),-$AA65)</f>
        <v>0</v>
      </c>
      <c r="M66" s="511" t="n">
        <f aca="false">IF(INT(M$6/$X65)*$X$7&gt;M64*($X$7+$Z65)*$Y65,M64*($X$7+$Z65)-SUM($B66:L66),INT(M$6/$X65)*$X$7-M64*($X$7+$Z65)*($Y65-1)-SUM($B66:L66))+IF($Y65&gt;1,IF(INT(M$6/$X65)&gt;0,$Z65-$AA65,0),-$AA65)</f>
        <v>0</v>
      </c>
      <c r="N66" s="511" t="n">
        <f aca="false">IF(INT(N$6/$X65)*$X$7&gt;N64*($X$7+$Z65)*$Y65,N64*($X$7+$Z65)-SUM($B66:M66),INT(N$6/$X65)*$X$7-N64*($X$7+$Z65)*($Y65-1)-SUM($B66:M66))+IF($Y65&gt;1,IF(INT(N$6/$X65)&gt;0,$Z65-$AA65,0),-$AA65)</f>
        <v>2</v>
      </c>
      <c r="O66" s="511" t="n">
        <f aca="false">IF(INT(O$6/$X65)*$X$7&gt;O64*($X$7+$Z65)*$Y65,O64*($X$7+$Z65)-SUM($B66:N66),INT(O$6/$X65)*$X$7-O64*($X$7+$Z65)*($Y65-1)-SUM($B66:N66))+IF($Y65&gt;1,IF(INT(O$6/$X65)&gt;0,$Z65-$AA65,0),-$AA65)</f>
        <v>0</v>
      </c>
      <c r="P66" s="511" t="n">
        <f aca="false">IF(INT(P$6/$X65)*$X$7&gt;P64*($X$7+$Z65)*$Y65,P64*($X$7+$Z65)-SUM($B66:O66),INT(P$6/$X65)*$X$7-P64*($X$7+$Z65)*($Y65-1)-SUM($B66:O66))+IF($Y65&gt;1,IF(INT(P$6/$X65)&gt;0,$Z65-$AA65,0),-$AA65)</f>
        <v>0</v>
      </c>
      <c r="Q66" s="511" t="n">
        <f aca="false">IF(INT(Q$6/$X65)*$X$7&gt;Q64*($X$7+$Z65)*$Y65,Q64*($X$7+$Z65)-SUM($B66:P66),INT(Q$6/$X65)*$X$7-Q64*($X$7+$Z65)*($Y65-1)-SUM($B66:P66))+IF($Y65&gt;1,IF(INT(Q$6/$X65)&gt;0,$Z65-$AA65,0),-$AA65)</f>
        <v>1</v>
      </c>
      <c r="R66" s="511" t="n">
        <f aca="false">IF(INT(R$6/$X65)*$X$7&gt;R64*($X$7+$Z65)*$Y65,R64*($X$7+$Z65)-SUM($B66:Q66),INT(R$6/$X65)*$X$7-R64*($X$7+$Z65)*($Y65-1)-SUM($B66:Q66))+IF($Y65&gt;1,IF(INT(R$6/$X65)&gt;0,$Z65-$AA65,0),-$AA65)</f>
        <v>0</v>
      </c>
      <c r="S66" s="511" t="n">
        <f aca="false">IF(INT(S$6/$X65)*$X$7&gt;S64*($X$7+$Z65)*$Y65,S64*($X$7+$Z65)-SUM($B66:R66),INT(S$6/$X65)*$X$7-S64*($X$7+$Z65)*($Y65-1)-SUM($B66:R66))+IF($Y65&gt;1,IF(INT(S$6/$X65)&gt;0,$Z65-$AA65,0),-$AA65)</f>
        <v>0</v>
      </c>
      <c r="T66" s="511" t="n">
        <f aca="false">IF(INT(T$6/$X65)*$X$7&gt;T64*($X$7+$Z65)*$Y65,T64*($X$7+$Z65)-SUM($B66:S66),INT(T$6/$X65)*$X$7-T64*($X$7+$Z65)*($Y65-1)-SUM($B66:S66))+IF($Y65&gt;1,IF(INT(T$6/$X65)&gt;0,$Z65-$AA65,0),-$AA65)</f>
        <v>0</v>
      </c>
      <c r="U66" s="511" t="n">
        <f aca="false">IF(INT(U$6/$X65)*$X$7&gt;U64*($X$7+$Z65)*$Y65,U64*($X$7+$Z65)-SUM($B66:T66),INT(U$6/$X65)*$X$7-U64*($X$7+$Z65)*($Y65-1)-SUM($B66:T66))+IF($Y65&gt;1,IF(INT(U$6/$X65)&gt;0,$Z65-$AA65,0),-$AA65)</f>
        <v>0</v>
      </c>
      <c r="V66" s="511" t="n">
        <f aca="false">IF(INT(V$6/$X65)*$X$7&gt;V64*($X$7+$Z65)*$Y65,V64*($X$7+$Z65)-SUM($B66:U66),INT(V$6/$X65)*$X$7-V64*($X$7+$Z65)*($Y65-1)-SUM($B66:U66))+IF($Y65&gt;1,IF(INT(V$6/$X65)&gt;0,$Z65-$AA65,0),-$AA65)</f>
        <v>0</v>
      </c>
      <c r="W66" s="803"/>
      <c r="AA66" s="157"/>
      <c r="AB66" s="157"/>
    </row>
    <row r="67" customFormat="false" ht="12.75" hidden="false" customHeight="false" outlineLevel="0" collapsed="false">
      <c r="A67" s="157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785"/>
      <c r="X67" s="157"/>
      <c r="Y67" s="157"/>
      <c r="Z67" s="157"/>
      <c r="AA67" s="157"/>
      <c r="AB67" s="157"/>
    </row>
    <row r="68" customFormat="false" ht="12.75" hidden="true" customHeight="false" outlineLevel="0" collapsed="false">
      <c r="A68" s="153" t="s">
        <v>1395</v>
      </c>
      <c r="B68" s="511"/>
      <c r="C68" s="153" t="n">
        <f aca="false">INT((INT(C$6/$X69)*$X$7+$X$7+$Z69-1)/($X$7+$Z69)/$Y69)</f>
        <v>0</v>
      </c>
      <c r="D68" s="153" t="n">
        <f aca="false">INT((INT(D$6/$X69)*$X$7+$X$7+$Z69-1)/($X$7+$Z69)/$Y69)</f>
        <v>0</v>
      </c>
      <c r="E68" s="153" t="n">
        <f aca="false">INT((INT(E$6/$X69)*$X$7+$X$7+$Z69-1)/($X$7+$Z69)/$Y69)</f>
        <v>0</v>
      </c>
      <c r="F68" s="153" t="n">
        <f aca="false">INT((INT(F$6/$X69)*$X$7+$X$7+$Z69-1)/($X$7+$Z69)/$Y69)</f>
        <v>0</v>
      </c>
      <c r="G68" s="153" t="n">
        <f aca="false">INT((INT(G$6/$X69)*$X$7+$X$7+$Z69-1)/($X$7+$Z69)/$Y69)</f>
        <v>0</v>
      </c>
      <c r="H68" s="153" t="n">
        <f aca="false">INT((INT(H$6/$X69)*$X$7+$X$7+$Z69-1)/($X$7+$Z69)/$Y69)</f>
        <v>0</v>
      </c>
      <c r="I68" s="153" t="n">
        <f aca="false">INT((INT(I$6/$X69)*$X$7+$X$7+$Z69-1)/($X$7+$Z69)/$Y69)</f>
        <v>0</v>
      </c>
      <c r="J68" s="153" t="n">
        <f aca="false">INT((INT(J$6/$X69)*$X$7+$X$7+$Z69-1)/($X$7+$Z69)/$Y69)</f>
        <v>0</v>
      </c>
      <c r="K68" s="153" t="n">
        <f aca="false">INT((INT(K$6/$X69)*$X$7+$X$7+$Z69-1)/($X$7+$Z69)/$Y69)</f>
        <v>0</v>
      </c>
      <c r="L68" s="153" t="n">
        <f aca="false">INT((INT(L$6/$X69)*$X$7+$X$7+$Z69-1)/($X$7+$Z69)/$Y69)</f>
        <v>0</v>
      </c>
      <c r="M68" s="153" t="n">
        <f aca="false">INT((INT(M$6/$X69)*$X$7+$X$7+$Z69-1)/($X$7+$Z69)/$Y69)</f>
        <v>0</v>
      </c>
      <c r="N68" s="153" t="n">
        <f aca="false">INT((INT(N$6/$X69)*$X$7+$X$7+$Z69-1)/($X$7+$Z69)/$Y69)</f>
        <v>1</v>
      </c>
      <c r="O68" s="153" t="n">
        <f aca="false">INT((INT(O$6/$X69)*$X$7+$X$7+$Z69-1)/($X$7+$Z69)/$Y69)</f>
        <v>1</v>
      </c>
      <c r="P68" s="153" t="n">
        <f aca="false">INT((INT(P$6/$X69)*$X$7+$X$7+$Z69-1)/($X$7+$Z69)/$Y69)</f>
        <v>1</v>
      </c>
      <c r="Q68" s="153" t="n">
        <f aca="false">INT((INT(Q$6/$X69)*$X$7+$X$7+$Z69-1)/($X$7+$Z69)/$Y69)</f>
        <v>1</v>
      </c>
      <c r="R68" s="153" t="n">
        <f aca="false">INT((INT(R$6/$X69)*$X$7+$X$7+$Z69-1)/($X$7+$Z69)/$Y69)</f>
        <v>1</v>
      </c>
      <c r="S68" s="153" t="n">
        <f aca="false">INT((INT(S$6/$X69)*$X$7+$X$7+$Z69-1)/($X$7+$Z69)/$Y69)</f>
        <v>1</v>
      </c>
      <c r="T68" s="153" t="n">
        <f aca="false">INT((INT(T$6/$X69)*$X$7+$X$7+$Z69-1)/($X$7+$Z69)/$Y69)</f>
        <v>1</v>
      </c>
      <c r="U68" s="153" t="n">
        <f aca="false">INT((INT(U$6/$X69)*$X$7+$X$7+$Z69-1)/($X$7+$Z69)/$Y69)</f>
        <v>1</v>
      </c>
      <c r="V68" s="153" t="n">
        <f aca="false">INT((INT(V$6/$X69)*$X$7+$X$7+$Z69-1)/($X$7+$Z69)/$Y69)</f>
        <v>1</v>
      </c>
      <c r="W68" s="157"/>
      <c r="X68" s="157"/>
      <c r="Y68" s="157"/>
      <c r="Z68" s="157"/>
      <c r="AA68" s="157"/>
      <c r="AB68" s="157"/>
    </row>
    <row r="69" customFormat="false" ht="12.75" hidden="false" customHeight="false" outlineLevel="0" collapsed="false">
      <c r="A69" s="153" t="s">
        <v>1396</v>
      </c>
      <c r="B69" s="511" t="s">
        <v>1007</v>
      </c>
      <c r="C69" s="511" t="n">
        <f aca="false">IF($Y69=1,0,$X$7*(INT(C$6/$X69)-INT(B$6/$X69))-IF(SUM($B69:B69)&gt;0,C70,0))</f>
        <v>0</v>
      </c>
      <c r="D69" s="511" t="n">
        <f aca="false">IF($Y69=1,0,$X$7*(INT(D$6/$X69)-INT(C$6/$X69))-IF(SUM($B69:C69)&gt;0,D70,0))</f>
        <v>0</v>
      </c>
      <c r="E69" s="511" t="n">
        <f aca="false">IF($Y69=1,0,$X$7*(INT(E$6/$X69)-INT(D$6/$X69))-IF(SUM($B69:D69)&gt;0,E70,0))</f>
        <v>2</v>
      </c>
      <c r="F69" s="511" t="n">
        <f aca="false">IF($Y69=1,0,$X$7*(INT(F$6/$X69)-INT(E$6/$X69))-IF(SUM($B69:E69)&gt;0,F70,0))</f>
        <v>0</v>
      </c>
      <c r="G69" s="511" t="n">
        <f aca="false">IF($Y69=1,0,$X$7*(INT(G$6/$X69)-INT(F$6/$X69))-IF(SUM($B69:F69)&gt;0,G70,0))</f>
        <v>0</v>
      </c>
      <c r="H69" s="511" t="n">
        <f aca="false">IF($Y69=1,0,$X$7*(INT(H$6/$X69)-INT(G$6/$X69))-IF(SUM($B69:G69)&gt;0,H70,0))</f>
        <v>2</v>
      </c>
      <c r="I69" s="511" t="n">
        <f aca="false">IF($Y69=1,0,$X$7*(INT(I$6/$X69)-INT(H$6/$X69))-IF(SUM($B69:H69)&gt;0,I70,0))</f>
        <v>0</v>
      </c>
      <c r="J69" s="511" t="n">
        <f aca="false">IF($Y69=1,0,$X$7*(INT(J$6/$X69)-INT(I$6/$X69))-IF(SUM($B69:I69)&gt;0,J70,0))</f>
        <v>0</v>
      </c>
      <c r="K69" s="511" t="n">
        <f aca="false">IF($Y69=1,0,$X$7*(INT(K$6/$X69)-INT(J$6/$X69))-IF(SUM($B69:J69)&gt;0,K70,0))</f>
        <v>2</v>
      </c>
      <c r="L69" s="511" t="n">
        <f aca="false">IF($Y69=1,0,$X$7*(INT(L$6/$X69)-INT(K$6/$X69))-IF(SUM($B69:K69)&gt;0,L70,0))</f>
        <v>0</v>
      </c>
      <c r="M69" s="511" t="n">
        <f aca="false">IF($Y69=1,0,$X$7*(INT(M$6/$X69)-INT(L$6/$X69))-IF(SUM($B69:L69)&gt;0,M70,0))</f>
        <v>0</v>
      </c>
      <c r="N69" s="511" t="n">
        <f aca="false">IF($Y69=1,0,$X$7*(INT(N$6/$X69)-INT(M$6/$X69))-IF(SUM($B69:M69)&gt;0,N70,0))</f>
        <v>0</v>
      </c>
      <c r="O69" s="511" t="n">
        <f aca="false">IF($Y69=1,0,$X$7*(INT(O$6/$X69)-INT(N$6/$X69))-IF(SUM($B69:N69)&gt;0,O70,0))</f>
        <v>0</v>
      </c>
      <c r="P69" s="511" t="n">
        <f aca="false">IF($Y69=1,0,$X$7*(INT(P$6/$X69)-INT(O$6/$X69))-IF(SUM($B69:O69)&gt;0,P70,0))</f>
        <v>0</v>
      </c>
      <c r="Q69" s="511" t="n">
        <f aca="false">IF($Y69=1,0,$X$7*(INT(Q$6/$X69)-INT(P$6/$X69))-IF(SUM($B69:P69)&gt;0,Q70,0))</f>
        <v>1</v>
      </c>
      <c r="R69" s="511" t="n">
        <f aca="false">IF($Y69=1,0,$X$7*(INT(R$6/$X69)-INT(Q$6/$X69))-IF(SUM($B69:Q69)&gt;0,R70,0))</f>
        <v>0</v>
      </c>
      <c r="S69" s="511" t="n">
        <f aca="false">IF($Y69=1,0,$X$7*(INT(S$6/$X69)-INT(R$6/$X69))-IF(SUM($B69:R69)&gt;0,S70,0))</f>
        <v>0</v>
      </c>
      <c r="T69" s="511" t="n">
        <f aca="false">IF($Y69=1,0,$X$7*(INT(T$6/$X69)-INT(S$6/$X69))-IF(SUM($B69:S69)&gt;0,T70,0))</f>
        <v>2</v>
      </c>
      <c r="U69" s="511" t="n">
        <f aca="false">IF($Y69=1,0,$X$7*(INT(U$6/$X69)-INT(T$6/$X69))-IF(SUM($B69:T69)&gt;0,U70,0))</f>
        <v>0</v>
      </c>
      <c r="V69" s="511" t="n">
        <f aca="false">IF($Y69=1,0,$X$7*(INT(V$6/$X69)-INT(U$6/$X69))-IF(SUM($B69:U69)&gt;0,V70,0))</f>
        <v>0</v>
      </c>
      <c r="W69" s="800" t="str">
        <f aca="false">'GT schd cost(7FA)'!A26</f>
        <v>3rd Stage Shroud Blocks</v>
      </c>
      <c r="X69" s="800" t="n">
        <f aca="false">IF($AD$6=1,'GTDB(7FA)'!B29,'GTDB(7FA)'!G29)</f>
        <v>24000</v>
      </c>
      <c r="Y69" s="800" t="n">
        <f aca="false">IF($AD$6=1,'GTDB(7FA)'!C29,'GTDB(7FA)'!H29)</f>
        <v>3</v>
      </c>
      <c r="Z69" s="801" t="n">
        <v>1</v>
      </c>
      <c r="AA69" s="805" t="n">
        <f aca="false">'Initial_Spares(7FA)'!$E$23</f>
        <v>0</v>
      </c>
      <c r="AB69" s="807" t="n">
        <f aca="false">'GT schd cost(7FA)'!X26+'GT schd cost(7FA)'!X49</f>
        <v>2782.316</v>
      </c>
    </row>
    <row r="70" customFormat="false" ht="12.75" hidden="false" customHeight="false" outlineLevel="0" collapsed="false">
      <c r="A70" s="153" t="s">
        <v>1397</v>
      </c>
      <c r="B70" s="511" t="s">
        <v>1007</v>
      </c>
      <c r="C70" s="511" t="n">
        <f aca="false">IF(INT(C$6/$X69)*$X$7&gt;C68*($X$7+$Z69)*$Y69,C68*($X$7+$Z69)-SUM($B70:B70),INT(C$6/$X69)*$X$7-C68*($X$7+$Z69)*($Y69-1)-SUM($B70:B70))+IF($Y69&gt;1,IF(INT(C$6/$X69)&gt;0,$Z69-$AA69,0),-$AA69)</f>
        <v>0</v>
      </c>
      <c r="D70" s="511" t="n">
        <f aca="false">IF(INT(D$6/$X69)*$X$7&gt;D68*($X$7+$Z69)*$Y69,D68*($X$7+$Z69)-SUM($B70:C70),INT(D$6/$X69)*$X$7-D68*($X$7+$Z69)*($Y69-1)-SUM($B70:C70))+IF($Y69&gt;1,IF(INT(D$6/$X69)&gt;0,$Z69-$AA69,0),-$AA69)</f>
        <v>0</v>
      </c>
      <c r="E70" s="511" t="n">
        <f aca="false">IF(INT(E$6/$X69)*$X$7&gt;E68*($X$7+$Z69)*$Y69,E68*($X$7+$Z69)-SUM($B70:D70),INT(E$6/$X69)*$X$7-E68*($X$7+$Z69)*($Y69-1)-SUM($B70:D70))+IF($Y69&gt;1,IF(INT(E$6/$X69)&gt;0,$Z69-$AA69,0),-$AA69)</f>
        <v>1</v>
      </c>
      <c r="F70" s="511" t="n">
        <f aca="false">IF(INT(F$6/$X69)*$X$7&gt;F68*($X$7+$Z69)*$Y69,F68*($X$7+$Z69)-SUM($B70:E70),INT(F$6/$X69)*$X$7-F68*($X$7+$Z69)*($Y69-1)-SUM($B70:E70))+IF($Y69&gt;1,IF(INT(F$6/$X69)&gt;0,$Z69-$AA69,0),-$AA69)</f>
        <v>0</v>
      </c>
      <c r="G70" s="511" t="n">
        <f aca="false">IF(INT(G$6/$X69)*$X$7&gt;G68*($X$7+$Z69)*$Y69,G68*($X$7+$Z69)-SUM($B70:F70),INT(G$6/$X69)*$X$7-G68*($X$7+$Z69)*($Y69-1)-SUM($B70:F70))+IF($Y69&gt;1,IF(INT(G$6/$X69)&gt;0,$Z69-$AA69,0),-$AA69)</f>
        <v>0</v>
      </c>
      <c r="H70" s="511" t="n">
        <f aca="false">IF(INT(H$6/$X69)*$X$7&gt;H68*($X$7+$Z69)*$Y69,H68*($X$7+$Z69)-SUM($B70:G70),INT(H$6/$X69)*$X$7-H68*($X$7+$Z69)*($Y69-1)-SUM($B70:G70))+IF($Y69&gt;1,IF(INT(H$6/$X69)&gt;0,$Z69-$AA69,0),-$AA69)</f>
        <v>0</v>
      </c>
      <c r="I70" s="511" t="n">
        <f aca="false">IF(INT(I$6/$X69)*$X$7&gt;I68*($X$7+$Z69)*$Y69,I68*($X$7+$Z69)-SUM($B70:H70),INT(I$6/$X69)*$X$7-I68*($X$7+$Z69)*($Y69-1)-SUM($B70:H70))+IF($Y69&gt;1,IF(INT(I$6/$X69)&gt;0,$Z69-$AA69,0),-$AA69)</f>
        <v>0</v>
      </c>
      <c r="J70" s="511" t="n">
        <f aca="false">IF(INT(J$6/$X69)*$X$7&gt;J68*($X$7+$Z69)*$Y69,J68*($X$7+$Z69)-SUM($B70:I70),INT(J$6/$X69)*$X$7-J68*($X$7+$Z69)*($Y69-1)-SUM($B70:I70))+IF($Y69&gt;1,IF(INT(J$6/$X69)&gt;0,$Z69-$AA69,0),-$AA69)</f>
        <v>0</v>
      </c>
      <c r="K70" s="511" t="n">
        <f aca="false">IF(INT(K$6/$X69)*$X$7&gt;K68*($X$7+$Z69)*$Y69,K68*($X$7+$Z69)-SUM($B70:J70),INT(K$6/$X69)*$X$7-K68*($X$7+$Z69)*($Y69-1)-SUM($B70:J70))+IF($Y69&gt;1,IF(INT(K$6/$X69)&gt;0,$Z69-$AA69,0),-$AA69)</f>
        <v>0</v>
      </c>
      <c r="L70" s="511" t="n">
        <f aca="false">IF(INT(L$6/$X69)*$X$7&gt;L68*($X$7+$Z69)*$Y69,L68*($X$7+$Z69)-SUM($B70:K70),INT(L$6/$X69)*$X$7-L68*($X$7+$Z69)*($Y69-1)-SUM($B70:K70))+IF($Y69&gt;1,IF(INT(L$6/$X69)&gt;0,$Z69-$AA69,0),-$AA69)</f>
        <v>0</v>
      </c>
      <c r="M70" s="511" t="n">
        <f aca="false">IF(INT(M$6/$X69)*$X$7&gt;M68*($X$7+$Z69)*$Y69,M68*($X$7+$Z69)-SUM($B70:L70),INT(M$6/$X69)*$X$7-M68*($X$7+$Z69)*($Y69-1)-SUM($B70:L70))+IF($Y69&gt;1,IF(INT(M$6/$X69)&gt;0,$Z69-$AA69,0),-$AA69)</f>
        <v>0</v>
      </c>
      <c r="N70" s="511" t="n">
        <f aca="false">IF(INT(N$6/$X69)*$X$7&gt;N68*($X$7+$Z69)*$Y69,N68*($X$7+$Z69)-SUM($B70:M70),INT(N$6/$X69)*$X$7-N68*($X$7+$Z69)*($Y69-1)-SUM($B70:M70))+IF($Y69&gt;1,IF(INT(N$6/$X69)&gt;0,$Z69-$AA69,0),-$AA69)</f>
        <v>2</v>
      </c>
      <c r="O70" s="511" t="n">
        <f aca="false">IF(INT(O$6/$X69)*$X$7&gt;O68*($X$7+$Z69)*$Y69,O68*($X$7+$Z69)-SUM($B70:N70),INT(O$6/$X69)*$X$7-O68*($X$7+$Z69)*($Y69-1)-SUM($B70:N70))+IF($Y69&gt;1,IF(INT(O$6/$X69)&gt;0,$Z69-$AA69,0),-$AA69)</f>
        <v>0</v>
      </c>
      <c r="P70" s="511" t="n">
        <f aca="false">IF(INT(P$6/$X69)*$X$7&gt;P68*($X$7+$Z69)*$Y69,P68*($X$7+$Z69)-SUM($B70:O70),INT(P$6/$X69)*$X$7-P68*($X$7+$Z69)*($Y69-1)-SUM($B70:O70))+IF($Y69&gt;1,IF(INT(P$6/$X69)&gt;0,$Z69-$AA69,0),-$AA69)</f>
        <v>0</v>
      </c>
      <c r="Q70" s="511" t="n">
        <f aca="false">IF(INT(Q$6/$X69)*$X$7&gt;Q68*($X$7+$Z69)*$Y69,Q68*($X$7+$Z69)-SUM($B70:P70),INT(Q$6/$X69)*$X$7-Q68*($X$7+$Z69)*($Y69-1)-SUM($B70:P70))+IF($Y69&gt;1,IF(INT(Q$6/$X69)&gt;0,$Z69-$AA69,0),-$AA69)</f>
        <v>1</v>
      </c>
      <c r="R70" s="511" t="n">
        <f aca="false">IF(INT(R$6/$X69)*$X$7&gt;R68*($X$7+$Z69)*$Y69,R68*($X$7+$Z69)-SUM($B70:Q70),INT(R$6/$X69)*$X$7-R68*($X$7+$Z69)*($Y69-1)-SUM($B70:Q70))+IF($Y69&gt;1,IF(INT(R$6/$X69)&gt;0,$Z69-$AA69,0),-$AA69)</f>
        <v>0</v>
      </c>
      <c r="S70" s="511" t="n">
        <f aca="false">IF(INT(S$6/$X69)*$X$7&gt;S68*($X$7+$Z69)*$Y69,S68*($X$7+$Z69)-SUM($B70:R70),INT(S$6/$X69)*$X$7-S68*($X$7+$Z69)*($Y69-1)-SUM($B70:R70))+IF($Y69&gt;1,IF(INT(S$6/$X69)&gt;0,$Z69-$AA69,0),-$AA69)</f>
        <v>0</v>
      </c>
      <c r="T70" s="511" t="n">
        <f aca="false">IF(INT(T$6/$X69)*$X$7&gt;T68*($X$7+$Z69)*$Y69,T68*($X$7+$Z69)-SUM($B70:S70),INT(T$6/$X69)*$X$7-T68*($X$7+$Z69)*($Y69-1)-SUM($B70:S70))+IF($Y69&gt;1,IF(INT(T$6/$X69)&gt;0,$Z69-$AA69,0),-$AA69)</f>
        <v>0</v>
      </c>
      <c r="U70" s="511" t="n">
        <f aca="false">IF(INT(U$6/$X69)*$X$7&gt;U68*($X$7+$Z69)*$Y69,U68*($X$7+$Z69)-SUM($B70:T70),INT(U$6/$X69)*$X$7-U68*($X$7+$Z69)*($Y69-1)-SUM($B70:T70))+IF($Y69&gt;1,IF(INT(U$6/$X69)&gt;0,$Z69-$AA69,0),-$AA69)</f>
        <v>0</v>
      </c>
      <c r="V70" s="511" t="n">
        <f aca="false">IF(INT(V$6/$X69)*$X$7&gt;V68*($X$7+$Z69)*$Y69,V68*($X$7+$Z69)-SUM($B70:U70),INT(V$6/$X69)*$X$7-V68*($X$7+$Z69)*($Y69-1)-SUM($B70:U70))+IF($Y69&gt;1,IF(INT(V$6/$X69)&gt;0,$Z69-$AA69,0),-$AA69)</f>
        <v>0</v>
      </c>
      <c r="W70" s="803"/>
      <c r="AA70" s="157"/>
      <c r="AB70" s="15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47" fitToWidth="1" fitToHeight="1" pageOrder="downThenOver" orientation="landscape" blackAndWhite="false" draft="false" cellComments="none" firstPageNumber="34" useFirstPageNumber="true" horizontalDpi="300" verticalDpi="300" copies="1"/>
  <headerFooter differentFirst="false" differentOddEven="false">
    <oddHeader>&amp;LHERMOSILLO</oddHeader>
    <oddFooter>&amp;Ldkwok&amp;R&amp;F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P4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F34" activeCellId="0" sqref="F3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5.99"/>
    <col collapsed="false" customWidth="true" hidden="false" outlineLevel="0" max="2" min="2" style="0" width="10.13"/>
    <col collapsed="false" customWidth="true" hidden="false" outlineLevel="0" max="7" min="7" style="0" width="9.28"/>
  </cols>
  <sheetData>
    <row r="2" customFormat="false" ht="21" hidden="false" customHeight="true" outlineLevel="0" collapsed="false">
      <c r="A2" s="809" t="s">
        <v>1398</v>
      </c>
      <c r="B2" s="157"/>
      <c r="C2" s="157"/>
      <c r="D2" s="157"/>
      <c r="E2" s="157"/>
    </row>
    <row r="3" customFormat="false" ht="11.25" hidden="false" customHeight="true" outlineLevel="0" collapsed="false">
      <c r="A3" s="809"/>
      <c r="B3" s="157"/>
      <c r="C3" s="157"/>
      <c r="D3" s="157"/>
      <c r="E3" s="157"/>
    </row>
    <row r="4" customFormat="false" ht="12.75" hidden="false" customHeight="false" outlineLevel="0" collapsed="false">
      <c r="A4" s="518" t="s">
        <v>1399</v>
      </c>
      <c r="B4" s="810" t="s">
        <v>1472</v>
      </c>
      <c r="C4" s="810"/>
      <c r="D4" s="157"/>
      <c r="E4" s="157"/>
    </row>
    <row r="5" customFormat="false" ht="12.75" hidden="false" customHeight="false" outlineLevel="0" collapsed="false">
      <c r="A5" s="518" t="s">
        <v>1400</v>
      </c>
      <c r="B5" s="810" t="s">
        <v>1473</v>
      </c>
      <c r="C5" s="810"/>
      <c r="D5" s="157"/>
      <c r="E5" s="157" t="s">
        <v>1007</v>
      </c>
    </row>
    <row r="6" customFormat="false" ht="12.75" hidden="false" customHeight="false" outlineLevel="0" collapsed="false">
      <c r="A6" s="518" t="s">
        <v>1401</v>
      </c>
      <c r="B6" s="811" t="n">
        <v>36600</v>
      </c>
      <c r="C6" s="157"/>
      <c r="D6" s="157"/>
      <c r="E6" s="157" t="s">
        <v>1007</v>
      </c>
    </row>
    <row r="7" customFormat="false" ht="12.75" hidden="false" customHeight="false" outlineLevel="0" collapsed="false">
      <c r="A7" s="518" t="s">
        <v>1402</v>
      </c>
      <c r="B7" s="157" t="s">
        <v>1403</v>
      </c>
      <c r="C7" s="157"/>
      <c r="D7" s="157"/>
      <c r="E7" s="157"/>
    </row>
    <row r="8" customFormat="false" ht="12.75" hidden="false" customHeight="false" outlineLevel="0" collapsed="false">
      <c r="A8" s="518" t="s">
        <v>1007</v>
      </c>
      <c r="B8" s="157"/>
      <c r="C8" s="157"/>
      <c r="D8" s="157"/>
      <c r="E8" s="157"/>
    </row>
    <row r="9" customFormat="false" ht="12.75" hidden="false" customHeight="false" outlineLevel="0" collapsed="false">
      <c r="A9" s="518" t="s">
        <v>1007</v>
      </c>
      <c r="B9" s="157" t="s">
        <v>1007</v>
      </c>
      <c r="C9" s="157"/>
      <c r="D9" s="157"/>
      <c r="E9" s="157"/>
    </row>
    <row r="10" customFormat="false" ht="12.75" hidden="false" customHeight="false" outlineLevel="0" collapsed="false">
      <c r="A10" s="667"/>
      <c r="B10" s="667"/>
      <c r="C10" s="667"/>
      <c r="D10" s="667"/>
      <c r="E10" s="667"/>
      <c r="F10" s="667"/>
      <c r="G10" s="667"/>
    </row>
    <row r="11" customFormat="false" ht="26.25" hidden="false" customHeight="false" outlineLevel="0" collapsed="false">
      <c r="A11" s="812" t="s">
        <v>1007</v>
      </c>
      <c r="B11" s="812" t="s">
        <v>1404</v>
      </c>
      <c r="C11" s="812" t="s">
        <v>1405</v>
      </c>
      <c r="D11" s="812" t="s">
        <v>1406</v>
      </c>
      <c r="E11" s="667"/>
      <c r="F11" s="667"/>
      <c r="G11" s="812" t="s">
        <v>1407</v>
      </c>
    </row>
    <row r="12" customFormat="false" ht="12.75" hidden="false" customHeight="false" outlineLevel="0" collapsed="false">
      <c r="A12" s="813" t="s">
        <v>1408</v>
      </c>
      <c r="B12" s="814" t="n">
        <v>8000</v>
      </c>
      <c r="C12" s="815" t="n">
        <v>57.8</v>
      </c>
      <c r="D12" s="815" t="n">
        <v>54.254</v>
      </c>
      <c r="G12" s="814" t="n">
        <v>400</v>
      </c>
    </row>
    <row r="13" customFormat="false" ht="12.75" hidden="false" customHeight="false" outlineLevel="0" collapsed="false">
      <c r="A13" s="153" t="s">
        <v>1409</v>
      </c>
      <c r="B13" s="816" t="n">
        <v>24000</v>
      </c>
      <c r="C13" s="770" t="n">
        <v>172.38</v>
      </c>
      <c r="D13" s="770" t="n">
        <v>62.032</v>
      </c>
      <c r="G13" s="816" t="n">
        <v>900</v>
      </c>
    </row>
    <row r="14" customFormat="false" ht="12.75" hidden="false" customHeight="false" outlineLevel="0" collapsed="false">
      <c r="A14" s="153" t="s">
        <v>1410</v>
      </c>
      <c r="B14" s="816" t="n">
        <v>48000</v>
      </c>
      <c r="C14" s="770" t="n">
        <v>430.95</v>
      </c>
      <c r="D14" s="770" t="n">
        <v>209.215</v>
      </c>
      <c r="G14" s="816" t="n">
        <v>2400</v>
      </c>
      <c r="M14" s="792"/>
    </row>
    <row r="16" customFormat="false" ht="39" hidden="false" customHeight="false" outlineLevel="0" collapsed="false">
      <c r="A16" s="817" t="s">
        <v>1411</v>
      </c>
      <c r="B16" s="817" t="s">
        <v>1412</v>
      </c>
      <c r="C16" s="817" t="s">
        <v>1413</v>
      </c>
      <c r="D16" s="817" t="s">
        <v>1414</v>
      </c>
      <c r="E16" s="817" t="s">
        <v>1415</v>
      </c>
      <c r="F16" s="818"/>
      <c r="G16" s="812" t="s">
        <v>1416</v>
      </c>
      <c r="H16" s="812" t="s">
        <v>1417</v>
      </c>
    </row>
    <row r="17" customFormat="false" ht="12.75" hidden="false" customHeight="false" outlineLevel="0" collapsed="false">
      <c r="A17" s="843" t="s">
        <v>1441</v>
      </c>
      <c r="B17" s="844" t="n">
        <v>8000</v>
      </c>
      <c r="C17" s="844" t="n">
        <v>5</v>
      </c>
      <c r="D17" s="843" t="n">
        <v>191.58</v>
      </c>
      <c r="E17" s="843" t="n">
        <v>573.256</v>
      </c>
      <c r="F17" s="785"/>
      <c r="G17" s="832" t="n">
        <v>400</v>
      </c>
      <c r="H17" s="845" t="n">
        <v>5</v>
      </c>
      <c r="L17" s="792"/>
    </row>
    <row r="18" customFormat="false" ht="12.75" hidden="false" customHeight="false" outlineLevel="0" collapsed="false">
      <c r="A18" s="763" t="s">
        <v>1419</v>
      </c>
      <c r="B18" s="835" t="n">
        <v>8000</v>
      </c>
      <c r="C18" s="835" t="n">
        <v>5</v>
      </c>
      <c r="D18" s="763" t="n">
        <v>196.73</v>
      </c>
      <c r="E18" s="843" t="n">
        <v>1246.131</v>
      </c>
      <c r="F18" s="785"/>
      <c r="G18" s="832" t="n">
        <v>400</v>
      </c>
      <c r="H18" s="833" t="n">
        <v>6</v>
      </c>
      <c r="P18" s="792"/>
    </row>
    <row r="19" customFormat="false" ht="12.75" hidden="false" customHeight="false" outlineLevel="0" collapsed="false">
      <c r="A19" s="830" t="s">
        <v>1421</v>
      </c>
      <c r="B19" s="835" t="n">
        <v>8000</v>
      </c>
      <c r="C19" s="831" t="n">
        <v>3</v>
      </c>
      <c r="D19" s="830" t="n">
        <v>73.13</v>
      </c>
      <c r="E19" s="843" t="n">
        <v>1297.423</v>
      </c>
      <c r="F19" s="785"/>
      <c r="G19" s="832" t="n">
        <v>400</v>
      </c>
      <c r="H19" s="833" t="n">
        <v>3</v>
      </c>
    </row>
    <row r="20" customFormat="false" ht="12.75" hidden="false" customHeight="false" outlineLevel="0" collapsed="false">
      <c r="A20" s="823" t="s">
        <v>1442</v>
      </c>
      <c r="B20" s="824" t="n">
        <v>24000</v>
      </c>
      <c r="C20" s="824" t="n">
        <v>2</v>
      </c>
      <c r="D20" s="823" t="n">
        <v>400.67</v>
      </c>
      <c r="E20" s="843" t="n">
        <v>1604.924</v>
      </c>
      <c r="F20" s="785"/>
      <c r="G20" s="821" t="n">
        <v>900</v>
      </c>
      <c r="H20" s="825" t="n">
        <v>3</v>
      </c>
    </row>
    <row r="21" customFormat="false" ht="12.75" hidden="false" customHeight="false" outlineLevel="0" collapsed="false">
      <c r="A21" s="823" t="s">
        <v>1443</v>
      </c>
      <c r="B21" s="824" t="n">
        <v>24000</v>
      </c>
      <c r="C21" s="824" t="n">
        <v>3</v>
      </c>
      <c r="D21" s="823" t="n">
        <v>306.94</v>
      </c>
      <c r="E21" s="843" t="n">
        <v>1540.727</v>
      </c>
      <c r="F21" s="785"/>
      <c r="G21" s="821" t="n">
        <v>900</v>
      </c>
      <c r="H21" s="825" t="n">
        <v>3</v>
      </c>
    </row>
    <row r="22" customFormat="false" ht="12.75" hidden="false" customHeight="false" outlineLevel="0" collapsed="false">
      <c r="A22" s="823" t="s">
        <v>1444</v>
      </c>
      <c r="B22" s="824" t="n">
        <v>24000</v>
      </c>
      <c r="C22" s="824" t="n">
        <v>3</v>
      </c>
      <c r="D22" s="823" t="n">
        <v>144.2</v>
      </c>
      <c r="E22" s="843" t="n">
        <v>1467.168</v>
      </c>
      <c r="F22" s="785"/>
      <c r="G22" s="821" t="n">
        <v>900</v>
      </c>
      <c r="H22" s="825" t="n">
        <v>3</v>
      </c>
      <c r="K22" s="792"/>
    </row>
    <row r="23" customFormat="false" ht="12.75" hidden="false" customHeight="false" outlineLevel="0" collapsed="false">
      <c r="A23" s="823" t="s">
        <v>1445</v>
      </c>
      <c r="B23" s="824" t="n">
        <v>24000</v>
      </c>
      <c r="C23" s="824" t="n">
        <v>3</v>
      </c>
      <c r="D23" s="823" t="n">
        <v>973.762</v>
      </c>
      <c r="E23" s="843" t="n">
        <v>3214.992</v>
      </c>
      <c r="F23" s="785"/>
      <c r="G23" s="821" t="n">
        <v>900</v>
      </c>
      <c r="H23" s="825" t="n">
        <v>3</v>
      </c>
    </row>
    <row r="24" customFormat="false" ht="12.75" hidden="false" customHeight="false" outlineLevel="0" collapsed="false">
      <c r="A24" s="823" t="s">
        <v>1446</v>
      </c>
      <c r="B24" s="824" t="n">
        <v>24000</v>
      </c>
      <c r="C24" s="824" t="n">
        <v>2</v>
      </c>
      <c r="D24" s="823" t="n">
        <v>370.8</v>
      </c>
      <c r="E24" s="843" t="n">
        <v>1977.593</v>
      </c>
      <c r="F24" s="785"/>
      <c r="G24" s="821" t="n">
        <v>900</v>
      </c>
      <c r="H24" s="825" t="n">
        <v>4</v>
      </c>
    </row>
    <row r="25" customFormat="false" ht="12.75" hidden="false" customHeight="false" outlineLevel="0" collapsed="false">
      <c r="A25" s="823" t="s">
        <v>1447</v>
      </c>
      <c r="B25" s="824" t="n">
        <v>24000</v>
      </c>
      <c r="C25" s="824" t="n">
        <v>1</v>
      </c>
      <c r="D25" s="823" t="n">
        <v>422.164610717897</v>
      </c>
      <c r="E25" s="843" t="n">
        <v>2251.78</v>
      </c>
      <c r="F25" s="785"/>
      <c r="G25" s="821" t="n">
        <v>900</v>
      </c>
      <c r="H25" s="825" t="n">
        <v>4</v>
      </c>
    </row>
    <row r="26" customFormat="false" ht="12.75" hidden="false" customHeight="false" outlineLevel="0" collapsed="false">
      <c r="A26" s="823" t="s">
        <v>1448</v>
      </c>
      <c r="B26" s="824" t="n">
        <v>24000</v>
      </c>
      <c r="C26" s="824" t="n">
        <v>2</v>
      </c>
      <c r="D26" s="823" t="n">
        <v>23.175</v>
      </c>
      <c r="E26" s="843" t="n">
        <v>44.516</v>
      </c>
      <c r="F26" s="785"/>
      <c r="G26" s="821" t="n">
        <v>900</v>
      </c>
      <c r="H26" s="825" t="n">
        <v>3</v>
      </c>
    </row>
    <row r="27" customFormat="false" ht="12.75" hidden="false" customHeight="false" outlineLevel="0" collapsed="false">
      <c r="A27" s="823" t="s">
        <v>1449</v>
      </c>
      <c r="B27" s="824" t="n">
        <v>24000</v>
      </c>
      <c r="C27" s="824" t="n">
        <v>3</v>
      </c>
      <c r="D27" s="823" t="n">
        <v>123.6</v>
      </c>
      <c r="E27" s="843" t="n">
        <v>721.443</v>
      </c>
      <c r="F27" s="785"/>
      <c r="G27" s="821" t="n">
        <v>900</v>
      </c>
      <c r="H27" s="825" t="n">
        <v>2</v>
      </c>
      <c r="K27" s="792"/>
    </row>
    <row r="28" customFormat="false" ht="12.75" hidden="false" customHeight="false" outlineLevel="0" collapsed="false">
      <c r="A28" s="823" t="s">
        <v>1450</v>
      </c>
      <c r="B28" s="824" t="n">
        <v>24000</v>
      </c>
      <c r="C28" s="824" t="n">
        <v>3</v>
      </c>
      <c r="D28" s="823" t="n">
        <v>123.6</v>
      </c>
      <c r="E28" s="843" t="n">
        <v>487.958</v>
      </c>
      <c r="F28" s="785"/>
      <c r="G28" s="821" t="n">
        <v>900</v>
      </c>
      <c r="H28" s="825" t="n">
        <v>4</v>
      </c>
    </row>
    <row r="29" customFormat="false" ht="12.75" hidden="false" customHeight="false" outlineLevel="0" collapsed="false">
      <c r="A29" s="823" t="s">
        <v>1451</v>
      </c>
      <c r="B29" s="824" t="n">
        <v>24000</v>
      </c>
      <c r="C29" s="824" t="n">
        <v>3</v>
      </c>
      <c r="D29" s="823" t="n">
        <v>123.6</v>
      </c>
      <c r="E29" s="843" t="n">
        <v>417.479</v>
      </c>
      <c r="F29" s="785"/>
      <c r="G29" s="821" t="n">
        <v>900</v>
      </c>
      <c r="H29" s="825" t="n">
        <v>4</v>
      </c>
    </row>
    <row r="30" customFormat="false" ht="12.75" hidden="false" customHeight="false" outlineLevel="0" collapsed="false">
      <c r="A30" s="826"/>
      <c r="B30" s="827"/>
      <c r="C30" s="827"/>
      <c r="D30" s="826"/>
      <c r="E30" s="826"/>
      <c r="F30" s="846"/>
      <c r="G30" s="828"/>
      <c r="H30" s="829"/>
    </row>
    <row r="31" customFormat="false" ht="12.75" hidden="false" customHeight="false" outlineLevel="0" collapsed="false">
      <c r="A31" s="826"/>
      <c r="B31" s="827"/>
      <c r="C31" s="827"/>
      <c r="D31" s="826"/>
      <c r="E31" s="826"/>
      <c r="F31" s="785"/>
      <c r="G31" s="828"/>
      <c r="H31" s="847"/>
    </row>
    <row r="32" customFormat="false" ht="12.75" hidden="false" customHeight="false" outlineLevel="0" collapsed="false">
      <c r="A32" s="826"/>
      <c r="B32" s="827"/>
      <c r="C32" s="827"/>
      <c r="D32" s="826"/>
      <c r="E32" s="826"/>
      <c r="F32" s="785"/>
      <c r="G32" s="828"/>
      <c r="H32" s="847"/>
    </row>
    <row r="33" customFormat="false" ht="12.75" hidden="false" customHeight="false" outlineLevel="0" collapsed="false">
      <c r="A33" s="826"/>
      <c r="B33" s="827"/>
      <c r="C33" s="827"/>
      <c r="D33" s="826"/>
      <c r="E33" s="826"/>
      <c r="F33" s="785"/>
      <c r="G33" s="828"/>
      <c r="H33" s="847"/>
    </row>
    <row r="34" customFormat="false" ht="12.75" hidden="false" customHeight="false" outlineLevel="0" collapsed="false">
      <c r="A34" s="826"/>
      <c r="B34" s="827"/>
      <c r="C34" s="827"/>
      <c r="D34" s="826"/>
      <c r="E34" s="826"/>
      <c r="F34" s="785"/>
      <c r="G34" s="828"/>
      <c r="H34" s="847"/>
    </row>
    <row r="35" customFormat="false" ht="12.75" hidden="false" customHeight="false" outlineLevel="0" collapsed="false">
      <c r="A35" s="826"/>
      <c r="B35" s="827"/>
      <c r="C35" s="827"/>
      <c r="D35" s="838"/>
      <c r="E35" s="826"/>
      <c r="F35" s="785"/>
      <c r="G35" s="838"/>
      <c r="H35" s="838"/>
    </row>
    <row r="36" customFormat="false" ht="12.75" hidden="false" customHeight="false" outlineLevel="0" collapsed="false">
      <c r="A36" s="826"/>
      <c r="B36" s="827"/>
      <c r="C36" s="827"/>
      <c r="D36" s="838"/>
      <c r="E36" s="826"/>
      <c r="F36" s="785"/>
      <c r="G36" s="838"/>
      <c r="H36" s="838"/>
    </row>
    <row r="37" customFormat="false" ht="12.75" hidden="false" customHeight="false" outlineLevel="0" collapsed="false">
      <c r="A37" s="848"/>
      <c r="B37" s="827"/>
      <c r="C37" s="827"/>
      <c r="D37" s="838"/>
      <c r="E37" s="826"/>
      <c r="F37" s="785"/>
      <c r="G37" s="838"/>
      <c r="H37" s="838"/>
    </row>
    <row r="38" customFormat="false" ht="12.75" hidden="false" customHeight="false" outlineLevel="0" collapsed="false">
      <c r="A38" s="848"/>
      <c r="B38" s="827"/>
      <c r="C38" s="827"/>
      <c r="D38" s="838"/>
      <c r="E38" s="838"/>
      <c r="F38" s="785"/>
      <c r="G38" s="838"/>
      <c r="H38" s="838"/>
    </row>
    <row r="39" customFormat="false" ht="12.75" hidden="false" customHeight="false" outlineLevel="0" collapsed="false">
      <c r="A39" s="838"/>
      <c r="B39" s="827"/>
      <c r="C39" s="827"/>
      <c r="D39" s="838"/>
      <c r="E39" s="838"/>
      <c r="F39" s="785"/>
      <c r="G39" s="838"/>
      <c r="H39" s="838"/>
    </row>
    <row r="40" customFormat="false" ht="12.75" hidden="false" customHeight="false" outlineLevel="0" collapsed="false">
      <c r="A40" s="826"/>
      <c r="B40" s="827"/>
      <c r="C40" s="827"/>
      <c r="D40" s="826"/>
      <c r="E40" s="826"/>
      <c r="F40" s="785"/>
      <c r="G40" s="838"/>
      <c r="H40" s="838"/>
    </row>
    <row r="41" customFormat="false" ht="12.75" hidden="false" customHeight="false" outlineLevel="0" collapsed="false">
      <c r="A41" s="826"/>
      <c r="B41" s="827"/>
      <c r="C41" s="827"/>
      <c r="D41" s="826"/>
      <c r="E41" s="826"/>
      <c r="F41" s="785"/>
      <c r="G41" s="838"/>
      <c r="H41" s="838"/>
    </row>
    <row r="42" customFormat="false" ht="12.75" hidden="false" customHeight="false" outlineLevel="0" collapsed="false">
      <c r="A42" s="826"/>
      <c r="B42" s="827"/>
      <c r="C42" s="827"/>
      <c r="D42" s="826"/>
      <c r="E42" s="826"/>
      <c r="F42" s="785"/>
      <c r="G42" s="838"/>
      <c r="H42" s="838"/>
    </row>
    <row r="44" customFormat="false" ht="12.75" hidden="false" customHeight="false" outlineLevel="0" collapsed="false">
      <c r="A44" s="839" t="s">
        <v>1437</v>
      </c>
      <c r="B44" s="840"/>
      <c r="C44" s="840"/>
      <c r="D44" s="840"/>
      <c r="E44" s="841"/>
    </row>
    <row r="45" customFormat="false" ht="12.75" hidden="false" customHeight="false" outlineLevel="0" collapsed="false">
      <c r="A45" s="395"/>
      <c r="B45" s="157"/>
      <c r="C45" s="157"/>
      <c r="D45" s="157"/>
      <c r="E45" s="503"/>
    </row>
    <row r="46" customFormat="false" ht="12.75" hidden="false" customHeight="false" outlineLevel="0" collapsed="false">
      <c r="A46" s="395"/>
      <c r="B46" s="157"/>
      <c r="C46" s="157"/>
      <c r="D46" s="157"/>
      <c r="E46" s="503"/>
    </row>
    <row r="47" customFormat="false" ht="12.75" hidden="false" customHeight="false" outlineLevel="0" collapsed="false">
      <c r="A47" s="395"/>
      <c r="B47" s="157"/>
      <c r="C47" s="157"/>
      <c r="D47" s="157"/>
      <c r="E47" s="503"/>
    </row>
    <row r="48" customFormat="false" ht="12.75" hidden="false" customHeight="false" outlineLevel="0" collapsed="false">
      <c r="A48" s="842"/>
      <c r="B48" s="520"/>
      <c r="C48" s="520"/>
      <c r="D48" s="520"/>
      <c r="E48" s="52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2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56"/>
  <sheetViews>
    <sheetView showFormulas="false" showGridLines="false" showRowColHeaders="true" showZeros="true" rightToLeft="false" tabSelected="false" showOutlineSymbols="true" defaultGridColor="true" view="normal" topLeftCell="A7" colorId="64" zoomScale="75" zoomScaleNormal="75" zoomScalePageLayoutView="100" workbookViewId="0">
      <selection pane="topLeft" activeCell="J31" activeCellId="0" sqref="J3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8" width="4.7"/>
    <col collapsed="false" customWidth="true" hidden="false" outlineLevel="0" max="2" min="2" style="68" width="46.28"/>
    <col collapsed="false" customWidth="false" hidden="false" outlineLevel="0" max="3" min="3" style="68" width="9.14"/>
    <col collapsed="false" customWidth="true" hidden="false" outlineLevel="0" max="4" min="4" style="68" width="3.28"/>
    <col collapsed="false" customWidth="true" hidden="false" outlineLevel="0" max="5" min="5" style="68" width="13.41"/>
    <col collapsed="false" customWidth="true" hidden="false" outlineLevel="0" max="9" min="6" style="68" width="11.28"/>
    <col collapsed="false" customWidth="true" hidden="false" outlineLevel="0" max="10" min="10" style="68" width="15.99"/>
    <col collapsed="false" customWidth="true" hidden="false" outlineLevel="0" max="11" min="11" style="68" width="15.13"/>
    <col collapsed="false" customWidth="false" hidden="false" outlineLevel="0" max="14" min="12" style="68" width="9.14"/>
    <col collapsed="false" customWidth="false" hidden="false" outlineLevel="0" max="257" min="15" style="69" width="9.14"/>
  </cols>
  <sheetData>
    <row r="1" customFormat="false" ht="18" hidden="false" customHeight="true" outlineLevel="0" collapsed="false">
      <c r="A1" s="70" t="str">
        <f aca="false">Scope!$A$1</f>
        <v>AES Corp, Dallas, TX (640 MW)</v>
      </c>
      <c r="B1" s="70"/>
      <c r="C1" s="70"/>
      <c r="D1" s="70"/>
      <c r="E1" s="70"/>
      <c r="F1" s="70"/>
      <c r="G1" s="70"/>
      <c r="H1" s="70"/>
      <c r="I1" s="70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  <c r="IW1" s="71"/>
    </row>
    <row r="2" customFormat="false" ht="18" hidden="false" customHeight="true" outlineLevel="0" collapsed="false">
      <c r="A2" s="70"/>
      <c r="B2" s="70"/>
      <c r="C2" s="70"/>
      <c r="D2" s="70"/>
      <c r="E2" s="70"/>
      <c r="F2" s="70"/>
      <c r="G2" s="70"/>
      <c r="H2" s="70"/>
      <c r="I2" s="70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</row>
    <row r="3" customFormat="false" ht="15.75" hidden="false" customHeight="false" outlineLevel="0" collapsed="false">
      <c r="A3" s="3" t="s">
        <v>6</v>
      </c>
      <c r="B3" s="3"/>
      <c r="C3" s="3"/>
      <c r="D3" s="3"/>
      <c r="E3" s="3"/>
      <c r="F3" s="3"/>
      <c r="G3" s="3"/>
      <c r="H3" s="3"/>
      <c r="I3" s="3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  <c r="IU3" s="71"/>
      <c r="IV3" s="71"/>
      <c r="IW3" s="71"/>
    </row>
    <row r="4" customFormat="false" ht="15.75" hidden="false" customHeight="false" outlineLevel="0" collapsed="false">
      <c r="A4" s="14"/>
      <c r="B4" s="14"/>
      <c r="C4" s="14"/>
      <c r="D4" s="14"/>
      <c r="E4" s="14"/>
      <c r="F4" s="14"/>
      <c r="G4" s="14"/>
      <c r="H4" s="14"/>
      <c r="I4" s="14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</row>
    <row r="5" customFormat="false" ht="15.75" hidden="false" customHeight="false" outlineLevel="0" collapsed="false">
      <c r="A5" s="14"/>
      <c r="B5" s="14"/>
      <c r="C5" s="14"/>
      <c r="D5" s="14"/>
      <c r="E5" s="14"/>
      <c r="F5" s="14"/>
      <c r="G5" s="14"/>
      <c r="H5" s="14"/>
      <c r="I5" s="14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</row>
    <row r="6" customFormat="false" ht="16.5" hidden="false" customHeight="false" outlineLevel="0" collapsed="false">
      <c r="A6" s="72" t="s">
        <v>138</v>
      </c>
      <c r="B6" s="71"/>
      <c r="C6" s="71"/>
      <c r="D6" s="71"/>
      <c r="E6" s="73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</row>
    <row r="7" customFormat="false" ht="13.5" hidden="false" customHeight="false" outlineLevel="0" collapsed="false">
      <c r="A7" s="71"/>
      <c r="B7" s="74"/>
      <c r="C7" s="75"/>
      <c r="D7" s="74"/>
      <c r="E7" s="76" t="s">
        <v>139</v>
      </c>
      <c r="F7" s="74"/>
      <c r="G7" s="74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</row>
    <row r="8" customFormat="false" ht="12.75" hidden="false" customHeight="false" outlineLevel="0" collapsed="false">
      <c r="A8" s="77" t="s">
        <v>140</v>
      </c>
      <c r="B8" s="78"/>
      <c r="C8" s="79"/>
      <c r="D8" s="78"/>
      <c r="E8" s="80"/>
      <c r="F8" s="2"/>
      <c r="G8" s="2"/>
      <c r="H8" s="2"/>
      <c r="I8" s="2"/>
      <c r="J8" s="2"/>
      <c r="K8" s="2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1"/>
      <c r="CB8" s="71"/>
      <c r="CC8" s="71"/>
      <c r="CD8" s="71"/>
      <c r="CE8" s="71"/>
      <c r="CF8" s="71"/>
      <c r="CG8" s="71"/>
      <c r="CH8" s="71"/>
      <c r="CI8" s="71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1"/>
      <c r="DI8" s="71"/>
      <c r="DJ8" s="71"/>
      <c r="DK8" s="71"/>
      <c r="DL8" s="71"/>
      <c r="DM8" s="71"/>
      <c r="DN8" s="71"/>
      <c r="DO8" s="71"/>
      <c r="DP8" s="71"/>
      <c r="DQ8" s="71"/>
      <c r="DR8" s="71"/>
      <c r="DS8" s="71"/>
      <c r="DT8" s="71"/>
      <c r="DU8" s="71"/>
      <c r="DV8" s="71"/>
      <c r="DW8" s="71"/>
      <c r="DX8" s="71"/>
      <c r="DY8" s="71"/>
      <c r="DZ8" s="71"/>
      <c r="EA8" s="71"/>
      <c r="EB8" s="71"/>
      <c r="EC8" s="71"/>
      <c r="ED8" s="71"/>
      <c r="EE8" s="71"/>
      <c r="EF8" s="71"/>
      <c r="EG8" s="71"/>
      <c r="EH8" s="71"/>
      <c r="EI8" s="71"/>
      <c r="EJ8" s="71"/>
      <c r="EK8" s="71"/>
      <c r="EL8" s="71"/>
      <c r="EM8" s="71"/>
      <c r="EN8" s="71"/>
      <c r="EO8" s="71"/>
      <c r="EP8" s="71"/>
      <c r="EQ8" s="71"/>
      <c r="ER8" s="71"/>
      <c r="ES8" s="71"/>
      <c r="ET8" s="71"/>
      <c r="EU8" s="71"/>
      <c r="EV8" s="71"/>
      <c r="EW8" s="71"/>
      <c r="EX8" s="71"/>
      <c r="EY8" s="71"/>
      <c r="EZ8" s="71"/>
      <c r="FA8" s="71"/>
      <c r="FB8" s="71"/>
      <c r="FC8" s="71"/>
      <c r="FD8" s="71"/>
      <c r="FE8" s="71"/>
      <c r="FF8" s="71"/>
      <c r="FG8" s="71"/>
      <c r="FH8" s="71"/>
      <c r="FI8" s="71"/>
      <c r="FJ8" s="71"/>
      <c r="FK8" s="71"/>
      <c r="FL8" s="71"/>
      <c r="FM8" s="71"/>
      <c r="FN8" s="71"/>
      <c r="FO8" s="71"/>
      <c r="FP8" s="71"/>
      <c r="FQ8" s="71"/>
      <c r="FR8" s="71"/>
      <c r="FS8" s="71"/>
      <c r="FT8" s="71"/>
      <c r="FU8" s="71"/>
      <c r="FV8" s="71"/>
      <c r="FW8" s="71"/>
      <c r="FX8" s="71"/>
      <c r="FY8" s="71"/>
      <c r="FZ8" s="71"/>
      <c r="GA8" s="71"/>
      <c r="GB8" s="71"/>
      <c r="GC8" s="71"/>
      <c r="GD8" s="71"/>
      <c r="GE8" s="71"/>
      <c r="GF8" s="71"/>
      <c r="GG8" s="71"/>
      <c r="GH8" s="71"/>
      <c r="GI8" s="71"/>
      <c r="GJ8" s="71"/>
      <c r="GK8" s="71"/>
      <c r="GL8" s="71"/>
      <c r="GM8" s="71"/>
      <c r="GN8" s="71"/>
      <c r="GO8" s="71"/>
      <c r="GP8" s="71"/>
      <c r="GQ8" s="71"/>
      <c r="GR8" s="71"/>
      <c r="GS8" s="71"/>
      <c r="GT8" s="71"/>
      <c r="GU8" s="71"/>
      <c r="GV8" s="71"/>
      <c r="GW8" s="71"/>
      <c r="GX8" s="71"/>
      <c r="GY8" s="71"/>
      <c r="GZ8" s="71"/>
      <c r="HA8" s="71"/>
      <c r="HB8" s="71"/>
      <c r="HC8" s="71"/>
      <c r="HD8" s="71"/>
      <c r="HE8" s="71"/>
      <c r="HF8" s="71"/>
      <c r="HG8" s="71"/>
      <c r="HH8" s="71"/>
      <c r="HI8" s="71"/>
      <c r="HJ8" s="71"/>
      <c r="HK8" s="71"/>
      <c r="HL8" s="71"/>
      <c r="HM8" s="71"/>
      <c r="HN8" s="71"/>
      <c r="HO8" s="71"/>
      <c r="HP8" s="71"/>
      <c r="HQ8" s="71"/>
      <c r="HR8" s="71"/>
      <c r="HS8" s="71"/>
      <c r="HT8" s="71"/>
      <c r="HU8" s="71"/>
      <c r="HV8" s="71"/>
      <c r="HW8" s="71"/>
      <c r="HX8" s="71"/>
      <c r="HY8" s="71"/>
      <c r="HZ8" s="71"/>
      <c r="IA8" s="71"/>
      <c r="IB8" s="71"/>
      <c r="IC8" s="71"/>
      <c r="ID8" s="71"/>
      <c r="IE8" s="71"/>
      <c r="IF8" s="71"/>
      <c r="IG8" s="71"/>
      <c r="IH8" s="71"/>
      <c r="II8" s="71"/>
      <c r="IJ8" s="71"/>
      <c r="IK8" s="71"/>
      <c r="IL8" s="71"/>
      <c r="IM8" s="71"/>
      <c r="IN8" s="71"/>
      <c r="IO8" s="71"/>
      <c r="IP8" s="71"/>
      <c r="IQ8" s="71"/>
      <c r="IR8" s="71"/>
      <c r="IS8" s="71"/>
      <c r="IT8" s="71"/>
      <c r="IU8" s="71"/>
      <c r="IV8" s="71"/>
      <c r="IW8" s="71"/>
    </row>
    <row r="9" customFormat="false" ht="12.75" hidden="false" customHeight="false" outlineLevel="0" collapsed="false">
      <c r="A9" s="77"/>
      <c r="B9" s="78" t="s">
        <v>141</v>
      </c>
      <c r="C9" s="78"/>
      <c r="D9" s="78"/>
      <c r="E9" s="81" t="n">
        <f aca="false">Mob_Estimate!D7</f>
        <v>33679</v>
      </c>
      <c r="F9" s="2"/>
      <c r="G9" s="2"/>
      <c r="H9" s="2"/>
      <c r="I9" s="2"/>
      <c r="J9" s="2"/>
      <c r="K9" s="2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</row>
    <row r="10" customFormat="false" ht="12.75" hidden="false" customHeight="false" outlineLevel="0" collapsed="false">
      <c r="A10" s="77"/>
      <c r="B10" s="78" t="s">
        <v>142</v>
      </c>
      <c r="C10" s="78"/>
      <c r="D10" s="78"/>
      <c r="E10" s="81" t="n">
        <f aca="false">Mob_Estimate!D9</f>
        <v>517680.9145</v>
      </c>
      <c r="F10" s="2"/>
      <c r="G10" s="2"/>
      <c r="H10" s="2"/>
      <c r="I10" s="2"/>
      <c r="J10" s="2"/>
      <c r="K10" s="2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</row>
    <row r="11" customFormat="false" ht="12.75" hidden="false" customHeight="false" outlineLevel="0" collapsed="false">
      <c r="A11" s="2"/>
      <c r="B11" s="78" t="s">
        <v>143</v>
      </c>
      <c r="C11" s="78"/>
      <c r="D11" s="78"/>
      <c r="E11" s="81" t="n">
        <f aca="false">Mob_Estimate!D25</f>
        <v>341215.714285714</v>
      </c>
      <c r="F11" s="2"/>
      <c r="G11" s="2"/>
      <c r="H11" s="2"/>
      <c r="I11" s="2"/>
      <c r="J11" s="2"/>
      <c r="K11" s="2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</row>
    <row r="12" customFormat="false" ht="12.75" hidden="false" customHeight="false" outlineLevel="0" collapsed="false">
      <c r="A12" s="2"/>
      <c r="B12" s="78" t="s">
        <v>144</v>
      </c>
      <c r="C12" s="78"/>
      <c r="D12" s="78"/>
      <c r="E12" s="81" t="n">
        <f aca="false">Mob_Estimate!D37</f>
        <v>260555.222919563</v>
      </c>
      <c r="F12" s="2"/>
      <c r="G12" s="2"/>
      <c r="H12" s="2"/>
      <c r="I12" s="2"/>
      <c r="J12" s="2"/>
      <c r="K12" s="2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</row>
    <row r="13" customFormat="false" ht="12.75" hidden="false" customHeight="false" outlineLevel="0" collapsed="false">
      <c r="A13" s="2"/>
      <c r="B13" s="78"/>
      <c r="C13" s="78"/>
      <c r="D13" s="78"/>
      <c r="E13" s="81"/>
      <c r="F13" s="2"/>
      <c r="G13" s="2"/>
      <c r="H13" s="2"/>
      <c r="I13" s="2"/>
      <c r="J13" s="2"/>
      <c r="K13" s="2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</row>
    <row r="14" customFormat="false" ht="13.5" hidden="false" customHeight="false" outlineLevel="0" collapsed="false">
      <c r="A14" s="2"/>
      <c r="B14" s="82" t="s">
        <v>145</v>
      </c>
      <c r="C14" s="78"/>
      <c r="D14" s="78"/>
      <c r="E14" s="83" t="n">
        <f aca="false">SUBTOTAL(9,E8:E12)</f>
        <v>1153130.85170528</v>
      </c>
      <c r="F14" s="2"/>
      <c r="G14" s="2"/>
      <c r="H14" s="2"/>
      <c r="I14" s="2"/>
      <c r="J14" s="2"/>
      <c r="K14" s="2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</row>
    <row r="15" customFormat="false" ht="13.5" hidden="true" customHeight="false" outlineLevel="0" collapsed="false">
      <c r="A15" s="2"/>
      <c r="B15" s="82"/>
      <c r="C15" s="82"/>
      <c r="D15" s="82"/>
      <c r="E15" s="82"/>
      <c r="F15" s="74"/>
      <c r="G15" s="74"/>
      <c r="H15" s="74"/>
      <c r="I15" s="74"/>
      <c r="J15" s="2"/>
      <c r="K15" s="2"/>
      <c r="L15" s="2"/>
      <c r="M15" s="2"/>
      <c r="N15" s="2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</row>
    <row r="16" customFormat="false" ht="12.75" hidden="true" customHeight="false" outlineLevel="0" collapsed="false">
      <c r="A16" s="2"/>
      <c r="B16" s="77" t="s">
        <v>146</v>
      </c>
      <c r="C16" s="82"/>
      <c r="D16" s="82"/>
      <c r="E16" s="84" t="e">
        <f aca="false">#REF!</f>
        <v>#REF!</v>
      </c>
      <c r="F16" s="74"/>
      <c r="G16" s="74"/>
      <c r="H16" s="74"/>
      <c r="I16" s="74"/>
      <c r="J16" s="2"/>
      <c r="K16" s="2"/>
      <c r="L16" s="2"/>
      <c r="M16" s="2"/>
      <c r="N16" s="2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</row>
    <row r="17" customFormat="false" ht="12.75" hidden="true" customHeight="false" outlineLevel="0" collapsed="false">
      <c r="A17" s="2"/>
      <c r="B17" s="77"/>
      <c r="C17" s="82"/>
      <c r="D17" s="82"/>
      <c r="E17" s="85"/>
      <c r="F17" s="74"/>
      <c r="G17" s="74"/>
      <c r="H17" s="74"/>
      <c r="I17" s="74"/>
      <c r="J17" s="2"/>
      <c r="K17" s="2"/>
      <c r="L17" s="2"/>
      <c r="M17" s="2"/>
      <c r="N17" s="2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</row>
    <row r="18" customFormat="false" ht="12.75" hidden="true" customHeight="false" outlineLevel="0" collapsed="false">
      <c r="A18" s="2"/>
      <c r="B18" s="77" t="s">
        <v>147</v>
      </c>
      <c r="C18" s="82"/>
      <c r="D18" s="82"/>
      <c r="E18" s="85" t="e">
        <f aca="false">#REF!</f>
        <v>#REF!</v>
      </c>
      <c r="F18" s="74"/>
      <c r="G18" s="74"/>
      <c r="H18" s="74"/>
      <c r="I18" s="74"/>
      <c r="J18" s="2"/>
      <c r="K18" s="2"/>
      <c r="L18" s="2"/>
      <c r="M18" s="2"/>
      <c r="N18" s="2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</row>
    <row r="19" customFormat="false" ht="12.75" hidden="true" customHeight="false" outlineLevel="0" collapsed="false">
      <c r="A19" s="2"/>
      <c r="B19" s="77"/>
      <c r="C19" s="82"/>
      <c r="D19" s="82"/>
      <c r="E19" s="85"/>
      <c r="F19" s="74"/>
      <c r="G19" s="74"/>
      <c r="H19" s="74"/>
      <c r="I19" s="74"/>
      <c r="J19" s="2"/>
      <c r="K19" s="2"/>
      <c r="L19" s="2"/>
      <c r="M19" s="2"/>
      <c r="N19" s="2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</row>
    <row r="20" customFormat="false" ht="13.5" hidden="true" customHeight="false" outlineLevel="0" collapsed="false">
      <c r="A20" s="2"/>
      <c r="B20" s="77" t="s">
        <v>148</v>
      </c>
      <c r="C20" s="82"/>
      <c r="D20" s="82"/>
      <c r="E20" s="86" t="e">
        <f aca="false">#REF!</f>
        <v>#REF!</v>
      </c>
      <c r="F20" s="74"/>
      <c r="G20" s="74"/>
      <c r="H20" s="74"/>
      <c r="I20" s="74"/>
      <c r="J20" s="2"/>
      <c r="K20" s="2"/>
      <c r="L20" s="2"/>
      <c r="M20" s="2"/>
      <c r="N20" s="2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</row>
    <row r="21" customFormat="false" ht="13.5" hidden="false" customHeight="false" outlineLevel="0" collapsed="false">
      <c r="A21" s="2"/>
      <c r="B21" s="77"/>
      <c r="C21" s="82"/>
      <c r="D21" s="82"/>
      <c r="E21" s="87"/>
      <c r="F21" s="74"/>
      <c r="G21" s="74"/>
      <c r="H21" s="74"/>
      <c r="I21" s="74"/>
      <c r="J21" s="2"/>
      <c r="K21" s="2"/>
      <c r="L21" s="2"/>
      <c r="M21" s="2"/>
      <c r="N21" s="2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</row>
    <row r="22" customFormat="false" ht="13.5" hidden="false" customHeight="false" outlineLevel="0" collapsed="false">
      <c r="A22" s="2"/>
      <c r="B22" s="82" t="s">
        <v>12</v>
      </c>
      <c r="C22" s="88"/>
      <c r="D22" s="82"/>
      <c r="E22" s="89" t="n">
        <f aca="false">Mob_Estimate!D44</f>
        <v>9657148.05</v>
      </c>
      <c r="F22" s="74"/>
      <c r="G22" s="74"/>
      <c r="H22" s="71"/>
      <c r="I22" s="71"/>
      <c r="J22" s="71"/>
      <c r="K22" s="71"/>
      <c r="L22" s="2"/>
      <c r="M22" s="2"/>
      <c r="N22" s="2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</row>
    <row r="23" customFormat="false" ht="13.5" hidden="false" customHeight="false" outlineLevel="0" collapsed="false">
      <c r="A23" s="2"/>
      <c r="B23" s="71"/>
      <c r="C23" s="71"/>
      <c r="D23" s="71"/>
      <c r="E23" s="71"/>
      <c r="F23" s="74"/>
      <c r="G23" s="74"/>
      <c r="H23" s="71"/>
      <c r="I23" s="71"/>
      <c r="J23" s="71"/>
      <c r="K23" s="71"/>
      <c r="L23" s="2"/>
      <c r="M23" s="2"/>
      <c r="N23" s="2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</row>
    <row r="24" customFormat="false" ht="13.5" hidden="false" customHeight="false" outlineLevel="0" collapsed="false">
      <c r="A24" s="2"/>
      <c r="B24" s="77" t="s">
        <v>149</v>
      </c>
      <c r="C24" s="82"/>
      <c r="D24" s="82"/>
      <c r="E24" s="90" t="n">
        <f aca="false">Mob_Estimate!D47</f>
        <v>120000</v>
      </c>
      <c r="F24" s="74"/>
      <c r="G24" s="74"/>
      <c r="H24" s="74"/>
      <c r="I24" s="74"/>
      <c r="J24" s="2"/>
      <c r="K24" s="2"/>
      <c r="L24" s="2"/>
      <c r="M24" s="2"/>
      <c r="N24" s="2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</row>
    <row r="25" customFormat="false" ht="13.5" hidden="true" customHeight="false" outlineLevel="0" collapsed="false">
      <c r="A25" s="2"/>
      <c r="B25" s="82" t="s">
        <v>150</v>
      </c>
      <c r="C25" s="82"/>
      <c r="D25" s="82"/>
      <c r="E25" s="91" t="n">
        <f aca="false">Mob_Estimate!D48</f>
        <v>0</v>
      </c>
      <c r="F25" s="74"/>
      <c r="G25" s="74"/>
      <c r="H25" s="74"/>
      <c r="I25" s="74"/>
      <c r="J25" s="2"/>
      <c r="K25" s="2"/>
      <c r="L25" s="2"/>
      <c r="M25" s="2"/>
      <c r="N25" s="2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</row>
    <row r="26" customFormat="false" ht="12.75" hidden="false" customHeight="false" outlineLevel="0" collapsed="false">
      <c r="A26" s="2"/>
      <c r="B26" s="82"/>
      <c r="C26" s="88"/>
      <c r="D26" s="82"/>
      <c r="E26" s="74"/>
      <c r="F26" s="74"/>
      <c r="G26" s="74"/>
      <c r="H26" s="74"/>
      <c r="I26" s="74"/>
      <c r="J26" s="2"/>
      <c r="K26" s="2"/>
      <c r="L26" s="2"/>
      <c r="M26" s="2"/>
      <c r="N26" s="2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</row>
    <row r="27" customFormat="false" ht="16.5" hidden="false" customHeight="false" outlineLevel="0" collapsed="false">
      <c r="A27" s="72" t="s">
        <v>151</v>
      </c>
      <c r="B27" s="82"/>
      <c r="C27" s="82"/>
      <c r="D27" s="82"/>
      <c r="E27" s="82"/>
      <c r="F27" s="74"/>
      <c r="G27" s="74"/>
      <c r="H27" s="74"/>
      <c r="I27" s="74"/>
      <c r="J27" s="2"/>
      <c r="K27" s="2"/>
      <c r="L27" s="2"/>
      <c r="M27" s="2"/>
      <c r="N27" s="2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</row>
    <row r="28" customFormat="false" ht="13.5" hidden="false" customHeight="false" outlineLevel="0" collapsed="false">
      <c r="A28" s="2"/>
      <c r="B28" s="78"/>
      <c r="C28" s="78"/>
      <c r="D28" s="78"/>
      <c r="E28" s="92"/>
      <c r="F28" s="80"/>
      <c r="G28" s="80"/>
      <c r="H28" s="80"/>
      <c r="I28" s="93" t="s">
        <v>152</v>
      </c>
      <c r="J28" s="94" t="s">
        <v>153</v>
      </c>
      <c r="K28" s="94"/>
      <c r="L28" s="2"/>
      <c r="M28" s="2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1"/>
      <c r="CB28" s="71"/>
      <c r="CC28" s="71"/>
      <c r="CD28" s="71"/>
      <c r="CE28" s="71"/>
      <c r="CF28" s="71"/>
      <c r="CG28" s="71"/>
      <c r="CH28" s="71"/>
      <c r="CI28" s="71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</row>
    <row r="29" customFormat="false" ht="13.5" hidden="false" customHeight="false" outlineLevel="0" collapsed="false">
      <c r="A29" s="2"/>
      <c r="B29" s="78"/>
      <c r="C29" s="78"/>
      <c r="D29" s="78"/>
      <c r="E29" s="95" t="s">
        <v>154</v>
      </c>
      <c r="F29" s="95" t="s">
        <v>155</v>
      </c>
      <c r="G29" s="95" t="s">
        <v>156</v>
      </c>
      <c r="H29" s="96" t="s">
        <v>157</v>
      </c>
      <c r="I29" s="97" t="s">
        <v>158</v>
      </c>
      <c r="J29" s="98" t="s">
        <v>159</v>
      </c>
      <c r="K29" s="98" t="s">
        <v>160</v>
      </c>
      <c r="L29" s="2"/>
      <c r="M29" s="2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</row>
    <row r="30" customFormat="false" ht="12.75" hidden="false" customHeight="false" outlineLevel="0" collapsed="false">
      <c r="A30" s="77" t="s">
        <v>161</v>
      </c>
      <c r="B30" s="78"/>
      <c r="C30" s="79"/>
      <c r="D30" s="78"/>
      <c r="E30" s="80"/>
      <c r="F30" s="80"/>
      <c r="G30" s="80"/>
      <c r="H30" s="80"/>
      <c r="I30" s="80"/>
      <c r="J30" s="99"/>
      <c r="K30" s="100"/>
      <c r="L30" s="2"/>
      <c r="M30" s="2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</row>
    <row r="31" customFormat="false" ht="12.75" hidden="false" customHeight="false" outlineLevel="0" collapsed="false">
      <c r="A31" s="2"/>
      <c r="B31" s="78" t="s">
        <v>162</v>
      </c>
      <c r="C31" s="78"/>
      <c r="D31" s="78"/>
      <c r="E31" s="81" t="n">
        <f aca="false">'O&amp;M_Estimate'!D8</f>
        <v>1451918.666</v>
      </c>
      <c r="F31" s="81" t="n">
        <f aca="false">'O&amp;M_Estimate'!E8</f>
        <v>1451918.666</v>
      </c>
      <c r="G31" s="81" t="n">
        <f aca="false">'O&amp;M_Estimate'!F8</f>
        <v>1451918.666</v>
      </c>
      <c r="H31" s="81" t="n">
        <f aca="false">'O&amp;M_Estimate'!G8</f>
        <v>1451918.666</v>
      </c>
      <c r="I31" s="81" t="n">
        <f aca="false">'O&amp;M_Estimate'!H8</f>
        <v>1451918.666</v>
      </c>
      <c r="J31" s="101" t="n">
        <f aca="false">IF(Scope!F12=0,0,I31/Scope!F12/1000)</f>
        <v>2.268622915625</v>
      </c>
      <c r="K31" s="102"/>
      <c r="L31" s="2"/>
      <c r="M31" s="2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</row>
    <row r="32" customFormat="false" ht="12.75" hidden="false" customHeight="false" outlineLevel="0" collapsed="false">
      <c r="A32" s="2"/>
      <c r="B32" s="78" t="s">
        <v>163</v>
      </c>
      <c r="C32" s="78"/>
      <c r="D32" s="78"/>
      <c r="E32" s="81" t="n">
        <f aca="false">'O&amp;M_Estimate'!D21</f>
        <v>348852.284959265</v>
      </c>
      <c r="F32" s="81" t="n">
        <f aca="false">'O&amp;M_Estimate'!E21</f>
        <v>348852.284959265</v>
      </c>
      <c r="G32" s="81" t="n">
        <f aca="false">'O&amp;M_Estimate'!F21</f>
        <v>348852.284959265</v>
      </c>
      <c r="H32" s="81" t="n">
        <f aca="false">'O&amp;M_Estimate'!G21</f>
        <v>348852.284959265</v>
      </c>
      <c r="I32" s="81" t="n">
        <f aca="false">'O&amp;M_Estimate'!H21</f>
        <v>348852.284959265</v>
      </c>
      <c r="J32" s="101" t="n">
        <f aca="false">IF(Scope!F12=0,0,I32/Scope!F12/1000)</f>
        <v>0.545081695248851</v>
      </c>
      <c r="K32" s="102"/>
      <c r="L32" s="2"/>
      <c r="M32" s="2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</row>
    <row r="33" customFormat="false" ht="12.75" hidden="false" customHeight="false" outlineLevel="0" collapsed="false">
      <c r="A33" s="2"/>
      <c r="B33" s="78" t="s">
        <v>164</v>
      </c>
      <c r="C33" s="78"/>
      <c r="D33" s="78"/>
      <c r="E33" s="81" t="n">
        <f aca="false">'O&amp;M_Estimate'!D23</f>
        <v>604319.675034757</v>
      </c>
      <c r="F33" s="81" t="n">
        <f aca="false">'O&amp;M_Estimate'!E23</f>
        <v>604319.675034757</v>
      </c>
      <c r="G33" s="81" t="n">
        <f aca="false">'O&amp;M_Estimate'!F23</f>
        <v>604319.675034757</v>
      </c>
      <c r="H33" s="81" t="n">
        <f aca="false">'O&amp;M_Estimate'!G23</f>
        <v>604319.675034757</v>
      </c>
      <c r="I33" s="81" t="n">
        <f aca="false">'O&amp;M_Estimate'!H23</f>
        <v>604319.675034757</v>
      </c>
      <c r="J33" s="101"/>
      <c r="K33" s="102" t="n">
        <f aca="false">IF(Scope!F40=0,0,I33/Scope!F40)</f>
        <v>0.113464250449628</v>
      </c>
      <c r="L33" s="2"/>
      <c r="M33" s="2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1"/>
      <c r="EP33" s="71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1"/>
      <c r="FB33" s="71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1"/>
      <c r="FN33" s="71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1"/>
      <c r="FZ33" s="71"/>
      <c r="GA33" s="71"/>
      <c r="GB33" s="71"/>
      <c r="GC33" s="71"/>
      <c r="GD33" s="71"/>
      <c r="GE33" s="71"/>
      <c r="GF33" s="71"/>
      <c r="GG33" s="71"/>
      <c r="GH33" s="71"/>
      <c r="GI33" s="71"/>
      <c r="GJ33" s="71"/>
      <c r="GK33" s="71"/>
      <c r="GL33" s="71"/>
      <c r="GM33" s="71"/>
      <c r="GN33" s="71"/>
      <c r="GO33" s="71"/>
      <c r="GP33" s="71"/>
      <c r="GQ33" s="71"/>
      <c r="GR33" s="71"/>
      <c r="GS33" s="71"/>
      <c r="GT33" s="71"/>
      <c r="GU33" s="71"/>
      <c r="GV33" s="71"/>
      <c r="GW33" s="71"/>
      <c r="GX33" s="71"/>
      <c r="GY33" s="71"/>
      <c r="GZ33" s="71"/>
      <c r="HA33" s="71"/>
      <c r="HB33" s="71"/>
      <c r="HC33" s="71"/>
      <c r="HD33" s="71"/>
      <c r="HE33" s="71"/>
      <c r="HF33" s="71"/>
      <c r="HG33" s="71"/>
      <c r="HH33" s="71"/>
      <c r="HI33" s="71"/>
      <c r="HJ33" s="71"/>
      <c r="HK33" s="71"/>
      <c r="HL33" s="71"/>
      <c r="HM33" s="71"/>
      <c r="HN33" s="71"/>
      <c r="HO33" s="71"/>
      <c r="HP33" s="71"/>
      <c r="HQ33" s="71"/>
      <c r="HR33" s="71"/>
      <c r="HS33" s="71"/>
      <c r="HT33" s="71"/>
      <c r="HU33" s="71"/>
      <c r="HV33" s="71"/>
      <c r="HW33" s="71"/>
      <c r="HX33" s="71"/>
      <c r="HY33" s="71"/>
      <c r="HZ33" s="71"/>
      <c r="IA33" s="71"/>
      <c r="IB33" s="71"/>
      <c r="IC33" s="71"/>
      <c r="ID33" s="71"/>
      <c r="IE33" s="71"/>
      <c r="IF33" s="71"/>
      <c r="IG33" s="71"/>
      <c r="IH33" s="71"/>
      <c r="II33" s="71"/>
      <c r="IJ33" s="71"/>
      <c r="IK33" s="71"/>
      <c r="IL33" s="71"/>
      <c r="IM33" s="71"/>
      <c r="IN33" s="71"/>
      <c r="IO33" s="71"/>
      <c r="IP33" s="71"/>
      <c r="IQ33" s="71"/>
      <c r="IR33" s="71"/>
      <c r="IS33" s="71"/>
      <c r="IT33" s="71"/>
      <c r="IU33" s="71"/>
      <c r="IV33" s="71"/>
      <c r="IW33" s="71"/>
    </row>
    <row r="34" customFormat="false" ht="12.75" hidden="false" customHeight="false" outlineLevel="0" collapsed="false">
      <c r="A34" s="2"/>
      <c r="B34" s="78" t="s">
        <v>165</v>
      </c>
      <c r="C34" s="78"/>
      <c r="D34" s="78"/>
      <c r="E34" s="81" t="n">
        <f aca="false">'O&amp;M_Estimate'!D39</f>
        <v>1239658.47117524</v>
      </c>
      <c r="F34" s="81" t="n">
        <f aca="false">'O&amp;M_Estimate'!E39</f>
        <v>1254171.63076433</v>
      </c>
      <c r="G34" s="81" t="n">
        <f aca="false">'O&amp;M_Estimate'!F39</f>
        <v>1254171.63076433</v>
      </c>
      <c r="H34" s="81" t="n">
        <f aca="false">'O&amp;M_Estimate'!G39</f>
        <v>2309119.56774437</v>
      </c>
      <c r="I34" s="81" t="n">
        <f aca="false">'O&amp;M_Estimate'!H39</f>
        <v>2150151.71921791</v>
      </c>
      <c r="J34" s="101" t="n">
        <f aca="false">IF(Scope!F12=0,0,I34/Scope!F12/1000*0.75)</f>
        <v>2.51970904595849</v>
      </c>
      <c r="K34" s="102" t="n">
        <f aca="false">IF(Scope!F40=0,0,I34/Scope!F40*0.25)</f>
        <v>0.100925620682468</v>
      </c>
      <c r="L34" s="2"/>
      <c r="M34" s="2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1"/>
      <c r="CB34" s="71"/>
      <c r="CC34" s="71"/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71"/>
      <c r="DH34" s="71"/>
      <c r="DI34" s="71"/>
      <c r="DJ34" s="71"/>
      <c r="DK34" s="71"/>
      <c r="DL34" s="71"/>
      <c r="DM34" s="71"/>
      <c r="DN34" s="71"/>
      <c r="DO34" s="71"/>
      <c r="DP34" s="71"/>
      <c r="DQ34" s="71"/>
      <c r="DR34" s="71"/>
      <c r="DS34" s="71"/>
      <c r="DT34" s="71"/>
      <c r="DU34" s="71"/>
      <c r="DV34" s="71"/>
      <c r="DW34" s="71"/>
      <c r="DX34" s="71"/>
      <c r="DY34" s="71"/>
      <c r="DZ34" s="71"/>
      <c r="EA34" s="71"/>
      <c r="EB34" s="71"/>
      <c r="EC34" s="71"/>
      <c r="ED34" s="71"/>
      <c r="EE34" s="71"/>
      <c r="EF34" s="71"/>
      <c r="EG34" s="71"/>
      <c r="EH34" s="71"/>
      <c r="EI34" s="71"/>
      <c r="EJ34" s="71"/>
      <c r="EK34" s="71"/>
      <c r="EL34" s="71"/>
      <c r="EM34" s="71"/>
      <c r="EN34" s="71"/>
      <c r="EO34" s="71"/>
      <c r="EP34" s="71"/>
      <c r="EQ34" s="71"/>
      <c r="ER34" s="71"/>
      <c r="ES34" s="71"/>
      <c r="ET34" s="71"/>
      <c r="EU34" s="71"/>
      <c r="EV34" s="71"/>
      <c r="EW34" s="71"/>
      <c r="EX34" s="71"/>
      <c r="EY34" s="71"/>
      <c r="EZ34" s="71"/>
      <c r="FA34" s="71"/>
      <c r="FB34" s="71"/>
      <c r="FC34" s="71"/>
      <c r="FD34" s="71"/>
      <c r="FE34" s="71"/>
      <c r="FF34" s="71"/>
      <c r="FG34" s="71"/>
      <c r="FH34" s="71"/>
      <c r="FI34" s="71"/>
      <c r="FJ34" s="71"/>
      <c r="FK34" s="71"/>
      <c r="FL34" s="71"/>
      <c r="FM34" s="71"/>
      <c r="FN34" s="71"/>
      <c r="FO34" s="71"/>
      <c r="FP34" s="71"/>
      <c r="FQ34" s="71"/>
      <c r="FR34" s="71"/>
      <c r="FS34" s="71"/>
      <c r="FT34" s="71"/>
      <c r="FU34" s="71"/>
      <c r="FV34" s="71"/>
      <c r="FW34" s="71"/>
      <c r="FX34" s="71"/>
      <c r="FY34" s="71"/>
      <c r="FZ34" s="71"/>
      <c r="GA34" s="71"/>
      <c r="GB34" s="71"/>
      <c r="GC34" s="71"/>
      <c r="GD34" s="71"/>
      <c r="GE34" s="71"/>
      <c r="GF34" s="71"/>
      <c r="GG34" s="71"/>
      <c r="GH34" s="71"/>
      <c r="GI34" s="71"/>
      <c r="GJ34" s="71"/>
      <c r="GK34" s="71"/>
      <c r="GL34" s="71"/>
      <c r="GM34" s="71"/>
      <c r="GN34" s="71"/>
      <c r="GO34" s="71"/>
      <c r="GP34" s="71"/>
      <c r="GQ34" s="71"/>
      <c r="GR34" s="71"/>
      <c r="GS34" s="71"/>
      <c r="GT34" s="71"/>
      <c r="GU34" s="71"/>
      <c r="GV34" s="71"/>
      <c r="GW34" s="71"/>
      <c r="GX34" s="71"/>
      <c r="GY34" s="71"/>
      <c r="GZ34" s="71"/>
      <c r="HA34" s="71"/>
      <c r="HB34" s="71"/>
      <c r="HC34" s="71"/>
      <c r="HD34" s="71"/>
      <c r="HE34" s="71"/>
      <c r="HF34" s="71"/>
      <c r="HG34" s="71"/>
      <c r="HH34" s="71"/>
      <c r="HI34" s="71"/>
      <c r="HJ34" s="71"/>
      <c r="HK34" s="71"/>
      <c r="HL34" s="71"/>
      <c r="HM34" s="71"/>
      <c r="HN34" s="71"/>
      <c r="HO34" s="71"/>
      <c r="HP34" s="71"/>
      <c r="HQ34" s="71"/>
      <c r="HR34" s="71"/>
      <c r="HS34" s="71"/>
      <c r="HT34" s="71"/>
      <c r="HU34" s="71"/>
      <c r="HV34" s="71"/>
      <c r="HW34" s="71"/>
      <c r="HX34" s="71"/>
      <c r="HY34" s="71"/>
      <c r="HZ34" s="71"/>
      <c r="IA34" s="71"/>
      <c r="IB34" s="71"/>
      <c r="IC34" s="71"/>
      <c r="ID34" s="71"/>
      <c r="IE34" s="71"/>
      <c r="IF34" s="71"/>
      <c r="IG34" s="71"/>
      <c r="IH34" s="71"/>
      <c r="II34" s="71"/>
      <c r="IJ34" s="71"/>
      <c r="IK34" s="71"/>
      <c r="IL34" s="71"/>
      <c r="IM34" s="71"/>
      <c r="IN34" s="71"/>
      <c r="IO34" s="71"/>
      <c r="IP34" s="71"/>
      <c r="IQ34" s="71"/>
      <c r="IR34" s="71"/>
      <c r="IS34" s="71"/>
      <c r="IT34" s="71"/>
      <c r="IU34" s="71"/>
      <c r="IV34" s="71"/>
      <c r="IW34" s="71"/>
    </row>
    <row r="35" customFormat="false" ht="12.75" hidden="false" customHeight="false" outlineLevel="0" collapsed="false">
      <c r="A35" s="2"/>
      <c r="B35" s="78" t="s">
        <v>166</v>
      </c>
      <c r="C35" s="78"/>
      <c r="D35" s="78"/>
      <c r="E35" s="81" t="n">
        <f aca="false">'O&amp;M_Estimate'!D41</f>
        <v>26055.5222919563</v>
      </c>
      <c r="F35" s="81" t="n">
        <f aca="false">'O&amp;M_Estimate'!E41</f>
        <v>26055.5222919563</v>
      </c>
      <c r="G35" s="81" t="n">
        <f aca="false">'O&amp;M_Estimate'!F41</f>
        <v>26055.5222919563</v>
      </c>
      <c r="H35" s="81" t="n">
        <f aca="false">'O&amp;M_Estimate'!G41</f>
        <v>26055.5222919563</v>
      </c>
      <c r="I35" s="81" t="n">
        <f aca="false">'O&amp;M_Estimate'!H41</f>
        <v>26055.5222919563</v>
      </c>
      <c r="J35" s="101" t="n">
        <f aca="false">IF(Scope!F12=0,0,I35/Scope!F12/1000)</f>
        <v>0.0407117535811817</v>
      </c>
      <c r="K35" s="102"/>
      <c r="L35" s="2"/>
      <c r="M35" s="2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</row>
    <row r="36" customFormat="false" ht="12.75" hidden="false" customHeight="false" outlineLevel="0" collapsed="false">
      <c r="A36" s="2"/>
      <c r="B36" s="78"/>
      <c r="C36" s="78"/>
      <c r="D36" s="78"/>
      <c r="E36" s="81"/>
      <c r="F36" s="81"/>
      <c r="G36" s="81"/>
      <c r="H36" s="81"/>
      <c r="I36" s="81"/>
      <c r="J36" s="101"/>
      <c r="K36" s="102"/>
      <c r="L36" s="2"/>
      <c r="M36" s="2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</row>
    <row r="37" customFormat="false" ht="13.5" hidden="false" customHeight="false" outlineLevel="0" collapsed="false">
      <c r="A37" s="2"/>
      <c r="B37" s="82" t="s">
        <v>167</v>
      </c>
      <c r="C37" s="78"/>
      <c r="D37" s="78"/>
      <c r="E37" s="83" t="n">
        <f aca="false">SUM(E31:E35)</f>
        <v>3670804.61946122</v>
      </c>
      <c r="F37" s="83" t="n">
        <f aca="false">SUM(F31:F35)</f>
        <v>3685317.77905031</v>
      </c>
      <c r="G37" s="83" t="n">
        <f aca="false">SUM(G31:G35)</f>
        <v>3685317.77905031</v>
      </c>
      <c r="H37" s="83" t="n">
        <f aca="false">SUM(H31:H35)</f>
        <v>4740265.71603035</v>
      </c>
      <c r="I37" s="83" t="n">
        <f aca="false">SUM(I31:I35)</f>
        <v>4581297.86750389</v>
      </c>
      <c r="J37" s="103"/>
      <c r="K37" s="104"/>
      <c r="L37" s="2"/>
      <c r="M37" s="2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</row>
    <row r="38" customFormat="false" ht="13.5" hidden="false" customHeight="false" outlineLevel="0" collapsed="false">
      <c r="A38" s="2"/>
      <c r="B38" s="82"/>
      <c r="C38" s="82"/>
      <c r="D38" s="82"/>
      <c r="E38" s="74"/>
      <c r="F38" s="74"/>
      <c r="G38" s="74"/>
      <c r="H38" s="74"/>
      <c r="I38" s="74"/>
      <c r="J38" s="105" t="n">
        <f aca="false">SUM(J31:J35)</f>
        <v>5.37412541041352</v>
      </c>
      <c r="K38" s="105" t="n">
        <f aca="false">SUM(K31:K35)</f>
        <v>0.214389871132096</v>
      </c>
      <c r="L38" s="2"/>
      <c r="M38" s="2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</row>
    <row r="39" customFormat="false" ht="13.5" hidden="false" customHeight="false" outlineLevel="0" collapsed="false">
      <c r="A39" s="2"/>
      <c r="B39" s="78"/>
      <c r="C39" s="78"/>
      <c r="D39" s="78"/>
      <c r="E39" s="78"/>
      <c r="F39" s="78"/>
      <c r="G39" s="78"/>
      <c r="H39" s="78"/>
      <c r="I39" s="2"/>
      <c r="J39" s="2"/>
      <c r="K39" s="106"/>
      <c r="L39" s="2"/>
      <c r="M39" s="2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  <c r="DN39" s="71"/>
      <c r="DO39" s="71"/>
      <c r="DP39" s="71"/>
      <c r="DQ39" s="71"/>
      <c r="DR39" s="71"/>
      <c r="DS39" s="71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I39" s="71"/>
      <c r="EJ39" s="71"/>
      <c r="EK39" s="71"/>
      <c r="EL39" s="71"/>
      <c r="EM39" s="71"/>
      <c r="EN39" s="71"/>
      <c r="EO39" s="71"/>
      <c r="EP39" s="71"/>
      <c r="EQ39" s="71"/>
      <c r="ER39" s="71"/>
      <c r="ES39" s="71"/>
      <c r="ET39" s="71"/>
      <c r="EU39" s="71"/>
      <c r="EV39" s="71"/>
      <c r="EW39" s="71"/>
      <c r="EX39" s="71"/>
      <c r="EY39" s="71"/>
      <c r="EZ39" s="71"/>
      <c r="FA39" s="71"/>
      <c r="FB39" s="71"/>
      <c r="FC39" s="71"/>
      <c r="FD39" s="71"/>
      <c r="FE39" s="71"/>
      <c r="FF39" s="71"/>
      <c r="FG39" s="71"/>
      <c r="FH39" s="71"/>
      <c r="FI39" s="71"/>
      <c r="FJ39" s="71"/>
      <c r="FK39" s="71"/>
      <c r="FL39" s="71"/>
      <c r="FM39" s="71"/>
      <c r="FN39" s="71"/>
      <c r="FO39" s="71"/>
      <c r="FP39" s="71"/>
      <c r="FQ39" s="71"/>
      <c r="FR39" s="71"/>
      <c r="FS39" s="71"/>
      <c r="FT39" s="71"/>
      <c r="FU39" s="71"/>
      <c r="FV39" s="71"/>
      <c r="FW39" s="71"/>
      <c r="FX39" s="71"/>
      <c r="FY39" s="71"/>
      <c r="FZ39" s="71"/>
      <c r="GA39" s="71"/>
      <c r="GB39" s="71"/>
      <c r="GC39" s="71"/>
      <c r="GD39" s="71"/>
      <c r="GE39" s="71"/>
      <c r="GF39" s="71"/>
      <c r="GG39" s="71"/>
      <c r="GH39" s="71"/>
      <c r="GI39" s="71"/>
      <c r="GJ39" s="71"/>
      <c r="GK39" s="71"/>
      <c r="GL39" s="71"/>
      <c r="GM39" s="71"/>
      <c r="GN39" s="71"/>
      <c r="GO39" s="71"/>
      <c r="GP39" s="71"/>
      <c r="GQ39" s="71"/>
      <c r="GR39" s="71"/>
      <c r="GS39" s="71"/>
      <c r="GT39" s="71"/>
      <c r="GU39" s="71"/>
      <c r="GV39" s="71"/>
      <c r="GW39" s="71"/>
      <c r="GX39" s="71"/>
      <c r="GY39" s="71"/>
      <c r="GZ39" s="71"/>
      <c r="HA39" s="71"/>
      <c r="HB39" s="71"/>
      <c r="HC39" s="71"/>
      <c r="HD39" s="71"/>
      <c r="HE39" s="71"/>
      <c r="HF39" s="71"/>
      <c r="HG39" s="71"/>
      <c r="HH39" s="71"/>
      <c r="HI39" s="71"/>
      <c r="HJ39" s="71"/>
      <c r="HK39" s="71"/>
      <c r="HL39" s="71"/>
      <c r="HM39" s="71"/>
      <c r="HN39" s="71"/>
      <c r="HO39" s="71"/>
      <c r="HP39" s="71"/>
      <c r="HQ39" s="71"/>
      <c r="HR39" s="71"/>
      <c r="HS39" s="71"/>
      <c r="HT39" s="71"/>
      <c r="HU39" s="71"/>
      <c r="HV39" s="71"/>
      <c r="HW39" s="71"/>
      <c r="HX39" s="71"/>
      <c r="HY39" s="71"/>
      <c r="HZ39" s="71"/>
      <c r="IA39" s="71"/>
      <c r="IB39" s="71"/>
      <c r="IC39" s="71"/>
      <c r="ID39" s="71"/>
      <c r="IE39" s="71"/>
      <c r="IF39" s="71"/>
      <c r="IG39" s="71"/>
      <c r="IH39" s="71"/>
      <c r="II39" s="71"/>
      <c r="IJ39" s="71"/>
      <c r="IK39" s="71"/>
      <c r="IL39" s="71"/>
      <c r="IM39" s="71"/>
      <c r="IN39" s="71"/>
      <c r="IO39" s="71"/>
      <c r="IP39" s="71"/>
      <c r="IQ39" s="71"/>
      <c r="IR39" s="71"/>
      <c r="IS39" s="71"/>
      <c r="IT39" s="71"/>
      <c r="IU39" s="71"/>
      <c r="IV39" s="71"/>
      <c r="IW39" s="71"/>
    </row>
    <row r="40" customFormat="false" ht="13.5" hidden="false" customHeight="false" outlineLevel="0" collapsed="false">
      <c r="A40" s="77" t="s">
        <v>168</v>
      </c>
      <c r="B40" s="78"/>
      <c r="C40" s="71"/>
      <c r="D40" s="107" t="s">
        <v>169</v>
      </c>
      <c r="E40" s="89" t="n">
        <f aca="false">'O&amp;M Backup_Detail'!D265</f>
        <v>141072289.1304</v>
      </c>
      <c r="F40" s="74"/>
      <c r="G40" s="74"/>
      <c r="H40" s="108" t="s">
        <v>170</v>
      </c>
      <c r="I40" s="89" t="n">
        <f aca="false">E40/20</f>
        <v>7053614.45652</v>
      </c>
      <c r="J40" s="74"/>
      <c r="K40" s="2"/>
      <c r="L40" s="2"/>
      <c r="M40" s="2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</row>
    <row r="41" customFormat="false" ht="13.5" hidden="false" customHeight="false" outlineLevel="0" collapsed="false">
      <c r="A41" s="77"/>
      <c r="B41" s="78"/>
      <c r="C41" s="79"/>
      <c r="D41" s="78"/>
      <c r="E41" s="74"/>
      <c r="F41" s="74"/>
      <c r="G41" s="74"/>
      <c r="H41" s="0"/>
      <c r="I41" s="0"/>
      <c r="J41" s="74"/>
      <c r="K41" s="2"/>
      <c r="L41" s="2"/>
      <c r="M41" s="2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</row>
    <row r="42" customFormat="false" ht="13.5" hidden="false" customHeight="false" outlineLevel="0" collapsed="false">
      <c r="A42" s="109" t="s">
        <v>171</v>
      </c>
      <c r="B42" s="82"/>
      <c r="C42" s="82"/>
      <c r="D42" s="82"/>
      <c r="E42" s="2"/>
      <c r="F42" s="2"/>
      <c r="G42" s="2"/>
      <c r="H42" s="108" t="s">
        <v>170</v>
      </c>
      <c r="I42" s="90" t="n">
        <f aca="false">'O&amp;M_Estimate'!H49</f>
        <v>11634912.3240239</v>
      </c>
      <c r="J42" s="2"/>
      <c r="K42" s="2"/>
      <c r="L42" s="2"/>
      <c r="M42" s="2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</row>
    <row r="43" customFormat="false" ht="12.75" hidden="true" customHeight="false" outlineLevel="0" collapsed="false">
      <c r="A43" s="0"/>
      <c r="B43" s="110"/>
      <c r="C43" s="111"/>
      <c r="D43" s="82"/>
      <c r="E43" s="0"/>
      <c r="F43" s="112"/>
      <c r="G43" s="112"/>
      <c r="H43" s="112"/>
      <c r="I43" s="112"/>
      <c r="J43" s="2"/>
      <c r="K43" s="2"/>
      <c r="L43" s="2"/>
      <c r="M43" s="2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</row>
    <row r="44" customFormat="false" ht="13.5" hidden="true" customHeight="false" outlineLevel="0" collapsed="false">
      <c r="A44" s="0"/>
      <c r="B44" s="110"/>
      <c r="C44" s="111"/>
      <c r="D44" s="82"/>
      <c r="E44" s="0"/>
      <c r="F44" s="112"/>
      <c r="G44" s="112"/>
      <c r="H44" s="112"/>
      <c r="I44" s="112"/>
      <c r="J44" s="2"/>
      <c r="K44" s="2"/>
      <c r="L44" s="2"/>
      <c r="M44" s="2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</row>
    <row r="45" customFormat="false" ht="13.5" hidden="true" customHeight="false" outlineLevel="0" collapsed="false">
      <c r="A45" s="77" t="s">
        <v>172</v>
      </c>
      <c r="B45" s="110"/>
      <c r="C45" s="111"/>
      <c r="D45" s="82"/>
      <c r="E45" s="90" t="e">
        <f aca="false">#REF!</f>
        <v>#REF!</v>
      </c>
      <c r="F45" s="90" t="e">
        <f aca="false">#REF!</f>
        <v>#REF!</v>
      </c>
      <c r="G45" s="90" t="e">
        <f aca="false">#REF!</f>
        <v>#REF!</v>
      </c>
      <c r="H45" s="90" t="e">
        <f aca="false">#REF!</f>
        <v>#REF!</v>
      </c>
      <c r="I45" s="90" t="e">
        <f aca="false">#REF!</f>
        <v>#REF!</v>
      </c>
      <c r="J45" s="2"/>
      <c r="K45" s="2"/>
      <c r="L45" s="2"/>
      <c r="M45" s="2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</row>
    <row r="46" customFormat="false" ht="13.5" hidden="true" customHeight="false" outlineLevel="0" collapsed="false">
      <c r="A46" s="2"/>
      <c r="B46" s="82"/>
      <c r="C46" s="82"/>
      <c r="D46" s="82"/>
      <c r="E46" s="2"/>
      <c r="F46" s="2"/>
      <c r="G46" s="2"/>
      <c r="H46" s="2"/>
      <c r="I46" s="2"/>
      <c r="J46" s="2"/>
      <c r="K46" s="2"/>
      <c r="L46" s="2"/>
      <c r="M46" s="2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</row>
    <row r="47" customFormat="false" ht="13.5" hidden="true" customHeight="false" outlineLevel="0" collapsed="false">
      <c r="A47" s="77" t="s">
        <v>173</v>
      </c>
      <c r="B47" s="0"/>
      <c r="C47" s="79"/>
      <c r="D47" s="0"/>
      <c r="E47" s="89" t="e">
        <f aca="false">#REF!</f>
        <v>#REF!</v>
      </c>
      <c r="F47" s="89" t="e">
        <f aca="false">#REF!</f>
        <v>#REF!</v>
      </c>
      <c r="G47" s="89" t="e">
        <f aca="false">#REF!</f>
        <v>#REF!</v>
      </c>
      <c r="H47" s="89" t="e">
        <f aca="false">#REF!</f>
        <v>#REF!</v>
      </c>
      <c r="I47" s="89" t="e">
        <f aca="false">#REF!</f>
        <v>#REF!</v>
      </c>
      <c r="J47" s="2"/>
      <c r="K47" s="2"/>
      <c r="L47" s="2"/>
      <c r="M47" s="2"/>
      <c r="N47" s="2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</row>
    <row r="48" customFormat="false" ht="12.75" hidden="true" customHeight="false" outlineLevel="0" collapsed="false">
      <c r="A48" s="77"/>
      <c r="B48" s="0"/>
      <c r="C48" s="79"/>
      <c r="D48" s="0"/>
      <c r="E48" s="74"/>
      <c r="F48" s="74"/>
      <c r="G48" s="74"/>
      <c r="H48" s="74"/>
      <c r="I48" s="74"/>
      <c r="J48" s="2"/>
      <c r="K48" s="2"/>
      <c r="L48" s="2"/>
      <c r="M48" s="2"/>
      <c r="N48" s="2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</row>
    <row r="49" customFormat="false" ht="13.5" hidden="false" customHeight="false" outlineLevel="0" collapsed="false">
      <c r="A49" s="77"/>
      <c r="B49" s="78"/>
      <c r="C49" s="0"/>
      <c r="D49" s="0"/>
      <c r="E49" s="0"/>
      <c r="F49" s="0"/>
      <c r="G49" s="0"/>
      <c r="H49" s="0"/>
      <c r="I49" s="2"/>
      <c r="J49" s="2"/>
      <c r="K49" s="2"/>
      <c r="L49" s="2"/>
      <c r="M49" s="2"/>
      <c r="N49" s="2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</row>
    <row r="50" customFormat="false" ht="13.5" hidden="true" customHeight="false" outlineLevel="0" collapsed="false">
      <c r="A50" s="109" t="s">
        <v>174</v>
      </c>
      <c r="B50" s="78"/>
      <c r="C50" s="78"/>
      <c r="D50" s="78"/>
      <c r="E50" s="78"/>
      <c r="F50" s="2"/>
      <c r="G50" s="2"/>
      <c r="H50" s="2"/>
      <c r="I50" s="90" t="e">
        <f aca="false">I47+I45+I40+I37</f>
        <v>#REF!</v>
      </c>
      <c r="J50" s="2"/>
      <c r="K50" s="2"/>
      <c r="L50" s="2"/>
      <c r="M50" s="2"/>
      <c r="N50" s="2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</row>
    <row r="51" customFormat="false" ht="12.75" hidden="true" customHeight="false" outlineLevel="0" collapsed="false">
      <c r="A51" s="109"/>
      <c r="B51" s="78"/>
      <c r="C51" s="78"/>
      <c r="D51" s="78"/>
      <c r="E51" s="78"/>
      <c r="F51" s="2"/>
      <c r="G51" s="2"/>
      <c r="H51" s="2"/>
      <c r="I51" s="87"/>
      <c r="J51" s="2"/>
      <c r="K51" s="2"/>
      <c r="L51" s="2"/>
      <c r="M51" s="2"/>
      <c r="N51" s="2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</row>
    <row r="52" customFormat="false" ht="13.5" hidden="true" customHeight="false" outlineLevel="0" collapsed="false">
      <c r="A52" s="2"/>
      <c r="B52" s="78"/>
      <c r="C52" s="78"/>
      <c r="D52" s="78"/>
      <c r="E52" s="78"/>
      <c r="F52" s="2"/>
      <c r="G52" s="2"/>
      <c r="H52" s="2"/>
      <c r="I52" s="2"/>
      <c r="J52" s="2"/>
      <c r="K52" s="2"/>
      <c r="L52" s="2"/>
      <c r="M52" s="2"/>
      <c r="N52" s="2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</row>
    <row r="53" customFormat="false" ht="13.5" hidden="false" customHeight="false" outlineLevel="0" collapsed="false">
      <c r="A53" s="109" t="s">
        <v>175</v>
      </c>
      <c r="B53" s="78"/>
      <c r="C53" s="78"/>
      <c r="D53" s="78"/>
      <c r="E53" s="113" t="n">
        <f aca="false">'O&amp;M_Estimate'!D57</f>
        <v>1160000</v>
      </c>
      <c r="F53" s="90" t="n">
        <f aca="false">'O&amp;M_Estimate'!E57</f>
        <v>1160000</v>
      </c>
      <c r="G53" s="90" t="n">
        <f aca="false">'O&amp;M_Estimate'!F57</f>
        <v>1160000</v>
      </c>
      <c r="H53" s="90" t="n">
        <f aca="false">'O&amp;M_Estimate'!G57</f>
        <v>1160000</v>
      </c>
      <c r="I53" s="114" t="n">
        <f aca="false">'O&amp;M_Estimate'!H57</f>
        <v>1160000</v>
      </c>
      <c r="J53" s="2"/>
      <c r="K53" s="2"/>
      <c r="L53" s="2"/>
      <c r="M53" s="2"/>
      <c r="N53" s="2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</row>
    <row r="54" customFormat="false" ht="13.5" hidden="true" customHeight="false" outlineLevel="0" collapsed="false">
      <c r="A54" s="109" t="s">
        <v>150</v>
      </c>
      <c r="B54" s="78"/>
      <c r="C54" s="78"/>
      <c r="D54" s="78"/>
      <c r="E54" s="115" t="n">
        <f aca="false">'O&amp;M_Estimate'!D58</f>
        <v>0</v>
      </c>
      <c r="F54" s="86" t="n">
        <f aca="false">'O&amp;M_Estimate'!E58</f>
        <v>0</v>
      </c>
      <c r="G54" s="86" t="n">
        <f aca="false">'O&amp;M_Estimate'!F58</f>
        <v>0</v>
      </c>
      <c r="H54" s="86" t="n">
        <f aca="false">'O&amp;M_Estimate'!G58</f>
        <v>0</v>
      </c>
      <c r="I54" s="116" t="n">
        <f aca="false">'O&amp;M_Estimate'!H58</f>
        <v>0</v>
      </c>
      <c r="J54" s="2"/>
      <c r="K54" s="2"/>
      <c r="L54" s="2"/>
      <c r="M54" s="2"/>
      <c r="N54" s="2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</row>
    <row r="55" customFormat="false" ht="12.75" hidden="false" customHeight="false" outlineLevel="0" collapsed="false">
      <c r="A55" s="2"/>
      <c r="B55" s="78"/>
      <c r="C55" s="78"/>
      <c r="D55" s="78"/>
      <c r="E55" s="78"/>
      <c r="F55" s="2"/>
      <c r="G55" s="2"/>
      <c r="H55" s="2"/>
      <c r="I55" s="2"/>
      <c r="J55" s="2"/>
      <c r="K55" s="2"/>
      <c r="L55" s="2"/>
      <c r="M55" s="2"/>
      <c r="N55" s="2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</row>
    <row r="56" customFormat="false" ht="12.75" hidden="false" customHeight="false" outlineLevel="0" collapsed="false">
      <c r="A56" s="2"/>
      <c r="B56" s="78" t="s">
        <v>176</v>
      </c>
      <c r="C56" s="78"/>
      <c r="D56" s="78"/>
      <c r="E56" s="78"/>
      <c r="F56" s="2"/>
      <c r="G56" s="2"/>
      <c r="H56" s="2"/>
      <c r="I56" s="2"/>
      <c r="J56" s="2"/>
      <c r="K56" s="2"/>
      <c r="L56" s="2"/>
      <c r="M56" s="2"/>
      <c r="N56" s="2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</row>
    <row r="57" customFormat="false" ht="12.75" hidden="false" customHeight="false" outlineLevel="0" collapsed="false">
      <c r="A57" s="2"/>
      <c r="B57" s="78"/>
      <c r="C57" s="78"/>
      <c r="D57" s="78"/>
      <c r="E57" s="78"/>
      <c r="F57" s="2"/>
      <c r="G57" s="2"/>
      <c r="H57" s="2"/>
      <c r="I57" s="2"/>
      <c r="J57" s="2"/>
      <c r="K57" s="2"/>
      <c r="L57" s="2"/>
      <c r="M57" s="2"/>
      <c r="N57" s="2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</row>
    <row r="58" customFormat="false" ht="12.75" hidden="false" customHeight="false" outlineLevel="0" collapsed="false">
      <c r="A58" s="2"/>
      <c r="B58" s="78"/>
      <c r="C58" s="78"/>
      <c r="D58" s="78"/>
      <c r="E58" s="78"/>
      <c r="F58" s="2"/>
      <c r="G58" s="2"/>
      <c r="H58" s="2"/>
      <c r="I58" s="2"/>
      <c r="J58" s="2"/>
      <c r="K58" s="2"/>
      <c r="L58" s="2"/>
      <c r="M58" s="2"/>
      <c r="N58" s="2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</row>
    <row r="59" customFormat="false" ht="12.75" hidden="false" customHeight="false" outlineLevel="0" collapsed="false">
      <c r="A59" s="2"/>
      <c r="B59" s="78"/>
      <c r="C59" s="78"/>
      <c r="D59" s="78"/>
      <c r="E59" s="78"/>
      <c r="F59" s="2"/>
      <c r="G59" s="2"/>
      <c r="H59" s="2"/>
      <c r="I59" s="2"/>
      <c r="J59" s="2"/>
      <c r="K59" s="2"/>
      <c r="L59" s="2"/>
      <c r="M59" s="2"/>
      <c r="N59" s="2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</row>
    <row r="60" customFormat="false" ht="12.75" hidden="false" customHeight="false" outlineLevel="0" collapsed="false">
      <c r="A60" s="2"/>
      <c r="B60" s="78"/>
      <c r="C60" s="78"/>
      <c r="D60" s="78"/>
      <c r="E60" s="78"/>
      <c r="F60" s="2"/>
      <c r="G60" s="2"/>
      <c r="H60" s="2"/>
      <c r="I60" s="2"/>
      <c r="J60" s="2"/>
      <c r="K60" s="2"/>
      <c r="L60" s="2"/>
      <c r="M60" s="2"/>
      <c r="N60" s="2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</row>
    <row r="61" customFormat="false" ht="12.75" hidden="false" customHeight="false" outlineLevel="0" collapsed="false">
      <c r="A61" s="2"/>
      <c r="B61" s="78"/>
      <c r="C61" s="78"/>
      <c r="D61" s="78"/>
      <c r="E61" s="2"/>
      <c r="F61" s="2"/>
      <c r="G61" s="2"/>
      <c r="H61" s="2"/>
      <c r="I61" s="2"/>
      <c r="J61" s="2"/>
      <c r="K61" s="2"/>
      <c r="L61" s="2"/>
      <c r="M61" s="2"/>
      <c r="N61" s="2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</row>
    <row r="62" customFormat="false" ht="12.75" hidden="false" customHeight="false" outlineLevel="0" collapsed="false">
      <c r="A62" s="2"/>
      <c r="B62" s="78"/>
      <c r="C62" s="78"/>
      <c r="D62" s="78"/>
      <c r="E62" s="2"/>
      <c r="F62" s="2"/>
      <c r="G62" s="2"/>
      <c r="H62" s="2"/>
      <c r="I62" s="2"/>
      <c r="J62" s="2"/>
      <c r="K62" s="2"/>
      <c r="L62" s="2"/>
      <c r="M62" s="2"/>
      <c r="N62" s="2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</row>
    <row r="63" customFormat="false" ht="12.75" hidden="false" customHeight="false" outlineLevel="0" collapsed="false">
      <c r="A63" s="2"/>
      <c r="B63" s="78"/>
      <c r="C63" s="78"/>
      <c r="D63" s="78"/>
      <c r="E63" s="2"/>
      <c r="F63" s="2"/>
      <c r="G63" s="2"/>
      <c r="H63" s="2"/>
      <c r="I63" s="2"/>
      <c r="J63" s="2"/>
      <c r="K63" s="2"/>
      <c r="L63" s="2"/>
      <c r="M63" s="2"/>
      <c r="N63" s="2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</row>
    <row r="64" customFormat="false" ht="12.75" hidden="false" customHeight="false" outlineLevel="0" collapsed="false">
      <c r="A64" s="2"/>
      <c r="B64" s="78"/>
      <c r="C64" s="78"/>
      <c r="D64" s="78"/>
      <c r="E64" s="2"/>
      <c r="F64" s="2"/>
      <c r="G64" s="2"/>
      <c r="H64" s="2"/>
      <c r="I64" s="2"/>
      <c r="J64" s="2"/>
      <c r="K64" s="2"/>
      <c r="L64" s="2"/>
      <c r="M64" s="2"/>
      <c r="N64" s="2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</row>
    <row r="65" customFormat="false" ht="12.75" hidden="false" customHeight="false" outlineLevel="0" collapsed="false">
      <c r="A65" s="2"/>
      <c r="B65" s="78"/>
      <c r="C65" s="78"/>
      <c r="D65" s="78"/>
      <c r="E65" s="2"/>
      <c r="F65" s="2"/>
      <c r="G65" s="2"/>
      <c r="H65" s="2"/>
      <c r="I65" s="2"/>
      <c r="J65" s="2"/>
      <c r="K65" s="2"/>
      <c r="L65" s="2"/>
      <c r="M65" s="2"/>
      <c r="N65" s="2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</row>
    <row r="66" customFormat="false" ht="12.75" hidden="false" customHeight="false" outlineLevel="0" collapsed="false">
      <c r="A66" s="2"/>
      <c r="B66" s="78"/>
      <c r="C66" s="78"/>
      <c r="D66" s="78"/>
      <c r="E66" s="2"/>
      <c r="F66" s="2"/>
      <c r="G66" s="2"/>
      <c r="H66" s="2"/>
      <c r="I66" s="2"/>
      <c r="J66" s="2"/>
      <c r="K66" s="2"/>
      <c r="L66" s="2"/>
      <c r="M66" s="2"/>
      <c r="N66" s="2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</row>
    <row r="67" customFormat="false" ht="12.75" hidden="false" customHeight="false" outlineLevel="0" collapsed="false">
      <c r="A67" s="2"/>
      <c r="B67" s="78"/>
      <c r="C67" s="78"/>
      <c r="D67" s="78"/>
      <c r="E67" s="2"/>
      <c r="F67" s="2"/>
      <c r="G67" s="2"/>
      <c r="H67" s="2"/>
      <c r="I67" s="2"/>
      <c r="J67" s="2"/>
      <c r="K67" s="2"/>
      <c r="L67" s="2"/>
      <c r="M67" s="2"/>
      <c r="N67" s="2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</row>
    <row r="68" customFormat="false" ht="12.75" hidden="false" customHeight="false" outlineLevel="0" collapsed="false">
      <c r="A68" s="2"/>
      <c r="B68" s="78"/>
      <c r="C68" s="78"/>
      <c r="D68" s="78"/>
      <c r="E68" s="2"/>
      <c r="F68" s="2"/>
      <c r="G68" s="2"/>
      <c r="H68" s="2"/>
      <c r="I68" s="2"/>
      <c r="J68" s="2"/>
      <c r="K68" s="2"/>
      <c r="L68" s="2"/>
      <c r="M68" s="2"/>
      <c r="N68" s="2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</row>
    <row r="69" customFormat="false" ht="12.75" hidden="false" customHeight="false" outlineLevel="0" collapsed="false">
      <c r="A69" s="2"/>
      <c r="B69" s="78"/>
      <c r="C69" s="78"/>
      <c r="D69" s="78"/>
      <c r="E69" s="2"/>
      <c r="F69" s="2"/>
      <c r="G69" s="2"/>
      <c r="H69" s="2"/>
      <c r="I69" s="2"/>
      <c r="J69" s="2"/>
      <c r="K69" s="2"/>
      <c r="L69" s="2"/>
      <c r="M69" s="2"/>
      <c r="N69" s="2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</row>
    <row r="70" customFormat="false" ht="12.75" hidden="false" customHeight="false" outlineLevel="0" collapsed="false">
      <c r="A70" s="2"/>
      <c r="B70" s="78"/>
      <c r="C70" s="78"/>
      <c r="D70" s="78"/>
      <c r="E70" s="2"/>
      <c r="F70" s="2"/>
      <c r="G70" s="2"/>
      <c r="H70" s="2"/>
      <c r="I70" s="2"/>
      <c r="J70" s="2"/>
      <c r="K70" s="2"/>
      <c r="L70" s="2"/>
      <c r="M70" s="2"/>
      <c r="N70" s="2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</row>
    <row r="71" customFormat="false" ht="12.75" hidden="false" customHeight="false" outlineLevel="0" collapsed="false">
      <c r="A71" s="2"/>
      <c r="B71" s="78"/>
      <c r="C71" s="78"/>
      <c r="D71" s="78"/>
      <c r="E71" s="2"/>
      <c r="F71" s="2"/>
      <c r="G71" s="2"/>
      <c r="H71" s="2"/>
      <c r="I71" s="2"/>
      <c r="J71" s="2"/>
      <c r="K71" s="2"/>
      <c r="L71" s="2"/>
      <c r="M71" s="2"/>
      <c r="N71" s="2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</row>
    <row r="72" customFormat="false" ht="12.75" hidden="false" customHeight="false" outlineLevel="0" collapsed="false">
      <c r="A72" s="2"/>
      <c r="B72" s="78"/>
      <c r="C72" s="78"/>
      <c r="D72" s="78"/>
      <c r="E72" s="2"/>
      <c r="F72" s="2"/>
      <c r="G72" s="2"/>
      <c r="H72" s="2"/>
      <c r="I72" s="2"/>
      <c r="J72" s="2"/>
      <c r="K72" s="2"/>
      <c r="L72" s="2"/>
      <c r="M72" s="2"/>
      <c r="N72" s="2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</row>
    <row r="73" customFormat="false" ht="12.75" hidden="false" customHeight="false" outlineLevel="0" collapsed="false">
      <c r="A73" s="2"/>
      <c r="B73" s="78"/>
      <c r="C73" s="78"/>
      <c r="D73" s="78"/>
      <c r="E73" s="2"/>
      <c r="F73" s="2"/>
      <c r="G73" s="2"/>
      <c r="H73" s="2"/>
      <c r="I73" s="2"/>
      <c r="J73" s="2"/>
      <c r="K73" s="2"/>
      <c r="L73" s="2"/>
      <c r="M73" s="2"/>
      <c r="N73" s="2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</row>
    <row r="74" customFormat="false" ht="12.75" hidden="false" customHeight="false" outlineLevel="0" collapsed="false">
      <c r="A74" s="2"/>
      <c r="B74" s="78"/>
      <c r="C74" s="78"/>
      <c r="D74" s="78"/>
      <c r="E74" s="2"/>
      <c r="F74" s="2"/>
      <c r="G74" s="2"/>
      <c r="H74" s="2"/>
      <c r="I74" s="2"/>
      <c r="J74" s="2"/>
      <c r="K74" s="2"/>
      <c r="L74" s="2"/>
      <c r="M74" s="2"/>
      <c r="N74" s="2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</row>
    <row r="75" customFormat="false" ht="12.75" hidden="false" customHeight="false" outlineLevel="0" collapsed="false">
      <c r="A75" s="2"/>
      <c r="B75" s="78"/>
      <c r="C75" s="78"/>
      <c r="D75" s="78"/>
      <c r="E75" s="2"/>
      <c r="F75" s="2"/>
      <c r="G75" s="2"/>
      <c r="H75" s="2"/>
      <c r="I75" s="2"/>
      <c r="J75" s="2"/>
      <c r="K75" s="2"/>
      <c r="L75" s="2"/>
      <c r="M75" s="2"/>
      <c r="N75" s="2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</row>
    <row r="76" customFormat="false" ht="12.75" hidden="false" customHeight="false" outlineLevel="0" collapsed="false">
      <c r="A76" s="2"/>
      <c r="B76" s="78"/>
      <c r="C76" s="78"/>
      <c r="D76" s="78"/>
      <c r="E76" s="2"/>
      <c r="F76" s="2"/>
      <c r="G76" s="2"/>
      <c r="H76" s="2"/>
      <c r="I76" s="2"/>
      <c r="J76" s="2"/>
      <c r="K76" s="2"/>
      <c r="L76" s="2"/>
      <c r="M76" s="2"/>
      <c r="N76" s="2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</row>
    <row r="77" customFormat="false" ht="12.75" hidden="false" customHeight="false" outlineLevel="0" collapsed="false">
      <c r="A77" s="2"/>
      <c r="B77" s="78"/>
      <c r="C77" s="78"/>
      <c r="D77" s="78"/>
      <c r="E77" s="2"/>
      <c r="F77" s="2"/>
      <c r="G77" s="2"/>
      <c r="H77" s="2"/>
      <c r="I77" s="2"/>
      <c r="J77" s="2"/>
      <c r="K77" s="2"/>
      <c r="L77" s="2"/>
      <c r="M77" s="2"/>
      <c r="N77" s="2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</row>
    <row r="78" customFormat="false" ht="12.75" hidden="false" customHeight="false" outlineLevel="0" collapsed="false">
      <c r="A78" s="2"/>
      <c r="B78" s="78"/>
      <c r="C78" s="78"/>
      <c r="D78" s="78"/>
      <c r="E78" s="2"/>
      <c r="F78" s="2"/>
      <c r="G78" s="2"/>
      <c r="H78" s="2"/>
      <c r="I78" s="2"/>
      <c r="J78" s="2"/>
      <c r="K78" s="2"/>
      <c r="L78" s="2"/>
      <c r="M78" s="2"/>
      <c r="N78" s="2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</row>
    <row r="79" customFormat="false" ht="12.75" hidden="false" customHeight="false" outlineLevel="0" collapsed="false">
      <c r="A79" s="2"/>
      <c r="B79" s="78"/>
      <c r="C79" s="78"/>
      <c r="D79" s="78"/>
      <c r="E79" s="2"/>
      <c r="F79" s="2"/>
      <c r="G79" s="2"/>
      <c r="H79" s="2"/>
      <c r="I79" s="2"/>
      <c r="J79" s="2"/>
      <c r="K79" s="2"/>
      <c r="L79" s="2"/>
      <c r="M79" s="2"/>
      <c r="N79" s="2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</row>
    <row r="80" customFormat="false" ht="12.75" hidden="false" customHeight="false" outlineLevel="0" collapsed="false">
      <c r="A80" s="2"/>
      <c r="B80" s="78"/>
      <c r="C80" s="78"/>
      <c r="D80" s="78"/>
      <c r="E80" s="2"/>
      <c r="F80" s="2"/>
      <c r="G80" s="2"/>
      <c r="H80" s="2"/>
      <c r="I80" s="2"/>
      <c r="J80" s="2"/>
      <c r="K80" s="2"/>
      <c r="L80" s="2"/>
      <c r="M80" s="2"/>
      <c r="N80" s="2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</row>
    <row r="81" customFormat="false" ht="12.75" hidden="false" customHeight="false" outlineLevel="0" collapsed="false">
      <c r="A81" s="2"/>
      <c r="B81" s="78"/>
      <c r="C81" s="78"/>
      <c r="D81" s="78"/>
      <c r="E81" s="2"/>
      <c r="F81" s="2"/>
      <c r="G81" s="2"/>
      <c r="H81" s="2"/>
      <c r="I81" s="2"/>
      <c r="J81" s="2"/>
      <c r="K81" s="2"/>
      <c r="L81" s="2"/>
      <c r="M81" s="2"/>
      <c r="N81" s="2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</row>
    <row r="82" customFormat="false" ht="12.75" hidden="false" customHeight="false" outlineLevel="0" collapsed="false">
      <c r="A82" s="2"/>
      <c r="B82" s="78"/>
      <c r="C82" s="78"/>
      <c r="D82" s="78"/>
      <c r="E82" s="2"/>
      <c r="F82" s="2"/>
      <c r="G82" s="2"/>
      <c r="H82" s="2"/>
      <c r="I82" s="2"/>
      <c r="J82" s="2"/>
      <c r="K82" s="2"/>
      <c r="L82" s="2"/>
      <c r="M82" s="2"/>
      <c r="N82" s="2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</row>
    <row r="83" customFormat="false" ht="12.75" hidden="false" customHeight="false" outlineLevel="0" collapsed="false">
      <c r="A83" s="2"/>
      <c r="B83" s="78"/>
      <c r="C83" s="78"/>
      <c r="D83" s="78"/>
      <c r="E83" s="2"/>
      <c r="F83" s="2"/>
      <c r="G83" s="2"/>
      <c r="H83" s="2"/>
      <c r="I83" s="2"/>
      <c r="J83" s="2"/>
      <c r="K83" s="2"/>
      <c r="L83" s="2"/>
      <c r="M83" s="2"/>
      <c r="N83" s="2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</row>
    <row r="84" customFormat="false" ht="12.75" hidden="false" customHeight="false" outlineLevel="0" collapsed="false">
      <c r="A84" s="2"/>
      <c r="B84" s="78"/>
      <c r="C84" s="78"/>
      <c r="D84" s="78"/>
      <c r="E84" s="2"/>
      <c r="F84" s="2"/>
      <c r="G84" s="2"/>
      <c r="H84" s="2"/>
      <c r="I84" s="2"/>
      <c r="J84" s="2"/>
      <c r="K84" s="2"/>
      <c r="L84" s="2"/>
      <c r="M84" s="2"/>
      <c r="N84" s="2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</row>
    <row r="85" customFormat="false" ht="12.75" hidden="false" customHeight="false" outlineLevel="0" collapsed="false">
      <c r="A85" s="2"/>
      <c r="B85" s="78"/>
      <c r="C85" s="78"/>
      <c r="D85" s="78"/>
      <c r="E85" s="2"/>
      <c r="F85" s="2"/>
      <c r="G85" s="2"/>
      <c r="H85" s="2"/>
      <c r="I85" s="2"/>
      <c r="J85" s="2"/>
      <c r="K85" s="2"/>
      <c r="L85" s="2"/>
      <c r="M85" s="2"/>
      <c r="N85" s="2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</row>
    <row r="86" customFormat="false" ht="12.75" hidden="false" customHeight="false" outlineLevel="0" collapsed="false">
      <c r="A86" s="2"/>
      <c r="B86" s="78"/>
      <c r="C86" s="78"/>
      <c r="D86" s="78"/>
      <c r="E86" s="2"/>
      <c r="F86" s="2"/>
      <c r="G86" s="2"/>
      <c r="H86" s="2"/>
      <c r="I86" s="2"/>
      <c r="J86" s="2"/>
      <c r="K86" s="2"/>
      <c r="L86" s="2"/>
      <c r="M86" s="2"/>
      <c r="N86" s="2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</row>
    <row r="87" customFormat="false" ht="12.75" hidden="false" customHeight="false" outlineLevel="0" collapsed="false">
      <c r="A87" s="2"/>
      <c r="B87" s="78"/>
      <c r="C87" s="78"/>
      <c r="D87" s="78"/>
      <c r="E87" s="2"/>
      <c r="F87" s="2"/>
      <c r="G87" s="2"/>
      <c r="H87" s="2"/>
      <c r="I87" s="2"/>
      <c r="J87" s="2"/>
      <c r="K87" s="2"/>
      <c r="L87" s="2"/>
      <c r="M87" s="2"/>
      <c r="N87" s="2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</row>
    <row r="88" customFormat="false" ht="12.75" hidden="false" customHeight="false" outlineLevel="0" collapsed="false">
      <c r="A88" s="2"/>
      <c r="B88" s="78"/>
      <c r="C88" s="78"/>
      <c r="D88" s="78"/>
      <c r="E88" s="2"/>
      <c r="F88" s="2"/>
      <c r="G88" s="2"/>
      <c r="H88" s="2"/>
      <c r="I88" s="2"/>
      <c r="J88" s="2"/>
      <c r="K88" s="2"/>
      <c r="L88" s="2"/>
      <c r="M88" s="2"/>
      <c r="N88" s="2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</row>
    <row r="89" customFormat="false" ht="12.75" hidden="false" customHeight="false" outlineLevel="0" collapsed="false">
      <c r="A89" s="2"/>
      <c r="B89" s="78"/>
      <c r="C89" s="78"/>
      <c r="D89" s="78"/>
      <c r="E89" s="2"/>
      <c r="F89" s="2"/>
      <c r="G89" s="2"/>
      <c r="H89" s="2"/>
      <c r="I89" s="2"/>
      <c r="J89" s="2"/>
      <c r="K89" s="2"/>
      <c r="L89" s="2"/>
      <c r="M89" s="2"/>
      <c r="N89" s="2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</row>
    <row r="90" customFormat="false" ht="12.75" hidden="false" customHeight="false" outlineLevel="0" collapsed="false">
      <c r="A90" s="2"/>
      <c r="B90" s="78"/>
      <c r="C90" s="78"/>
      <c r="D90" s="78"/>
      <c r="E90" s="2"/>
      <c r="F90" s="2"/>
      <c r="G90" s="2"/>
      <c r="H90" s="2"/>
      <c r="I90" s="2"/>
      <c r="J90" s="2"/>
      <c r="K90" s="2"/>
      <c r="L90" s="2"/>
      <c r="M90" s="2"/>
      <c r="N90" s="2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</row>
    <row r="91" customFormat="false" ht="12.75" hidden="false" customHeight="false" outlineLevel="0" collapsed="false">
      <c r="A91" s="2"/>
      <c r="B91" s="78"/>
      <c r="C91" s="78"/>
      <c r="D91" s="78"/>
      <c r="E91" s="2"/>
      <c r="F91" s="2"/>
      <c r="G91" s="2"/>
      <c r="H91" s="2"/>
      <c r="I91" s="2"/>
      <c r="J91" s="2"/>
      <c r="K91" s="2"/>
      <c r="L91" s="2"/>
      <c r="M91" s="2"/>
      <c r="N91" s="2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</row>
    <row r="92" customFormat="false" ht="12.75" hidden="false" customHeight="false" outlineLevel="0" collapsed="false">
      <c r="A92" s="2"/>
      <c r="B92" s="78"/>
      <c r="C92" s="78"/>
      <c r="D92" s="78"/>
      <c r="E92" s="2"/>
      <c r="F92" s="2"/>
      <c r="G92" s="2"/>
      <c r="H92" s="2"/>
      <c r="I92" s="2"/>
      <c r="J92" s="2"/>
      <c r="K92" s="2"/>
      <c r="L92" s="2"/>
      <c r="M92" s="2"/>
      <c r="N92" s="2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</row>
    <row r="93" customFormat="false" ht="12.75" hidden="false" customHeight="false" outlineLevel="0" collapsed="false">
      <c r="A93" s="2"/>
      <c r="B93" s="78"/>
      <c r="C93" s="78"/>
      <c r="D93" s="78"/>
      <c r="E93" s="2"/>
      <c r="F93" s="2"/>
      <c r="G93" s="2"/>
      <c r="H93" s="2"/>
      <c r="I93" s="2"/>
      <c r="J93" s="2"/>
      <c r="K93" s="2"/>
      <c r="L93" s="2"/>
      <c r="M93" s="2"/>
      <c r="N93" s="2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</row>
    <row r="94" customFormat="false" ht="12.75" hidden="false" customHeight="false" outlineLevel="0" collapsed="false">
      <c r="A94" s="2"/>
      <c r="B94" s="78"/>
      <c r="C94" s="78"/>
      <c r="D94" s="78"/>
      <c r="E94" s="2"/>
      <c r="F94" s="2"/>
      <c r="G94" s="2"/>
      <c r="H94" s="2"/>
      <c r="I94" s="2"/>
      <c r="J94" s="2"/>
      <c r="K94" s="2"/>
      <c r="L94" s="2"/>
      <c r="M94" s="2"/>
      <c r="N94" s="2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</row>
    <row r="95" customFormat="false" ht="12.75" hidden="false" customHeight="false" outlineLevel="0" collapsed="false">
      <c r="A95" s="2"/>
      <c r="B95" s="78"/>
      <c r="C95" s="78"/>
      <c r="D95" s="78"/>
      <c r="E95" s="2"/>
      <c r="F95" s="2"/>
      <c r="G95" s="2"/>
      <c r="H95" s="2"/>
      <c r="I95" s="2"/>
      <c r="J95" s="2"/>
      <c r="K95" s="2"/>
      <c r="L95" s="2"/>
      <c r="M95" s="2"/>
      <c r="N95" s="2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</row>
    <row r="96" customFormat="false" ht="12.75" hidden="false" customHeight="false" outlineLevel="0" collapsed="false">
      <c r="A96" s="2"/>
      <c r="B96" s="78"/>
      <c r="C96" s="78"/>
      <c r="D96" s="78"/>
      <c r="E96" s="2"/>
      <c r="F96" s="2"/>
      <c r="G96" s="2"/>
      <c r="H96" s="2"/>
      <c r="I96" s="2"/>
      <c r="J96" s="2"/>
      <c r="K96" s="2"/>
      <c r="L96" s="2"/>
      <c r="M96" s="2"/>
      <c r="N96" s="2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</row>
    <row r="97" customFormat="false" ht="12.75" hidden="false" customHeight="false" outlineLevel="0" collapsed="false">
      <c r="A97" s="2"/>
      <c r="B97" s="78"/>
      <c r="C97" s="78"/>
      <c r="D97" s="78"/>
      <c r="E97" s="2"/>
      <c r="F97" s="2"/>
      <c r="G97" s="2"/>
      <c r="H97" s="2"/>
      <c r="I97" s="2"/>
      <c r="J97" s="2"/>
      <c r="K97" s="2"/>
      <c r="L97" s="2"/>
      <c r="M97" s="2"/>
      <c r="N97" s="2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</row>
    <row r="98" customFormat="false" ht="12.75" hidden="false" customHeight="false" outlineLevel="0" collapsed="false">
      <c r="A98" s="2"/>
      <c r="B98" s="78"/>
      <c r="C98" s="78"/>
      <c r="D98" s="78"/>
      <c r="E98" s="2"/>
      <c r="F98" s="2"/>
      <c r="G98" s="2"/>
      <c r="H98" s="2"/>
      <c r="I98" s="2"/>
      <c r="J98" s="2"/>
      <c r="K98" s="2"/>
      <c r="L98" s="2"/>
      <c r="M98" s="2"/>
      <c r="N98" s="2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</row>
    <row r="99" customFormat="false" ht="12.75" hidden="false" customHeight="false" outlineLevel="0" collapsed="false">
      <c r="A99" s="2"/>
      <c r="B99" s="78"/>
      <c r="C99" s="78"/>
      <c r="D99" s="78"/>
      <c r="E99" s="2"/>
      <c r="F99" s="2"/>
      <c r="G99" s="2"/>
      <c r="H99" s="2"/>
      <c r="I99" s="2"/>
      <c r="J99" s="2"/>
      <c r="K99" s="2"/>
      <c r="L99" s="2"/>
      <c r="M99" s="2"/>
      <c r="N99" s="2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</row>
    <row r="100" customFormat="false" ht="12.75" hidden="false" customHeight="false" outlineLevel="0" collapsed="false">
      <c r="A100" s="2"/>
      <c r="B100" s="78"/>
      <c r="C100" s="78"/>
      <c r="D100" s="78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</row>
    <row r="101" customFormat="false" ht="12.75" hidden="false" customHeight="false" outlineLevel="0" collapsed="false">
      <c r="A101" s="2"/>
      <c r="B101" s="78"/>
      <c r="C101" s="78"/>
      <c r="D101" s="7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  <c r="DS101" s="71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  <c r="IJ101" s="71"/>
      <c r="IK101" s="71"/>
      <c r="IL101" s="71"/>
      <c r="IM101" s="71"/>
      <c r="IN101" s="71"/>
      <c r="IO101" s="71"/>
      <c r="IP101" s="71"/>
      <c r="IQ101" s="71"/>
      <c r="IR101" s="71"/>
      <c r="IS101" s="71"/>
      <c r="IT101" s="71"/>
      <c r="IU101" s="71"/>
      <c r="IV101" s="71"/>
      <c r="IW101" s="71"/>
    </row>
    <row r="102" customFormat="false" ht="12.75" hidden="false" customHeight="false" outlineLevel="0" collapsed="false">
      <c r="A102" s="2"/>
      <c r="B102" s="78"/>
      <c r="C102" s="78"/>
      <c r="D102" s="78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  <c r="IJ102" s="71"/>
      <c r="IK102" s="71"/>
      <c r="IL102" s="71"/>
      <c r="IM102" s="71"/>
      <c r="IN102" s="71"/>
      <c r="IO102" s="71"/>
      <c r="IP102" s="71"/>
      <c r="IQ102" s="71"/>
      <c r="IR102" s="71"/>
      <c r="IS102" s="71"/>
      <c r="IT102" s="71"/>
      <c r="IU102" s="71"/>
      <c r="IV102" s="71"/>
      <c r="IW102" s="71"/>
    </row>
    <row r="103" customFormat="false" ht="12.75" hidden="false" customHeight="false" outlineLevel="0" collapsed="false">
      <c r="A103" s="2"/>
      <c r="B103" s="78"/>
      <c r="C103" s="78"/>
      <c r="D103" s="7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71"/>
      <c r="CM103" s="71"/>
      <c r="CN103" s="71"/>
      <c r="CO103" s="71"/>
      <c r="CP103" s="71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  <c r="DS103" s="71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  <c r="IJ103" s="71"/>
      <c r="IK103" s="71"/>
      <c r="IL103" s="71"/>
      <c r="IM103" s="71"/>
      <c r="IN103" s="71"/>
      <c r="IO103" s="71"/>
      <c r="IP103" s="71"/>
      <c r="IQ103" s="71"/>
      <c r="IR103" s="71"/>
      <c r="IS103" s="71"/>
      <c r="IT103" s="71"/>
      <c r="IU103" s="71"/>
      <c r="IV103" s="71"/>
      <c r="IW103" s="71"/>
    </row>
    <row r="104" customFormat="false" ht="12.75" hidden="false" customHeight="false" outlineLevel="0" collapsed="false">
      <c r="A104" s="2"/>
      <c r="B104" s="78"/>
      <c r="C104" s="78"/>
      <c r="D104" s="78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  <c r="IJ104" s="71"/>
      <c r="IK104" s="71"/>
      <c r="IL104" s="71"/>
      <c r="IM104" s="71"/>
      <c r="IN104" s="71"/>
      <c r="IO104" s="71"/>
      <c r="IP104" s="71"/>
      <c r="IQ104" s="71"/>
      <c r="IR104" s="71"/>
      <c r="IS104" s="71"/>
      <c r="IT104" s="71"/>
      <c r="IU104" s="71"/>
      <c r="IV104" s="71"/>
      <c r="IW104" s="71"/>
    </row>
    <row r="105" customFormat="false" ht="12.75" hidden="false" customHeight="false" outlineLevel="0" collapsed="false">
      <c r="A105" s="2"/>
      <c r="B105" s="78"/>
      <c r="C105" s="78"/>
      <c r="D105" s="7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  <c r="IJ105" s="71"/>
      <c r="IK105" s="71"/>
      <c r="IL105" s="71"/>
      <c r="IM105" s="71"/>
      <c r="IN105" s="71"/>
      <c r="IO105" s="71"/>
      <c r="IP105" s="71"/>
      <c r="IQ105" s="71"/>
      <c r="IR105" s="71"/>
      <c r="IS105" s="71"/>
      <c r="IT105" s="71"/>
      <c r="IU105" s="71"/>
      <c r="IV105" s="71"/>
      <c r="IW105" s="71"/>
    </row>
    <row r="106" customFormat="false" ht="12.75" hidden="false" customHeight="false" outlineLevel="0" collapsed="false">
      <c r="A106" s="2"/>
      <c r="B106" s="78"/>
      <c r="C106" s="78"/>
      <c r="D106" s="78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</row>
    <row r="107" customFormat="false" ht="12.75" hidden="false" customHeight="false" outlineLevel="0" collapsed="false">
      <c r="A107" s="2"/>
      <c r="B107" s="78"/>
      <c r="C107" s="78"/>
      <c r="D107" s="78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  <c r="IJ107" s="71"/>
      <c r="IK107" s="71"/>
      <c r="IL107" s="71"/>
      <c r="IM107" s="71"/>
      <c r="IN107" s="71"/>
      <c r="IO107" s="71"/>
      <c r="IP107" s="71"/>
      <c r="IQ107" s="71"/>
      <c r="IR107" s="71"/>
      <c r="IS107" s="71"/>
      <c r="IT107" s="71"/>
      <c r="IU107" s="71"/>
      <c r="IV107" s="71"/>
      <c r="IW107" s="71"/>
    </row>
    <row r="108" customFormat="false" ht="12.75" hidden="false" customHeight="false" outlineLevel="0" collapsed="false">
      <c r="A108" s="2"/>
      <c r="B108" s="78"/>
      <c r="C108" s="78"/>
      <c r="D108" s="78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  <c r="IJ108" s="71"/>
      <c r="IK108" s="71"/>
      <c r="IL108" s="71"/>
      <c r="IM108" s="71"/>
      <c r="IN108" s="71"/>
      <c r="IO108" s="71"/>
      <c r="IP108" s="71"/>
      <c r="IQ108" s="71"/>
      <c r="IR108" s="71"/>
      <c r="IS108" s="71"/>
      <c r="IT108" s="71"/>
      <c r="IU108" s="71"/>
      <c r="IV108" s="71"/>
      <c r="IW108" s="71"/>
    </row>
    <row r="109" customFormat="false" ht="12.75" hidden="false" customHeight="false" outlineLevel="0" collapsed="false">
      <c r="A109" s="2"/>
      <c r="B109" s="78"/>
      <c r="C109" s="78"/>
      <c r="D109" s="78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</row>
    <row r="110" customFormat="false" ht="12.75" hidden="false" customHeight="false" outlineLevel="0" collapsed="false">
      <c r="A110" s="2"/>
      <c r="B110" s="78"/>
      <c r="C110" s="78"/>
      <c r="D110" s="78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</row>
    <row r="111" customFormat="false" ht="12.75" hidden="false" customHeight="false" outlineLevel="0" collapsed="false">
      <c r="A111" s="2"/>
      <c r="B111" s="78"/>
      <c r="C111" s="78"/>
      <c r="D111" s="7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</row>
    <row r="112" customFormat="false" ht="12.75" hidden="false" customHeight="false" outlineLevel="0" collapsed="false">
      <c r="A112" s="2"/>
      <c r="B112" s="78"/>
      <c r="C112" s="78"/>
      <c r="D112" s="78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</row>
    <row r="113" customFormat="false" ht="12.75" hidden="false" customHeight="false" outlineLevel="0" collapsed="false">
      <c r="A113" s="2"/>
      <c r="B113" s="78"/>
      <c r="C113" s="78"/>
      <c r="D113" s="78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</row>
    <row r="114" customFormat="false" ht="12.75" hidden="false" customHeight="false" outlineLevel="0" collapsed="false">
      <c r="A114" s="2"/>
      <c r="B114" s="78"/>
      <c r="C114" s="78"/>
      <c r="D114" s="78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</row>
    <row r="115" customFormat="false" ht="12.75" hidden="false" customHeight="false" outlineLevel="0" collapsed="false">
      <c r="A115" s="2"/>
      <c r="B115" s="78"/>
      <c r="C115" s="78"/>
      <c r="D115" s="78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</row>
    <row r="116" customFormat="false" ht="12.75" hidden="false" customHeight="false" outlineLevel="0" collapsed="false">
      <c r="A116" s="2"/>
      <c r="B116" s="78"/>
      <c r="C116" s="78"/>
      <c r="D116" s="78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</row>
    <row r="117" customFormat="false" ht="12.75" hidden="false" customHeight="false" outlineLevel="0" collapsed="false">
      <c r="A117" s="2"/>
      <c r="B117" s="78"/>
      <c r="C117" s="78"/>
      <c r="D117" s="78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</row>
    <row r="118" customFormat="false" ht="12.75" hidden="false" customHeight="false" outlineLevel="0" collapsed="false">
      <c r="A118" s="2"/>
      <c r="B118" s="78"/>
      <c r="C118" s="78"/>
      <c r="D118" s="78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</row>
    <row r="119" customFormat="false" ht="12.75" hidden="false" customHeight="false" outlineLevel="0" collapsed="false">
      <c r="A119" s="2"/>
      <c r="B119" s="78"/>
      <c r="C119" s="78"/>
      <c r="D119" s="78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</row>
    <row r="120" customFormat="false" ht="12.75" hidden="false" customHeight="false" outlineLevel="0" collapsed="false">
      <c r="A120" s="2"/>
      <c r="B120" s="78"/>
      <c r="C120" s="78"/>
      <c r="D120" s="78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</row>
    <row r="121" customFormat="false" ht="12.75" hidden="false" customHeight="false" outlineLevel="0" collapsed="false">
      <c r="A121" s="2"/>
      <c r="B121" s="78"/>
      <c r="C121" s="78"/>
      <c r="D121" s="78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</row>
    <row r="122" customFormat="false" ht="12.75" hidden="false" customHeight="false" outlineLevel="0" collapsed="false">
      <c r="A122" s="2"/>
      <c r="B122" s="78"/>
      <c r="C122" s="78"/>
      <c r="D122" s="78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</row>
    <row r="123" customFormat="false" ht="12.75" hidden="false" customHeight="false" outlineLevel="0" collapsed="false">
      <c r="A123" s="2"/>
      <c r="B123" s="78"/>
      <c r="C123" s="78"/>
      <c r="D123" s="78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</row>
    <row r="124" customFormat="false" ht="12.75" hidden="false" customHeight="false" outlineLevel="0" collapsed="false">
      <c r="A124" s="2"/>
      <c r="B124" s="78"/>
      <c r="C124" s="78"/>
      <c r="D124" s="78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</row>
    <row r="125" customFormat="false" ht="12.75" hidden="false" customHeight="false" outlineLevel="0" collapsed="false">
      <c r="A125" s="2"/>
      <c r="B125" s="78"/>
      <c r="C125" s="78"/>
      <c r="D125" s="78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</row>
    <row r="126" customFormat="false" ht="12.75" hidden="false" customHeight="false" outlineLevel="0" collapsed="false">
      <c r="A126" s="2"/>
      <c r="B126" s="78"/>
      <c r="C126" s="78"/>
      <c r="D126" s="78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</row>
    <row r="127" customFormat="false" ht="12.75" hidden="false" customHeight="false" outlineLevel="0" collapsed="false">
      <c r="A127" s="2"/>
      <c r="B127" s="78"/>
      <c r="C127" s="78"/>
      <c r="D127" s="78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</row>
    <row r="128" customFormat="false" ht="12.75" hidden="false" customHeight="false" outlineLevel="0" collapsed="false">
      <c r="A128" s="2"/>
      <c r="B128" s="78"/>
      <c r="C128" s="78"/>
      <c r="D128" s="78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</row>
    <row r="129" customFormat="false" ht="12.75" hidden="false" customHeight="false" outlineLevel="0" collapsed="false">
      <c r="A129" s="2"/>
      <c r="B129" s="78"/>
      <c r="C129" s="78"/>
      <c r="D129" s="78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</row>
    <row r="130" customFormat="false" ht="12.75" hidden="false" customHeight="false" outlineLevel="0" collapsed="false">
      <c r="A130" s="2"/>
      <c r="B130" s="78"/>
      <c r="C130" s="78"/>
      <c r="D130" s="78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</row>
    <row r="131" customFormat="false" ht="12.75" hidden="false" customHeight="false" outlineLevel="0" collapsed="false">
      <c r="A131" s="2"/>
      <c r="B131" s="78"/>
      <c r="C131" s="78"/>
      <c r="D131" s="78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</row>
    <row r="132" customFormat="false" ht="12.75" hidden="false" customHeight="false" outlineLevel="0" collapsed="false">
      <c r="A132" s="2"/>
      <c r="B132" s="78"/>
      <c r="C132" s="78"/>
      <c r="D132" s="78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</row>
    <row r="133" customFormat="false" ht="12.75" hidden="false" customHeight="false" outlineLevel="0" collapsed="false">
      <c r="A133" s="2"/>
      <c r="B133" s="78"/>
      <c r="C133" s="78"/>
      <c r="D133" s="78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</row>
    <row r="134" customFormat="false" ht="12.75" hidden="false" customHeight="false" outlineLevel="0" collapsed="false">
      <c r="A134" s="2"/>
      <c r="B134" s="78"/>
      <c r="C134" s="78"/>
      <c r="D134" s="78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</row>
    <row r="135" customFormat="false" ht="12.75" hidden="false" customHeight="false" outlineLevel="0" collapsed="false">
      <c r="A135" s="2"/>
      <c r="B135" s="78"/>
      <c r="C135" s="78"/>
      <c r="D135" s="78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</row>
    <row r="136" customFormat="false" ht="12.75" hidden="false" customHeight="false" outlineLevel="0" collapsed="false">
      <c r="A136" s="2"/>
      <c r="B136" s="78"/>
      <c r="C136" s="78"/>
      <c r="D136" s="78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</row>
    <row r="137" customFormat="false" ht="12.75" hidden="false" customHeight="false" outlineLevel="0" collapsed="false">
      <c r="A137" s="2"/>
      <c r="B137" s="78"/>
      <c r="C137" s="78"/>
      <c r="D137" s="78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</row>
    <row r="138" customFormat="false" ht="12.75" hidden="false" customHeight="false" outlineLevel="0" collapsed="false">
      <c r="A138" s="2"/>
      <c r="B138" s="78"/>
      <c r="C138" s="78"/>
      <c r="D138" s="78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</row>
    <row r="139" customFormat="false" ht="12.75" hidden="false" customHeight="false" outlineLevel="0" collapsed="false">
      <c r="A139" s="2"/>
      <c r="B139" s="78"/>
      <c r="C139" s="78"/>
      <c r="D139" s="78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</row>
    <row r="140" customFormat="false" ht="12.75" hidden="false" customHeight="false" outlineLevel="0" collapsed="false">
      <c r="A140" s="2"/>
      <c r="B140" s="78"/>
      <c r="C140" s="78"/>
      <c r="D140" s="78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</row>
    <row r="141" customFormat="false" ht="12.75" hidden="false" customHeight="false" outlineLevel="0" collapsed="false">
      <c r="A141" s="2"/>
      <c r="B141" s="78"/>
      <c r="C141" s="78"/>
      <c r="D141" s="78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</row>
    <row r="142" customFormat="false" ht="12.75" hidden="false" customHeight="false" outlineLevel="0" collapsed="false">
      <c r="A142" s="2"/>
      <c r="B142" s="78"/>
      <c r="C142" s="78"/>
      <c r="D142" s="78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</row>
    <row r="143" customFormat="false" ht="12.75" hidden="false" customHeight="false" outlineLevel="0" collapsed="false">
      <c r="A143" s="2"/>
      <c r="B143" s="78"/>
      <c r="C143" s="78"/>
      <c r="D143" s="78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</row>
    <row r="144" customFormat="false" ht="12.75" hidden="false" customHeight="false" outlineLevel="0" collapsed="false">
      <c r="A144" s="2"/>
      <c r="B144" s="78"/>
      <c r="C144" s="78"/>
      <c r="D144" s="78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</row>
    <row r="145" customFormat="false" ht="12.75" hidden="false" customHeight="false" outlineLevel="0" collapsed="false">
      <c r="A145" s="2"/>
      <c r="B145" s="78"/>
      <c r="C145" s="78"/>
      <c r="D145" s="78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</row>
    <row r="146" customFormat="false" ht="12.75" hidden="false" customHeight="false" outlineLevel="0" collapsed="false">
      <c r="A146" s="2"/>
      <c r="B146" s="78"/>
      <c r="C146" s="78"/>
      <c r="D146" s="78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</row>
    <row r="147" customFormat="false" ht="12.75" hidden="false" customHeight="false" outlineLevel="0" collapsed="false">
      <c r="A147" s="2"/>
      <c r="B147" s="78"/>
      <c r="C147" s="78"/>
      <c r="D147" s="78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</row>
    <row r="148" customFormat="false" ht="12.75" hidden="false" customHeight="false" outlineLevel="0" collapsed="false">
      <c r="A148" s="2"/>
      <c r="B148" s="78"/>
      <c r="C148" s="78"/>
      <c r="D148" s="78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</row>
    <row r="149" customFormat="false" ht="12.75" hidden="false" customHeight="false" outlineLevel="0" collapsed="false">
      <c r="A149" s="2"/>
      <c r="B149" s="78"/>
      <c r="C149" s="78"/>
      <c r="D149" s="78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</row>
    <row r="150" customFormat="false" ht="12.75" hidden="false" customHeight="false" outlineLevel="0" collapsed="false">
      <c r="A150" s="2"/>
      <c r="B150" s="78"/>
      <c r="C150" s="78"/>
      <c r="D150" s="78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</row>
    <row r="151" customFormat="false" ht="12.75" hidden="false" customHeight="false" outlineLevel="0" collapsed="false">
      <c r="A151" s="2"/>
      <c r="B151" s="78"/>
      <c r="C151" s="78"/>
      <c r="D151" s="78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</row>
    <row r="152" customFormat="false" ht="12.75" hidden="false" customHeight="false" outlineLevel="0" collapsed="false">
      <c r="A152" s="2"/>
      <c r="B152" s="78"/>
      <c r="C152" s="78"/>
      <c r="D152" s="78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</row>
    <row r="153" customFormat="false" ht="12.75" hidden="false" customHeight="false" outlineLevel="0" collapsed="false">
      <c r="A153" s="2"/>
      <c r="B153" s="78"/>
      <c r="C153" s="78"/>
      <c r="D153" s="78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</row>
    <row r="154" customFormat="false" ht="12.75" hidden="false" customHeight="false" outlineLevel="0" collapsed="false">
      <c r="A154" s="2"/>
      <c r="B154" s="78"/>
      <c r="C154" s="78"/>
      <c r="D154" s="78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</row>
    <row r="155" customFormat="false" ht="12.75" hidden="false" customHeight="false" outlineLevel="0" collapsed="false">
      <c r="A155" s="2"/>
      <c r="B155" s="78"/>
      <c r="C155" s="78"/>
      <c r="D155" s="78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</row>
    <row r="156" customFormat="false" ht="12.75" hidden="false" customHeight="false" outlineLevel="0" collapsed="false">
      <c r="A156" s="2"/>
      <c r="B156" s="78"/>
      <c r="C156" s="78"/>
      <c r="D156" s="78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</row>
    <row r="157" customFormat="false" ht="12.75" hidden="false" customHeight="false" outlineLevel="0" collapsed="false">
      <c r="A157" s="2"/>
      <c r="B157" s="78"/>
      <c r="C157" s="78"/>
      <c r="D157" s="78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</row>
    <row r="158" customFormat="false" ht="12.75" hidden="false" customHeight="false" outlineLevel="0" collapsed="false">
      <c r="A158" s="2"/>
      <c r="B158" s="78"/>
      <c r="C158" s="78"/>
      <c r="D158" s="78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</row>
    <row r="159" customFormat="false" ht="12.75" hidden="false" customHeight="false" outlineLevel="0" collapsed="false">
      <c r="A159" s="2"/>
      <c r="B159" s="78"/>
      <c r="C159" s="78"/>
      <c r="D159" s="78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</row>
    <row r="160" customFormat="false" ht="12.75" hidden="false" customHeight="false" outlineLevel="0" collapsed="false">
      <c r="A160" s="2"/>
      <c r="B160" s="78"/>
      <c r="C160" s="78"/>
      <c r="D160" s="78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</row>
    <row r="161" customFormat="false" ht="12.75" hidden="false" customHeight="false" outlineLevel="0" collapsed="false">
      <c r="A161" s="2"/>
      <c r="B161" s="78"/>
      <c r="C161" s="78"/>
      <c r="D161" s="78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</row>
    <row r="162" customFormat="false" ht="12.75" hidden="false" customHeight="false" outlineLevel="0" collapsed="false">
      <c r="A162" s="2"/>
      <c r="B162" s="78"/>
      <c r="C162" s="78"/>
      <c r="D162" s="78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</row>
    <row r="163" customFormat="false" ht="12.75" hidden="false" customHeight="false" outlineLevel="0" collapsed="false">
      <c r="A163" s="2"/>
      <c r="B163" s="78"/>
      <c r="C163" s="78"/>
      <c r="D163" s="78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</row>
    <row r="164" customFormat="false" ht="12.75" hidden="false" customHeight="false" outlineLevel="0" collapsed="false">
      <c r="A164" s="2"/>
      <c r="B164" s="78"/>
      <c r="C164" s="78"/>
      <c r="D164" s="78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</row>
    <row r="165" customFormat="false" ht="12.75" hidden="false" customHeight="false" outlineLevel="0" collapsed="false">
      <c r="A165" s="2"/>
      <c r="B165" s="78"/>
      <c r="C165" s="78"/>
      <c r="D165" s="78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</row>
    <row r="166" customFormat="false" ht="12.75" hidden="false" customHeight="false" outlineLevel="0" collapsed="false">
      <c r="A166" s="2"/>
      <c r="B166" s="78"/>
      <c r="C166" s="78"/>
      <c r="D166" s="78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</row>
    <row r="167" customFormat="false" ht="12.75" hidden="false" customHeight="false" outlineLevel="0" collapsed="false">
      <c r="A167" s="2"/>
      <c r="B167" s="78"/>
      <c r="C167" s="78"/>
      <c r="D167" s="78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</row>
    <row r="168" customFormat="false" ht="12.75" hidden="false" customHeight="false" outlineLevel="0" collapsed="false">
      <c r="A168" s="2"/>
      <c r="B168" s="78"/>
      <c r="C168" s="78"/>
      <c r="D168" s="78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</row>
    <row r="169" customFormat="false" ht="12.75" hidden="false" customHeight="false" outlineLevel="0" collapsed="false">
      <c r="A169" s="2"/>
      <c r="B169" s="78"/>
      <c r="C169" s="78"/>
      <c r="D169" s="78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</row>
    <row r="170" customFormat="false" ht="12.75" hidden="false" customHeight="false" outlineLevel="0" collapsed="false">
      <c r="A170" s="2"/>
      <c r="B170" s="78"/>
      <c r="C170" s="78"/>
      <c r="D170" s="78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</row>
    <row r="171" customFormat="false" ht="12.75" hidden="false" customHeight="false" outlineLevel="0" collapsed="false">
      <c r="A171" s="2"/>
      <c r="B171" s="78"/>
      <c r="C171" s="78"/>
      <c r="D171" s="78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</row>
    <row r="172" customFormat="false" ht="12.75" hidden="false" customHeight="false" outlineLevel="0" collapsed="false">
      <c r="A172" s="2"/>
      <c r="B172" s="78"/>
      <c r="C172" s="78"/>
      <c r="D172" s="78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</row>
    <row r="173" customFormat="false" ht="12.75" hidden="false" customHeight="false" outlineLevel="0" collapsed="false">
      <c r="A173" s="2"/>
      <c r="B173" s="78"/>
      <c r="C173" s="78"/>
      <c r="D173" s="78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</row>
    <row r="174" customFormat="false" ht="12.75" hidden="false" customHeight="false" outlineLevel="0" collapsed="false">
      <c r="A174" s="2"/>
      <c r="B174" s="78"/>
      <c r="C174" s="78"/>
      <c r="D174" s="78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</row>
    <row r="175" customFormat="false" ht="12.75" hidden="false" customHeight="false" outlineLevel="0" collapsed="false">
      <c r="A175" s="2"/>
      <c r="B175" s="78"/>
      <c r="C175" s="78"/>
      <c r="D175" s="78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</row>
    <row r="176" customFormat="false" ht="12.75" hidden="false" customHeight="false" outlineLevel="0" collapsed="false">
      <c r="A176" s="2"/>
      <c r="B176" s="78"/>
      <c r="C176" s="78"/>
      <c r="D176" s="78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</row>
    <row r="177" customFormat="false" ht="12.75" hidden="false" customHeight="false" outlineLevel="0" collapsed="false">
      <c r="A177" s="2"/>
      <c r="B177" s="78"/>
      <c r="C177" s="78"/>
      <c r="D177" s="78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</row>
    <row r="178" customFormat="false" ht="12.75" hidden="false" customHeight="false" outlineLevel="0" collapsed="false">
      <c r="A178" s="2"/>
      <c r="B178" s="78"/>
      <c r="C178" s="78"/>
      <c r="D178" s="7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</row>
    <row r="179" customFormat="false" ht="12.75" hidden="false" customHeight="false" outlineLevel="0" collapsed="false">
      <c r="A179" s="2"/>
      <c r="B179" s="78"/>
      <c r="C179" s="78"/>
      <c r="D179" s="7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</row>
    <row r="180" customFormat="false" ht="12.75" hidden="false" customHeight="false" outlineLevel="0" collapsed="false">
      <c r="A180" s="2"/>
      <c r="B180" s="78"/>
      <c r="C180" s="78"/>
      <c r="D180" s="7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</row>
    <row r="181" customFormat="false" ht="12.75" hidden="false" customHeight="false" outlineLevel="0" collapsed="false">
      <c r="A181" s="2"/>
      <c r="B181" s="78"/>
      <c r="C181" s="78"/>
      <c r="D181" s="7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</row>
    <row r="182" customFormat="false" ht="12.75" hidden="false" customHeight="false" outlineLevel="0" collapsed="false">
      <c r="A182" s="2"/>
      <c r="B182" s="78"/>
      <c r="C182" s="78"/>
      <c r="D182" s="7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</row>
    <row r="183" customFormat="false" ht="12.75" hidden="false" customHeight="false" outlineLevel="0" collapsed="false">
      <c r="A183" s="2"/>
      <c r="B183" s="78"/>
      <c r="C183" s="78"/>
      <c r="D183" s="7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</row>
    <row r="184" customFormat="false" ht="12.75" hidden="false" customHeight="false" outlineLevel="0" collapsed="false">
      <c r="A184" s="2"/>
      <c r="B184" s="78"/>
      <c r="C184" s="78"/>
      <c r="D184" s="7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</row>
    <row r="185" customFormat="false" ht="12.75" hidden="false" customHeight="false" outlineLevel="0" collapsed="false">
      <c r="A185" s="2"/>
      <c r="B185" s="78"/>
      <c r="C185" s="78"/>
      <c r="D185" s="7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</row>
    <row r="186" customFormat="false" ht="12.75" hidden="false" customHeight="false" outlineLevel="0" collapsed="false">
      <c r="A186" s="2"/>
      <c r="B186" s="78"/>
      <c r="C186" s="78"/>
      <c r="D186" s="7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</row>
    <row r="187" customFormat="false" ht="12.75" hidden="false" customHeight="false" outlineLevel="0" collapsed="false">
      <c r="A187" s="2"/>
      <c r="B187" s="78"/>
      <c r="C187" s="78"/>
      <c r="D187" s="7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</row>
    <row r="188" customFormat="false" ht="12.75" hidden="false" customHeight="false" outlineLevel="0" collapsed="false">
      <c r="A188" s="2"/>
      <c r="B188" s="78"/>
      <c r="C188" s="78"/>
      <c r="D188" s="7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</row>
    <row r="189" customFormat="false" ht="12.75" hidden="false" customHeight="false" outlineLevel="0" collapsed="false">
      <c r="A189" s="2"/>
      <c r="B189" s="78"/>
      <c r="C189" s="78"/>
      <c r="D189" s="7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</row>
    <row r="190" customFormat="false" ht="12.75" hidden="false" customHeight="false" outlineLevel="0" collapsed="false">
      <c r="A190" s="2"/>
      <c r="B190" s="78"/>
      <c r="C190" s="78"/>
      <c r="D190" s="7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</row>
    <row r="191" customFormat="false" ht="12.75" hidden="false" customHeight="false" outlineLevel="0" collapsed="false">
      <c r="A191" s="2"/>
      <c r="B191" s="78"/>
      <c r="C191" s="78"/>
      <c r="D191" s="7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1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1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1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  <c r="CS226" s="71"/>
      <c r="CT226" s="71"/>
      <c r="CU226" s="71"/>
      <c r="CV226" s="71"/>
      <c r="CW226" s="71"/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  <c r="DN226" s="71"/>
      <c r="DO226" s="71"/>
      <c r="DP226" s="71"/>
      <c r="DQ226" s="71"/>
      <c r="DR226" s="71"/>
      <c r="DS226" s="71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  <c r="DS227" s="71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  <c r="DS228" s="71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  <c r="DS229" s="71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  <c r="DS231" s="71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  <c r="DS232" s="71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/>
      <c r="CQ234" s="71"/>
      <c r="CR234" s="71"/>
      <c r="CS234" s="71"/>
      <c r="CT234" s="71"/>
      <c r="CU234" s="71"/>
      <c r="CV234" s="71"/>
      <c r="CW234" s="71"/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  <c r="DN234" s="71"/>
      <c r="DO234" s="71"/>
      <c r="DP234" s="71"/>
      <c r="DQ234" s="71"/>
      <c r="DR234" s="71"/>
      <c r="DS234" s="71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  <c r="DS235" s="71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  <c r="DS236" s="71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/>
      <c r="CQ237" s="71"/>
      <c r="CR237" s="71"/>
      <c r="CS237" s="71"/>
      <c r="CT237" s="71"/>
      <c r="CU237" s="71"/>
      <c r="CV237" s="71"/>
      <c r="CW237" s="71"/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  <c r="DN237" s="71"/>
      <c r="DO237" s="71"/>
      <c r="DP237" s="71"/>
      <c r="DQ237" s="71"/>
      <c r="DR237" s="71"/>
      <c r="DS237" s="71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  <c r="DS238" s="71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/>
      <c r="CQ239" s="71"/>
      <c r="CR239" s="71"/>
      <c r="CS239" s="71"/>
      <c r="CT239" s="71"/>
      <c r="CU239" s="71"/>
      <c r="CV239" s="71"/>
      <c r="CW239" s="71"/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  <c r="DN239" s="71"/>
      <c r="DO239" s="71"/>
      <c r="DP239" s="71"/>
      <c r="DQ239" s="71"/>
      <c r="DR239" s="71"/>
      <c r="DS239" s="71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  <c r="DS240" s="71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/>
      <c r="CQ241" s="71"/>
      <c r="CR241" s="71"/>
      <c r="CS241" s="71"/>
      <c r="CT241" s="71"/>
      <c r="CU241" s="71"/>
      <c r="CV241" s="71"/>
      <c r="CW241" s="71"/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  <c r="DN241" s="71"/>
      <c r="DO241" s="71"/>
      <c r="DP241" s="71"/>
      <c r="DQ241" s="71"/>
      <c r="DR241" s="71"/>
      <c r="DS241" s="71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/>
      <c r="CQ243" s="71"/>
      <c r="CR243" s="71"/>
      <c r="CS243" s="71"/>
      <c r="CT243" s="71"/>
      <c r="CU243" s="71"/>
      <c r="CV243" s="71"/>
      <c r="CW243" s="71"/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  <c r="DN243" s="71"/>
      <c r="DO243" s="71"/>
      <c r="DP243" s="71"/>
      <c r="DQ243" s="71"/>
      <c r="DR243" s="71"/>
      <c r="DS243" s="71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1"/>
      <c r="CH244" s="71"/>
      <c r="CI244" s="71"/>
      <c r="CJ244" s="71"/>
      <c r="CK244" s="71"/>
      <c r="CL244" s="71"/>
      <c r="CM244" s="71"/>
      <c r="CN244" s="71"/>
      <c r="CO244" s="71"/>
      <c r="CP244" s="71"/>
      <c r="CQ244" s="71"/>
      <c r="CR244" s="71"/>
      <c r="CS244" s="71"/>
      <c r="CT244" s="71"/>
      <c r="CU244" s="71"/>
      <c r="CV244" s="71"/>
      <c r="CW244" s="71"/>
      <c r="CX244" s="71"/>
      <c r="CY244" s="71"/>
      <c r="CZ244" s="71"/>
      <c r="DA244" s="71"/>
      <c r="DB244" s="71"/>
      <c r="DC244" s="71"/>
      <c r="DD244" s="71"/>
      <c r="DE244" s="71"/>
      <c r="DF244" s="71"/>
      <c r="DG244" s="71"/>
      <c r="DH244" s="71"/>
      <c r="DI244" s="71"/>
      <c r="DJ244" s="71"/>
      <c r="DK244" s="71"/>
      <c r="DL244" s="71"/>
      <c r="DM244" s="71"/>
      <c r="DN244" s="71"/>
      <c r="DO244" s="71"/>
      <c r="DP244" s="71"/>
      <c r="DQ244" s="71"/>
      <c r="DR244" s="71"/>
      <c r="DS244" s="71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1"/>
      <c r="CH245" s="71"/>
      <c r="CI245" s="71"/>
      <c r="CJ245" s="71"/>
      <c r="CK245" s="71"/>
      <c r="CL245" s="71"/>
      <c r="CM245" s="71"/>
      <c r="CN245" s="71"/>
      <c r="CO245" s="71"/>
      <c r="CP245" s="71"/>
      <c r="CQ245" s="71"/>
      <c r="CR245" s="71"/>
      <c r="CS245" s="71"/>
      <c r="CT245" s="71"/>
      <c r="CU245" s="71"/>
      <c r="CV245" s="71"/>
      <c r="CW245" s="71"/>
      <c r="CX245" s="71"/>
      <c r="CY245" s="71"/>
      <c r="CZ245" s="71"/>
      <c r="DA245" s="71"/>
      <c r="DB245" s="71"/>
      <c r="DC245" s="71"/>
      <c r="DD245" s="71"/>
      <c r="DE245" s="71"/>
      <c r="DF245" s="71"/>
      <c r="DG245" s="71"/>
      <c r="DH245" s="71"/>
      <c r="DI245" s="71"/>
      <c r="DJ245" s="71"/>
      <c r="DK245" s="71"/>
      <c r="DL245" s="71"/>
      <c r="DM245" s="71"/>
      <c r="DN245" s="71"/>
      <c r="DO245" s="71"/>
      <c r="DP245" s="71"/>
      <c r="DQ245" s="71"/>
      <c r="DR245" s="71"/>
      <c r="DS245" s="71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  <c r="IJ245" s="71"/>
      <c r="IK245" s="71"/>
      <c r="IL245" s="71"/>
      <c r="IM245" s="71"/>
      <c r="IN245" s="71"/>
      <c r="IO245" s="71"/>
      <c r="IP245" s="71"/>
      <c r="IQ245" s="71"/>
      <c r="IR245" s="71"/>
      <c r="IS245" s="71"/>
      <c r="IT245" s="71"/>
      <c r="IU245" s="71"/>
      <c r="IV245" s="71"/>
      <c r="IW245" s="71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  <c r="DS246" s="71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  <c r="DS247" s="71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  <c r="DS248" s="71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  <c r="DS250" s="71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  <c r="DP251" s="71"/>
      <c r="DQ251" s="71"/>
      <c r="DR251" s="71"/>
      <c r="DS251" s="71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  <c r="DS252" s="71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/>
      <c r="CQ253" s="71"/>
      <c r="CR253" s="71"/>
      <c r="CS253" s="71"/>
      <c r="CT253" s="71"/>
      <c r="CU253" s="71"/>
      <c r="CV253" s="71"/>
      <c r="CW253" s="71"/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  <c r="DN253" s="71"/>
      <c r="DO253" s="71"/>
      <c r="DP253" s="71"/>
      <c r="DQ253" s="71"/>
      <c r="DR253" s="71"/>
      <c r="DS253" s="71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  <c r="DS254" s="71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/>
      <c r="CQ255" s="71"/>
      <c r="CR255" s="71"/>
      <c r="CS255" s="71"/>
      <c r="CT255" s="71"/>
      <c r="CU255" s="71"/>
      <c r="CV255" s="71"/>
      <c r="CW255" s="71"/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  <c r="DN255" s="71"/>
      <c r="DO255" s="71"/>
      <c r="DP255" s="71"/>
      <c r="DQ255" s="71"/>
      <c r="DR255" s="71"/>
      <c r="DS255" s="71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  <c r="DS256" s="71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/>
      <c r="CQ257" s="71"/>
      <c r="CR257" s="71"/>
      <c r="CS257" s="71"/>
      <c r="CT257" s="71"/>
      <c r="CU257" s="71"/>
      <c r="CV257" s="71"/>
      <c r="CW257" s="71"/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  <c r="DN257" s="71"/>
      <c r="DO257" s="71"/>
      <c r="DP257" s="71"/>
      <c r="DQ257" s="71"/>
      <c r="DR257" s="71"/>
      <c r="DS257" s="71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/>
      <c r="CQ258" s="71"/>
      <c r="CR258" s="71"/>
      <c r="CS258" s="71"/>
      <c r="CT258" s="71"/>
      <c r="CU258" s="71"/>
      <c r="CV258" s="71"/>
      <c r="CW258" s="71"/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  <c r="DN258" s="71"/>
      <c r="DO258" s="71"/>
      <c r="DP258" s="71"/>
      <c r="DQ258" s="71"/>
      <c r="DR258" s="71"/>
      <c r="DS258" s="71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/>
      <c r="CQ259" s="71"/>
      <c r="CR259" s="71"/>
      <c r="CS259" s="71"/>
      <c r="CT259" s="71"/>
      <c r="CU259" s="71"/>
      <c r="CV259" s="71"/>
      <c r="CW259" s="71"/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  <c r="DN259" s="71"/>
      <c r="DO259" s="71"/>
      <c r="DP259" s="71"/>
      <c r="DQ259" s="71"/>
      <c r="DR259" s="71"/>
      <c r="DS259" s="71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/>
      <c r="CQ260" s="71"/>
      <c r="CR260" s="71"/>
      <c r="CS260" s="71"/>
      <c r="CT260" s="71"/>
      <c r="CU260" s="71"/>
      <c r="CV260" s="71"/>
      <c r="CW260" s="71"/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  <c r="DN260" s="71"/>
      <c r="DO260" s="71"/>
      <c r="DP260" s="71"/>
      <c r="DQ260" s="71"/>
      <c r="DR260" s="71"/>
      <c r="DS260" s="71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/>
      <c r="CQ261" s="71"/>
      <c r="CR261" s="71"/>
      <c r="CS261" s="71"/>
      <c r="CT261" s="71"/>
      <c r="CU261" s="71"/>
      <c r="CV261" s="71"/>
      <c r="CW261" s="71"/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  <c r="DN261" s="71"/>
      <c r="DO261" s="71"/>
      <c r="DP261" s="71"/>
      <c r="DQ261" s="71"/>
      <c r="DR261" s="71"/>
      <c r="DS261" s="71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/>
      <c r="CQ262" s="71"/>
      <c r="CR262" s="71"/>
      <c r="CS262" s="71"/>
      <c r="CT262" s="71"/>
      <c r="CU262" s="71"/>
      <c r="CV262" s="71"/>
      <c r="CW262" s="71"/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  <c r="DN262" s="71"/>
      <c r="DO262" s="71"/>
      <c r="DP262" s="71"/>
      <c r="DQ262" s="71"/>
      <c r="DR262" s="71"/>
      <c r="DS262" s="71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  <c r="DS263" s="71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/>
      <c r="CQ264" s="71"/>
      <c r="CR264" s="71"/>
      <c r="CS264" s="71"/>
      <c r="CT264" s="71"/>
      <c r="CU264" s="71"/>
      <c r="CV264" s="71"/>
      <c r="CW264" s="71"/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  <c r="DN264" s="71"/>
      <c r="DO264" s="71"/>
      <c r="DP264" s="71"/>
      <c r="DQ264" s="71"/>
      <c r="DR264" s="71"/>
      <c r="DS264" s="71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/>
      <c r="CQ265" s="71"/>
      <c r="CR265" s="71"/>
      <c r="CS265" s="71"/>
      <c r="CT265" s="71"/>
      <c r="CU265" s="71"/>
      <c r="CV265" s="71"/>
      <c r="CW265" s="71"/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  <c r="DN265" s="71"/>
      <c r="DO265" s="71"/>
      <c r="DP265" s="71"/>
      <c r="DQ265" s="71"/>
      <c r="DR265" s="71"/>
      <c r="DS265" s="71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/>
      <c r="CQ267" s="71"/>
      <c r="CR267" s="71"/>
      <c r="CS267" s="71"/>
      <c r="CT267" s="71"/>
      <c r="CU267" s="71"/>
      <c r="CV267" s="71"/>
      <c r="CW267" s="71"/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  <c r="DN267" s="71"/>
      <c r="DO267" s="71"/>
      <c r="DP267" s="71"/>
      <c r="DQ267" s="71"/>
      <c r="DR267" s="71"/>
      <c r="DS267" s="71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  <c r="DS268" s="71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  <c r="DS269" s="71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/>
      <c r="CQ270" s="71"/>
      <c r="CR270" s="71"/>
      <c r="CS270" s="71"/>
      <c r="CT270" s="71"/>
      <c r="CU270" s="71"/>
      <c r="CV270" s="71"/>
      <c r="CW270" s="71"/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  <c r="DN270" s="71"/>
      <c r="DO270" s="71"/>
      <c r="DP270" s="71"/>
      <c r="DQ270" s="71"/>
      <c r="DR270" s="71"/>
      <c r="DS270" s="71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1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1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1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/>
      <c r="CQ282" s="71"/>
      <c r="CR282" s="71"/>
      <c r="CS282" s="71"/>
      <c r="CT282" s="71"/>
      <c r="CU282" s="71"/>
      <c r="CV282" s="71"/>
      <c r="CW282" s="71"/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  <c r="DN282" s="71"/>
      <c r="DO282" s="71"/>
      <c r="DP282" s="71"/>
      <c r="DQ282" s="71"/>
      <c r="DR282" s="71"/>
      <c r="DS282" s="71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/>
      <c r="CQ283" s="71"/>
      <c r="CR283" s="71"/>
      <c r="CS283" s="71"/>
      <c r="CT283" s="71"/>
      <c r="CU283" s="71"/>
      <c r="CV283" s="71"/>
      <c r="CW283" s="71"/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  <c r="DN283" s="71"/>
      <c r="DO283" s="71"/>
      <c r="DP283" s="71"/>
      <c r="DQ283" s="71"/>
      <c r="DR283" s="71"/>
      <c r="DS283" s="71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  <c r="DS284" s="71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/>
      <c r="CQ285" s="71"/>
      <c r="CR285" s="71"/>
      <c r="CS285" s="71"/>
      <c r="CT285" s="71"/>
      <c r="CU285" s="71"/>
      <c r="CV285" s="71"/>
      <c r="CW285" s="71"/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  <c r="DN285" s="71"/>
      <c r="DO285" s="71"/>
      <c r="DP285" s="71"/>
      <c r="DQ285" s="71"/>
      <c r="DR285" s="71"/>
      <c r="DS285" s="71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  <c r="DN286" s="71"/>
      <c r="DO286" s="71"/>
      <c r="DP286" s="71"/>
      <c r="DQ286" s="71"/>
      <c r="DR286" s="71"/>
      <c r="DS286" s="71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/>
      <c r="CQ287" s="71"/>
      <c r="CR287" s="71"/>
      <c r="CS287" s="71"/>
      <c r="CT287" s="71"/>
      <c r="CU287" s="71"/>
      <c r="CV287" s="71"/>
      <c r="CW287" s="71"/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  <c r="DN287" s="71"/>
      <c r="DO287" s="71"/>
      <c r="DP287" s="71"/>
      <c r="DQ287" s="71"/>
      <c r="DR287" s="71"/>
      <c r="DS287" s="71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/>
      <c r="CQ288" s="71"/>
      <c r="CR288" s="71"/>
      <c r="CS288" s="71"/>
      <c r="CT288" s="71"/>
      <c r="CU288" s="71"/>
      <c r="CV288" s="71"/>
      <c r="CW288" s="71"/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  <c r="DN288" s="71"/>
      <c r="DO288" s="71"/>
      <c r="DP288" s="71"/>
      <c r="DQ288" s="71"/>
      <c r="DR288" s="71"/>
      <c r="DS288" s="71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/>
      <c r="CQ289" s="71"/>
      <c r="CR289" s="71"/>
      <c r="CS289" s="71"/>
      <c r="CT289" s="71"/>
      <c r="CU289" s="71"/>
      <c r="CV289" s="71"/>
      <c r="CW289" s="71"/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  <c r="DN289" s="71"/>
      <c r="DO289" s="71"/>
      <c r="DP289" s="71"/>
      <c r="DQ289" s="71"/>
      <c r="DR289" s="71"/>
      <c r="DS289" s="71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/>
      <c r="CQ292" s="71"/>
      <c r="CR292" s="71"/>
      <c r="CS292" s="71"/>
      <c r="CT292" s="71"/>
      <c r="CU292" s="71"/>
      <c r="CV292" s="71"/>
      <c r="CW292" s="71"/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  <c r="DN292" s="71"/>
      <c r="DO292" s="71"/>
      <c r="DP292" s="71"/>
      <c r="DQ292" s="71"/>
      <c r="DR292" s="71"/>
      <c r="DS292" s="71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  <c r="DS294" s="71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  <c r="DS296" s="71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/>
      <c r="CQ297" s="71"/>
      <c r="CR297" s="71"/>
      <c r="CS297" s="71"/>
      <c r="CT297" s="71"/>
      <c r="CU297" s="71"/>
      <c r="CV297" s="71"/>
      <c r="CW297" s="71"/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  <c r="DN297" s="71"/>
      <c r="DO297" s="71"/>
      <c r="DP297" s="71"/>
      <c r="DQ297" s="71"/>
      <c r="DR297" s="71"/>
      <c r="DS297" s="71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/>
      <c r="CQ298" s="71"/>
      <c r="CR298" s="71"/>
      <c r="CS298" s="71"/>
      <c r="CT298" s="71"/>
      <c r="CU298" s="71"/>
      <c r="CV298" s="71"/>
      <c r="CW298" s="71"/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  <c r="DN298" s="71"/>
      <c r="DO298" s="71"/>
      <c r="DP298" s="71"/>
      <c r="DQ298" s="71"/>
      <c r="DR298" s="71"/>
      <c r="DS298" s="71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  <c r="DS299" s="71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/>
      <c r="CQ300" s="71"/>
      <c r="CR300" s="71"/>
      <c r="CS300" s="71"/>
      <c r="CT300" s="71"/>
      <c r="CU300" s="71"/>
      <c r="CV300" s="71"/>
      <c r="CW300" s="71"/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  <c r="DN300" s="71"/>
      <c r="DO300" s="71"/>
      <c r="DP300" s="71"/>
      <c r="DQ300" s="71"/>
      <c r="DR300" s="71"/>
      <c r="DS300" s="71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/>
      <c r="CQ301" s="71"/>
      <c r="CR301" s="71"/>
      <c r="CS301" s="71"/>
      <c r="CT301" s="71"/>
      <c r="CU301" s="71"/>
      <c r="CV301" s="71"/>
      <c r="CW301" s="71"/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  <c r="DN301" s="71"/>
      <c r="DO301" s="71"/>
      <c r="DP301" s="71"/>
      <c r="DQ301" s="71"/>
      <c r="DR301" s="71"/>
      <c r="DS301" s="71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1"/>
      <c r="CH304" s="71"/>
      <c r="CI304" s="71"/>
      <c r="CJ304" s="71"/>
      <c r="CK304" s="71"/>
      <c r="CL304" s="71"/>
      <c r="CM304" s="71"/>
      <c r="CN304" s="71"/>
      <c r="CO304" s="71"/>
      <c r="CP304" s="71"/>
      <c r="CQ304" s="71"/>
      <c r="CR304" s="71"/>
      <c r="CS304" s="71"/>
      <c r="CT304" s="71"/>
      <c r="CU304" s="71"/>
      <c r="CV304" s="71"/>
      <c r="CW304" s="71"/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  <c r="DN304" s="71"/>
      <c r="DO304" s="71"/>
      <c r="DP304" s="71"/>
      <c r="DQ304" s="71"/>
      <c r="DR304" s="71"/>
      <c r="DS304" s="71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  <c r="DS305" s="71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  <c r="DS306" s="71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  <c r="DS307" s="71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1"/>
      <c r="CH308" s="71"/>
      <c r="CI308" s="71"/>
      <c r="CJ308" s="71"/>
      <c r="CK308" s="71"/>
      <c r="CL308" s="71"/>
      <c r="CM308" s="71"/>
      <c r="CN308" s="71"/>
      <c r="CO308" s="71"/>
      <c r="CP308" s="71"/>
      <c r="CQ308" s="71"/>
      <c r="CR308" s="71"/>
      <c r="CS308" s="71"/>
      <c r="CT308" s="71"/>
      <c r="CU308" s="71"/>
      <c r="CV308" s="71"/>
      <c r="CW308" s="71"/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  <c r="DN308" s="71"/>
      <c r="DO308" s="71"/>
      <c r="DP308" s="71"/>
      <c r="DQ308" s="71"/>
      <c r="DR308" s="71"/>
      <c r="DS308" s="71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  <c r="DS309" s="71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  <c r="DS310" s="71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1"/>
      <c r="CH311" s="71"/>
      <c r="CI311" s="71"/>
      <c r="CJ311" s="71"/>
      <c r="CK311" s="71"/>
      <c r="CL311" s="71"/>
      <c r="CM311" s="71"/>
      <c r="CN311" s="71"/>
      <c r="CO311" s="71"/>
      <c r="CP311" s="71"/>
      <c r="CQ311" s="71"/>
      <c r="CR311" s="71"/>
      <c r="CS311" s="71"/>
      <c r="CT311" s="71"/>
      <c r="CU311" s="71"/>
      <c r="CV311" s="71"/>
      <c r="CW311" s="71"/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  <c r="DN311" s="71"/>
      <c r="DO311" s="71"/>
      <c r="DP311" s="71"/>
      <c r="DQ311" s="71"/>
      <c r="DR311" s="71"/>
      <c r="DS311" s="71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  <c r="DS312" s="71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1"/>
      <c r="CH313" s="71"/>
      <c r="CI313" s="71"/>
      <c r="CJ313" s="71"/>
      <c r="CK313" s="71"/>
      <c r="CL313" s="71"/>
      <c r="CM313" s="71"/>
      <c r="CN313" s="71"/>
      <c r="CO313" s="71"/>
      <c r="CP313" s="71"/>
      <c r="CQ313" s="71"/>
      <c r="CR313" s="71"/>
      <c r="CS313" s="71"/>
      <c r="CT313" s="71"/>
      <c r="CU313" s="71"/>
      <c r="CV313" s="71"/>
      <c r="CW313" s="71"/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  <c r="DN313" s="71"/>
      <c r="DO313" s="71"/>
      <c r="DP313" s="71"/>
      <c r="DQ313" s="71"/>
      <c r="DR313" s="71"/>
      <c r="DS313" s="71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  <c r="DS315" s="71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/>
      <c r="CQ316" s="71"/>
      <c r="CR316" s="71"/>
      <c r="CS316" s="71"/>
      <c r="CT316" s="71"/>
      <c r="CU316" s="71"/>
      <c r="CV316" s="71"/>
      <c r="CW316" s="71"/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  <c r="DN316" s="71"/>
      <c r="DO316" s="71"/>
      <c r="DP316" s="71"/>
      <c r="DQ316" s="71"/>
      <c r="DR316" s="71"/>
      <c r="DS316" s="71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  <c r="DS317" s="71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/>
      <c r="CQ318" s="71"/>
      <c r="CR318" s="71"/>
      <c r="CS318" s="71"/>
      <c r="CT318" s="71"/>
      <c r="CU318" s="71"/>
      <c r="CV318" s="71"/>
      <c r="CW318" s="71"/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  <c r="DN318" s="71"/>
      <c r="DO318" s="71"/>
      <c r="DP318" s="71"/>
      <c r="DQ318" s="71"/>
      <c r="DR318" s="71"/>
      <c r="DS318" s="71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/>
      <c r="CQ319" s="71"/>
      <c r="CR319" s="71"/>
      <c r="CS319" s="71"/>
      <c r="CT319" s="71"/>
      <c r="CU319" s="71"/>
      <c r="CV319" s="71"/>
      <c r="CW319" s="71"/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  <c r="DN319" s="71"/>
      <c r="DO319" s="71"/>
      <c r="DP319" s="71"/>
      <c r="DQ319" s="71"/>
      <c r="DR319" s="71"/>
      <c r="DS319" s="71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/>
      <c r="CQ320" s="71"/>
      <c r="CR320" s="71"/>
      <c r="CS320" s="71"/>
      <c r="CT320" s="71"/>
      <c r="CU320" s="71"/>
      <c r="CV320" s="71"/>
      <c r="CW320" s="71"/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  <c r="DN320" s="71"/>
      <c r="DO320" s="71"/>
      <c r="DP320" s="71"/>
      <c r="DQ320" s="71"/>
      <c r="DR320" s="71"/>
      <c r="DS320" s="71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  <c r="DS321" s="71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/>
      <c r="CQ322" s="71"/>
      <c r="CR322" s="71"/>
      <c r="CS322" s="71"/>
      <c r="CT322" s="71"/>
      <c r="CU322" s="71"/>
      <c r="CV322" s="71"/>
      <c r="CW322" s="71"/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  <c r="DN322" s="71"/>
      <c r="DO322" s="71"/>
      <c r="DP322" s="71"/>
      <c r="DQ322" s="71"/>
      <c r="DR322" s="71"/>
      <c r="DS322" s="71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  <c r="DS323" s="71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  <c r="DS324" s="71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  <c r="DS327" s="71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1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1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1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</row>
    <row r="354" customFormat="false" ht="12.75" hidden="false" customHeight="false" outlineLevel="0" collapsed="false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</row>
    <row r="355" customFormat="false" ht="12.75" hidden="false" customHeight="false" outlineLevel="0" collapsed="false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</row>
    <row r="356" customFormat="false" ht="12.75" hidden="false" customHeight="false" outlineLevel="0" collapsed="false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</row>
    <row r="357" customFormat="false" ht="12.75" hidden="false" customHeight="false" outlineLevel="0" collapsed="false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</row>
    <row r="358" customFormat="false" ht="12.75" hidden="false" customHeight="false" outlineLevel="0" collapsed="false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</row>
    <row r="359" customFormat="false" ht="12.75" hidden="false" customHeight="false" outlineLevel="0" collapsed="false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/>
      <c r="CQ359" s="71"/>
      <c r="CR359" s="71"/>
      <c r="CS359" s="71"/>
      <c r="CT359" s="71"/>
      <c r="CU359" s="71"/>
      <c r="CV359" s="71"/>
      <c r="CW359" s="71"/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  <c r="DN359" s="71"/>
      <c r="DO359" s="71"/>
      <c r="DP359" s="71"/>
      <c r="DQ359" s="71"/>
      <c r="DR359" s="71"/>
      <c r="DS359" s="71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</row>
    <row r="360" customFormat="false" ht="12.75" hidden="false" customHeight="false" outlineLevel="0" collapsed="false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/>
      <c r="CQ360" s="71"/>
      <c r="CR360" s="71"/>
      <c r="CS360" s="71"/>
      <c r="CT360" s="71"/>
      <c r="CU360" s="71"/>
      <c r="CV360" s="71"/>
      <c r="CW360" s="71"/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  <c r="DN360" s="71"/>
      <c r="DO360" s="71"/>
      <c r="DP360" s="71"/>
      <c r="DQ360" s="71"/>
      <c r="DR360" s="71"/>
      <c r="DS360" s="71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</row>
    <row r="361" customFormat="false" ht="12.75" hidden="false" customHeight="false" outlineLevel="0" collapsed="false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  <c r="DS361" s="71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</row>
    <row r="362" customFormat="false" ht="12.75" hidden="false" customHeight="false" outlineLevel="0" collapsed="false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</row>
    <row r="363" customFormat="false" ht="12.75" hidden="false" customHeight="false" outlineLevel="0" collapsed="false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/>
      <c r="CQ363" s="71"/>
      <c r="CR363" s="71"/>
      <c r="CS363" s="71"/>
      <c r="CT363" s="71"/>
      <c r="CU363" s="71"/>
      <c r="CV363" s="71"/>
      <c r="CW363" s="71"/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  <c r="DN363" s="71"/>
      <c r="DO363" s="71"/>
      <c r="DP363" s="71"/>
      <c r="DQ363" s="71"/>
      <c r="DR363" s="71"/>
      <c r="DS363" s="71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</row>
    <row r="364" customFormat="false" ht="12.75" hidden="false" customHeight="false" outlineLevel="0" collapsed="false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/>
      <c r="CQ364" s="71"/>
      <c r="CR364" s="71"/>
      <c r="CS364" s="71"/>
      <c r="CT364" s="71"/>
      <c r="CU364" s="71"/>
      <c r="CV364" s="71"/>
      <c r="CW364" s="71"/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  <c r="DN364" s="71"/>
      <c r="DO364" s="71"/>
      <c r="DP364" s="71"/>
      <c r="DQ364" s="71"/>
      <c r="DR364" s="71"/>
      <c r="DS364" s="71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</row>
    <row r="365" customFormat="false" ht="12.75" hidden="false" customHeight="false" outlineLevel="0" collapsed="false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/>
      <c r="CQ365" s="71"/>
      <c r="CR365" s="71"/>
      <c r="CS365" s="71"/>
      <c r="CT365" s="71"/>
      <c r="CU365" s="71"/>
      <c r="CV365" s="71"/>
      <c r="CW365" s="71"/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  <c r="DN365" s="71"/>
      <c r="DO365" s="71"/>
      <c r="DP365" s="71"/>
      <c r="DQ365" s="71"/>
      <c r="DR365" s="71"/>
      <c r="DS365" s="71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</row>
    <row r="366" customFormat="false" ht="12.75" hidden="false" customHeight="false" outlineLevel="0" collapsed="false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</row>
    <row r="367" customFormat="false" ht="12.75" hidden="false" customHeight="false" outlineLevel="0" collapsed="false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/>
      <c r="CQ367" s="71"/>
      <c r="CR367" s="71"/>
      <c r="CS367" s="71"/>
      <c r="CT367" s="71"/>
      <c r="CU367" s="71"/>
      <c r="CV367" s="71"/>
      <c r="CW367" s="71"/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  <c r="DN367" s="71"/>
      <c r="DO367" s="71"/>
      <c r="DP367" s="71"/>
      <c r="DQ367" s="71"/>
      <c r="DR367" s="71"/>
      <c r="DS367" s="71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</row>
    <row r="368" customFormat="false" ht="12.75" hidden="false" customHeight="false" outlineLevel="0" collapsed="false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/>
      <c r="CQ368" s="71"/>
      <c r="CR368" s="71"/>
      <c r="CS368" s="71"/>
      <c r="CT368" s="71"/>
      <c r="CU368" s="71"/>
      <c r="CV368" s="71"/>
      <c r="CW368" s="71"/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  <c r="DN368" s="71"/>
      <c r="DO368" s="71"/>
      <c r="DP368" s="71"/>
      <c r="DQ368" s="71"/>
      <c r="DR368" s="71"/>
      <c r="DS368" s="71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</row>
    <row r="369" customFormat="false" ht="12.75" hidden="false" customHeight="false" outlineLevel="0" collapsed="false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/>
      <c r="CQ369" s="71"/>
      <c r="CR369" s="71"/>
      <c r="CS369" s="71"/>
      <c r="CT369" s="71"/>
      <c r="CU369" s="71"/>
      <c r="CV369" s="71"/>
      <c r="CW369" s="71"/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  <c r="DN369" s="71"/>
      <c r="DO369" s="71"/>
      <c r="DP369" s="71"/>
      <c r="DQ369" s="71"/>
      <c r="DR369" s="71"/>
      <c r="DS369" s="71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</row>
    <row r="370" customFormat="false" ht="12.75" hidden="false" customHeight="false" outlineLevel="0" collapsed="false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/>
      <c r="CQ370" s="71"/>
      <c r="CR370" s="71"/>
      <c r="CS370" s="71"/>
      <c r="CT370" s="71"/>
      <c r="CU370" s="71"/>
      <c r="CV370" s="71"/>
      <c r="CW370" s="71"/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  <c r="DN370" s="71"/>
      <c r="DO370" s="71"/>
      <c r="DP370" s="71"/>
      <c r="DQ370" s="71"/>
      <c r="DR370" s="71"/>
      <c r="DS370" s="71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</row>
    <row r="371" customFormat="false" ht="12.75" hidden="false" customHeight="false" outlineLevel="0" collapsed="false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/>
      <c r="CQ371" s="71"/>
      <c r="CR371" s="71"/>
      <c r="CS371" s="71"/>
      <c r="CT371" s="71"/>
      <c r="CU371" s="71"/>
      <c r="CV371" s="71"/>
      <c r="CW371" s="71"/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  <c r="DN371" s="71"/>
      <c r="DO371" s="71"/>
      <c r="DP371" s="71"/>
      <c r="DQ371" s="71"/>
      <c r="DR371" s="71"/>
      <c r="DS371" s="71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</row>
    <row r="372" customFormat="false" ht="12.75" hidden="false" customHeight="false" outlineLevel="0" collapsed="false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</row>
    <row r="373" customFormat="false" ht="12.75" hidden="false" customHeight="false" outlineLevel="0" collapsed="false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1"/>
      <c r="CH373" s="71"/>
      <c r="CI373" s="71"/>
      <c r="CJ373" s="71"/>
      <c r="CK373" s="71"/>
      <c r="CL373" s="71"/>
      <c r="CM373" s="71"/>
      <c r="CN373" s="71"/>
      <c r="CO373" s="71"/>
      <c r="CP373" s="71"/>
      <c r="CQ373" s="71"/>
      <c r="CR373" s="71"/>
      <c r="CS373" s="71"/>
      <c r="CT373" s="71"/>
      <c r="CU373" s="71"/>
      <c r="CV373" s="71"/>
      <c r="CW373" s="71"/>
      <c r="CX373" s="71"/>
      <c r="CY373" s="71"/>
      <c r="CZ373" s="71"/>
      <c r="DA373" s="71"/>
      <c r="DB373" s="71"/>
      <c r="DC373" s="71"/>
      <c r="DD373" s="71"/>
      <c r="DE373" s="71"/>
      <c r="DF373" s="71"/>
      <c r="DG373" s="71"/>
      <c r="DH373" s="71"/>
      <c r="DI373" s="71"/>
      <c r="DJ373" s="71"/>
      <c r="DK373" s="71"/>
      <c r="DL373" s="71"/>
      <c r="DM373" s="71"/>
      <c r="DN373" s="71"/>
      <c r="DO373" s="71"/>
      <c r="DP373" s="71"/>
      <c r="DQ373" s="71"/>
      <c r="DR373" s="71"/>
      <c r="DS373" s="71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  <c r="IJ373" s="71"/>
      <c r="IK373" s="71"/>
      <c r="IL373" s="71"/>
      <c r="IM373" s="71"/>
      <c r="IN373" s="71"/>
      <c r="IO373" s="71"/>
      <c r="IP373" s="71"/>
      <c r="IQ373" s="71"/>
      <c r="IR373" s="71"/>
      <c r="IS373" s="71"/>
      <c r="IT373" s="71"/>
      <c r="IU373" s="71"/>
      <c r="IV373" s="71"/>
      <c r="IW373" s="71"/>
    </row>
    <row r="374" customFormat="false" ht="12.75" hidden="false" customHeight="false" outlineLevel="0" collapsed="false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  <c r="DS374" s="71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</row>
    <row r="375" customFormat="false" ht="12.75" hidden="false" customHeight="false" outlineLevel="0" collapsed="false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/>
      <c r="CQ375" s="71"/>
      <c r="CR375" s="71"/>
      <c r="CS375" s="71"/>
      <c r="CT375" s="71"/>
      <c r="CU375" s="71"/>
      <c r="CV375" s="71"/>
      <c r="CW375" s="71"/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  <c r="DN375" s="71"/>
      <c r="DO375" s="71"/>
      <c r="DP375" s="71"/>
      <c r="DQ375" s="71"/>
      <c r="DR375" s="71"/>
      <c r="DS375" s="71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</row>
    <row r="376" customFormat="false" ht="12.75" hidden="false" customHeight="false" outlineLevel="0" collapsed="false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  <c r="DS376" s="71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</row>
    <row r="377" customFormat="false" ht="12.75" hidden="false" customHeight="false" outlineLevel="0" collapsed="false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/>
      <c r="CQ377" s="71"/>
      <c r="CR377" s="71"/>
      <c r="CS377" s="71"/>
      <c r="CT377" s="71"/>
      <c r="CU377" s="71"/>
      <c r="CV377" s="71"/>
      <c r="CW377" s="71"/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  <c r="DN377" s="71"/>
      <c r="DO377" s="71"/>
      <c r="DP377" s="71"/>
      <c r="DQ377" s="71"/>
      <c r="DR377" s="71"/>
      <c r="DS377" s="71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</row>
    <row r="378" customFormat="false" ht="12.75" hidden="false" customHeight="false" outlineLevel="0" collapsed="false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/>
      <c r="CQ378" s="71"/>
      <c r="CR378" s="71"/>
      <c r="CS378" s="71"/>
      <c r="CT378" s="71"/>
      <c r="CU378" s="71"/>
      <c r="CV378" s="71"/>
      <c r="CW378" s="71"/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  <c r="DN378" s="71"/>
      <c r="DO378" s="71"/>
      <c r="DP378" s="71"/>
      <c r="DQ378" s="71"/>
      <c r="DR378" s="71"/>
      <c r="DS378" s="71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</row>
    <row r="379" customFormat="false" ht="12.75" hidden="false" customHeight="false" outlineLevel="0" collapsed="false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/>
      <c r="CQ379" s="71"/>
      <c r="CR379" s="71"/>
      <c r="CS379" s="71"/>
      <c r="CT379" s="71"/>
      <c r="CU379" s="71"/>
      <c r="CV379" s="71"/>
      <c r="CW379" s="71"/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  <c r="DN379" s="71"/>
      <c r="DO379" s="71"/>
      <c r="DP379" s="71"/>
      <c r="DQ379" s="71"/>
      <c r="DR379" s="71"/>
      <c r="DS379" s="71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</row>
    <row r="380" customFormat="false" ht="12.75" hidden="false" customHeight="false" outlineLevel="0" collapsed="false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/>
      <c r="CQ380" s="71"/>
      <c r="CR380" s="71"/>
      <c r="CS380" s="71"/>
      <c r="CT380" s="71"/>
      <c r="CU380" s="71"/>
      <c r="CV380" s="71"/>
      <c r="CW380" s="71"/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  <c r="DN380" s="71"/>
      <c r="DO380" s="71"/>
      <c r="DP380" s="71"/>
      <c r="DQ380" s="71"/>
      <c r="DR380" s="71"/>
      <c r="DS380" s="71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</row>
    <row r="381" customFormat="false" ht="12.75" hidden="false" customHeight="false" outlineLevel="0" collapsed="false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/>
      <c r="CQ381" s="71"/>
      <c r="CR381" s="71"/>
      <c r="CS381" s="71"/>
      <c r="CT381" s="71"/>
      <c r="CU381" s="71"/>
      <c r="CV381" s="71"/>
      <c r="CW381" s="71"/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  <c r="DN381" s="71"/>
      <c r="DO381" s="71"/>
      <c r="DP381" s="71"/>
      <c r="DQ381" s="71"/>
      <c r="DR381" s="71"/>
      <c r="DS381" s="71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</row>
    <row r="382" customFormat="false" ht="12.75" hidden="false" customHeight="false" outlineLevel="0" collapsed="false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  <c r="DS382" s="71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</row>
    <row r="383" customFormat="false" ht="12.75" hidden="false" customHeight="false" outlineLevel="0" collapsed="false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1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</row>
    <row r="384" customFormat="false" ht="12.75" hidden="false" customHeight="false" outlineLevel="0" collapsed="false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  <c r="DS384" s="71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</row>
    <row r="385" customFormat="false" ht="12.75" hidden="false" customHeight="false" outlineLevel="0" collapsed="false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1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</row>
    <row r="386" customFormat="false" ht="12.75" hidden="false" customHeight="false" outlineLevel="0" collapsed="false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1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</row>
    <row r="387" customFormat="false" ht="12.75" hidden="false" customHeight="false" outlineLevel="0" collapsed="false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1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</row>
    <row r="388" customFormat="false" ht="12.75" hidden="false" customHeight="false" outlineLevel="0" collapsed="false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1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</row>
    <row r="389" customFormat="false" ht="12.75" hidden="false" customHeight="false" outlineLevel="0" collapsed="false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</row>
    <row r="390" customFormat="false" ht="12.75" hidden="false" customHeight="false" outlineLevel="0" collapsed="false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</row>
    <row r="391" customFormat="false" ht="12.75" hidden="false" customHeight="false" outlineLevel="0" collapsed="false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1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</row>
    <row r="392" customFormat="false" ht="12.75" hidden="false" customHeight="false" outlineLevel="0" collapsed="false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</row>
    <row r="393" customFormat="false" ht="12.75" hidden="false" customHeight="false" outlineLevel="0" collapsed="false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  <c r="DS393" s="71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</row>
    <row r="394" customFormat="false" ht="12.75" hidden="false" customHeight="false" outlineLevel="0" collapsed="false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/>
      <c r="CQ394" s="71"/>
      <c r="CR394" s="71"/>
      <c r="CS394" s="71"/>
      <c r="CT394" s="71"/>
      <c r="CU394" s="71"/>
      <c r="CV394" s="71"/>
      <c r="CW394" s="71"/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  <c r="DN394" s="71"/>
      <c r="DO394" s="71"/>
      <c r="DP394" s="71"/>
      <c r="DQ394" s="71"/>
      <c r="DR394" s="71"/>
      <c r="DS394" s="71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</row>
    <row r="395" customFormat="false" ht="12.75" hidden="false" customHeight="false" outlineLevel="0" collapsed="false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  <c r="DS395" s="71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</row>
    <row r="396" customFormat="false" ht="12.75" hidden="false" customHeight="false" outlineLevel="0" collapsed="false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/>
      <c r="CQ396" s="71"/>
      <c r="CR396" s="71"/>
      <c r="CS396" s="71"/>
      <c r="CT396" s="71"/>
      <c r="CU396" s="71"/>
      <c r="CV396" s="71"/>
      <c r="CW396" s="71"/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  <c r="DN396" s="71"/>
      <c r="DO396" s="71"/>
      <c r="DP396" s="71"/>
      <c r="DQ396" s="71"/>
      <c r="DR396" s="71"/>
      <c r="DS396" s="71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</row>
    <row r="397" customFormat="false" ht="12.75" hidden="false" customHeight="false" outlineLevel="0" collapsed="false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1"/>
      <c r="CH397" s="71"/>
      <c r="CI397" s="71"/>
      <c r="CJ397" s="71"/>
      <c r="CK397" s="71"/>
      <c r="CL397" s="71"/>
      <c r="CM397" s="71"/>
      <c r="CN397" s="71"/>
      <c r="CO397" s="71"/>
      <c r="CP397" s="71"/>
      <c r="CQ397" s="71"/>
      <c r="CR397" s="71"/>
      <c r="CS397" s="71"/>
      <c r="CT397" s="71"/>
      <c r="CU397" s="71"/>
      <c r="CV397" s="71"/>
      <c r="CW397" s="71"/>
      <c r="CX397" s="71"/>
      <c r="CY397" s="71"/>
      <c r="CZ397" s="71"/>
      <c r="DA397" s="71"/>
      <c r="DB397" s="71"/>
      <c r="DC397" s="71"/>
      <c r="DD397" s="71"/>
      <c r="DE397" s="71"/>
      <c r="DF397" s="71"/>
      <c r="DG397" s="71"/>
      <c r="DH397" s="71"/>
      <c r="DI397" s="71"/>
      <c r="DJ397" s="71"/>
      <c r="DK397" s="71"/>
      <c r="DL397" s="71"/>
      <c r="DM397" s="71"/>
      <c r="DN397" s="71"/>
      <c r="DO397" s="71"/>
      <c r="DP397" s="71"/>
      <c r="DQ397" s="71"/>
      <c r="DR397" s="71"/>
      <c r="DS397" s="71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</row>
    <row r="398" customFormat="false" ht="12.75" hidden="false" customHeight="false" outlineLevel="0" collapsed="false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  <c r="DS398" s="71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</row>
    <row r="399" customFormat="false" ht="12.75" hidden="false" customHeight="false" outlineLevel="0" collapsed="false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1"/>
      <c r="CH399" s="71"/>
      <c r="CI399" s="71"/>
      <c r="CJ399" s="71"/>
      <c r="CK399" s="71"/>
      <c r="CL399" s="71"/>
      <c r="CM399" s="71"/>
      <c r="CN399" s="71"/>
      <c r="CO399" s="71"/>
      <c r="CP399" s="71"/>
      <c r="CQ399" s="71"/>
      <c r="CR399" s="71"/>
      <c r="CS399" s="71"/>
      <c r="CT399" s="71"/>
      <c r="CU399" s="71"/>
      <c r="CV399" s="71"/>
      <c r="CW399" s="71"/>
      <c r="CX399" s="71"/>
      <c r="CY399" s="71"/>
      <c r="CZ399" s="71"/>
      <c r="DA399" s="71"/>
      <c r="DB399" s="71"/>
      <c r="DC399" s="71"/>
      <c r="DD399" s="71"/>
      <c r="DE399" s="71"/>
      <c r="DF399" s="71"/>
      <c r="DG399" s="71"/>
      <c r="DH399" s="71"/>
      <c r="DI399" s="71"/>
      <c r="DJ399" s="71"/>
      <c r="DK399" s="71"/>
      <c r="DL399" s="71"/>
      <c r="DM399" s="71"/>
      <c r="DN399" s="71"/>
      <c r="DO399" s="71"/>
      <c r="DP399" s="71"/>
      <c r="DQ399" s="71"/>
      <c r="DR399" s="71"/>
      <c r="DS399" s="71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</row>
    <row r="400" customFormat="false" ht="12.75" hidden="false" customHeight="false" outlineLevel="0" collapsed="false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1"/>
      <c r="CH400" s="71"/>
      <c r="CI400" s="71"/>
      <c r="CJ400" s="71"/>
      <c r="CK400" s="71"/>
      <c r="CL400" s="71"/>
      <c r="CM400" s="71"/>
      <c r="CN400" s="71"/>
      <c r="CO400" s="71"/>
      <c r="CP400" s="71"/>
      <c r="CQ400" s="71"/>
      <c r="CR400" s="71"/>
      <c r="CS400" s="71"/>
      <c r="CT400" s="71"/>
      <c r="CU400" s="71"/>
      <c r="CV400" s="71"/>
      <c r="CW400" s="71"/>
      <c r="CX400" s="71"/>
      <c r="CY400" s="71"/>
      <c r="CZ400" s="71"/>
      <c r="DA400" s="71"/>
      <c r="DB400" s="71"/>
      <c r="DC400" s="71"/>
      <c r="DD400" s="71"/>
      <c r="DE400" s="71"/>
      <c r="DF400" s="71"/>
      <c r="DG400" s="71"/>
      <c r="DH400" s="71"/>
      <c r="DI400" s="71"/>
      <c r="DJ400" s="71"/>
      <c r="DK400" s="71"/>
      <c r="DL400" s="71"/>
      <c r="DM400" s="71"/>
      <c r="DN400" s="71"/>
      <c r="DO400" s="71"/>
      <c r="DP400" s="71"/>
      <c r="DQ400" s="71"/>
      <c r="DR400" s="71"/>
      <c r="DS400" s="71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</row>
    <row r="401" customFormat="false" ht="12.75" hidden="false" customHeight="false" outlineLevel="0" collapsed="false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1"/>
      <c r="CH401" s="71"/>
      <c r="CI401" s="71"/>
      <c r="CJ401" s="71"/>
      <c r="CK401" s="71"/>
      <c r="CL401" s="71"/>
      <c r="CM401" s="71"/>
      <c r="CN401" s="71"/>
      <c r="CO401" s="71"/>
      <c r="CP401" s="71"/>
      <c r="CQ401" s="71"/>
      <c r="CR401" s="71"/>
      <c r="CS401" s="71"/>
      <c r="CT401" s="71"/>
      <c r="CU401" s="71"/>
      <c r="CV401" s="71"/>
      <c r="CW401" s="71"/>
      <c r="CX401" s="71"/>
      <c r="CY401" s="71"/>
      <c r="CZ401" s="71"/>
      <c r="DA401" s="71"/>
      <c r="DB401" s="71"/>
      <c r="DC401" s="71"/>
      <c r="DD401" s="71"/>
      <c r="DE401" s="71"/>
      <c r="DF401" s="71"/>
      <c r="DG401" s="71"/>
      <c r="DH401" s="71"/>
      <c r="DI401" s="71"/>
      <c r="DJ401" s="71"/>
      <c r="DK401" s="71"/>
      <c r="DL401" s="71"/>
      <c r="DM401" s="71"/>
      <c r="DN401" s="71"/>
      <c r="DO401" s="71"/>
      <c r="DP401" s="71"/>
      <c r="DQ401" s="71"/>
      <c r="DR401" s="71"/>
      <c r="DS401" s="71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</row>
    <row r="402" customFormat="false" ht="12.75" hidden="false" customHeight="false" outlineLevel="0" collapsed="false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1"/>
      <c r="CH402" s="71"/>
      <c r="CI402" s="71"/>
      <c r="CJ402" s="71"/>
      <c r="CK402" s="71"/>
      <c r="CL402" s="71"/>
      <c r="CM402" s="71"/>
      <c r="CN402" s="71"/>
      <c r="CO402" s="71"/>
      <c r="CP402" s="71"/>
      <c r="CQ402" s="71"/>
      <c r="CR402" s="71"/>
      <c r="CS402" s="71"/>
      <c r="CT402" s="71"/>
      <c r="CU402" s="71"/>
      <c r="CV402" s="71"/>
      <c r="CW402" s="71"/>
      <c r="CX402" s="71"/>
      <c r="CY402" s="71"/>
      <c r="CZ402" s="71"/>
      <c r="DA402" s="71"/>
      <c r="DB402" s="71"/>
      <c r="DC402" s="71"/>
      <c r="DD402" s="71"/>
      <c r="DE402" s="71"/>
      <c r="DF402" s="71"/>
      <c r="DG402" s="71"/>
      <c r="DH402" s="71"/>
      <c r="DI402" s="71"/>
      <c r="DJ402" s="71"/>
      <c r="DK402" s="71"/>
      <c r="DL402" s="71"/>
      <c r="DM402" s="71"/>
      <c r="DN402" s="71"/>
      <c r="DO402" s="71"/>
      <c r="DP402" s="71"/>
      <c r="DQ402" s="71"/>
      <c r="DR402" s="71"/>
      <c r="DS402" s="71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</row>
    <row r="403" customFormat="false" ht="12.75" hidden="false" customHeight="false" outlineLevel="0" collapsed="false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1"/>
      <c r="CG403" s="71"/>
      <c r="CH403" s="71"/>
      <c r="CI403" s="71"/>
      <c r="CJ403" s="71"/>
      <c r="CK403" s="71"/>
      <c r="CL403" s="71"/>
      <c r="CM403" s="71"/>
      <c r="CN403" s="71"/>
      <c r="CO403" s="71"/>
      <c r="CP403" s="71"/>
      <c r="CQ403" s="71"/>
      <c r="CR403" s="71"/>
      <c r="CS403" s="71"/>
      <c r="CT403" s="71"/>
      <c r="CU403" s="71"/>
      <c r="CV403" s="71"/>
      <c r="CW403" s="71"/>
      <c r="CX403" s="71"/>
      <c r="CY403" s="71"/>
      <c r="CZ403" s="71"/>
      <c r="DA403" s="71"/>
      <c r="DB403" s="71"/>
      <c r="DC403" s="71"/>
      <c r="DD403" s="71"/>
      <c r="DE403" s="71"/>
      <c r="DF403" s="71"/>
      <c r="DG403" s="71"/>
      <c r="DH403" s="71"/>
      <c r="DI403" s="71"/>
      <c r="DJ403" s="71"/>
      <c r="DK403" s="71"/>
      <c r="DL403" s="71"/>
      <c r="DM403" s="71"/>
      <c r="DN403" s="71"/>
      <c r="DO403" s="71"/>
      <c r="DP403" s="71"/>
      <c r="DQ403" s="71"/>
      <c r="DR403" s="71"/>
      <c r="DS403" s="71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</row>
    <row r="404" customFormat="false" ht="12.75" hidden="false" customHeight="false" outlineLevel="0" collapsed="false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1"/>
      <c r="CH404" s="71"/>
      <c r="CI404" s="71"/>
      <c r="CJ404" s="71"/>
      <c r="CK404" s="71"/>
      <c r="CL404" s="71"/>
      <c r="CM404" s="71"/>
      <c r="CN404" s="71"/>
      <c r="CO404" s="71"/>
      <c r="CP404" s="71"/>
      <c r="CQ404" s="71"/>
      <c r="CR404" s="71"/>
      <c r="CS404" s="71"/>
      <c r="CT404" s="71"/>
      <c r="CU404" s="71"/>
      <c r="CV404" s="71"/>
      <c r="CW404" s="71"/>
      <c r="CX404" s="71"/>
      <c r="CY404" s="71"/>
      <c r="CZ404" s="71"/>
      <c r="DA404" s="71"/>
      <c r="DB404" s="71"/>
      <c r="DC404" s="71"/>
      <c r="DD404" s="71"/>
      <c r="DE404" s="71"/>
      <c r="DF404" s="71"/>
      <c r="DG404" s="71"/>
      <c r="DH404" s="71"/>
      <c r="DI404" s="71"/>
      <c r="DJ404" s="71"/>
      <c r="DK404" s="71"/>
      <c r="DL404" s="71"/>
      <c r="DM404" s="71"/>
      <c r="DN404" s="71"/>
      <c r="DO404" s="71"/>
      <c r="DP404" s="71"/>
      <c r="DQ404" s="71"/>
      <c r="DR404" s="71"/>
      <c r="DS404" s="71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</row>
    <row r="405" customFormat="false" ht="12.75" hidden="false" customHeight="false" outlineLevel="0" collapsed="false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  <c r="DN405" s="71"/>
      <c r="DO405" s="71"/>
      <c r="DP405" s="71"/>
      <c r="DQ405" s="71"/>
      <c r="DR405" s="71"/>
      <c r="DS405" s="71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</row>
    <row r="406" customFormat="false" ht="12.75" hidden="false" customHeight="false" outlineLevel="0" collapsed="false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1"/>
      <c r="CH406" s="71"/>
      <c r="CI406" s="71"/>
      <c r="CJ406" s="71"/>
      <c r="CK406" s="71"/>
      <c r="CL406" s="71"/>
      <c r="CM406" s="71"/>
      <c r="CN406" s="71"/>
      <c r="CO406" s="71"/>
      <c r="CP406" s="71"/>
      <c r="CQ406" s="71"/>
      <c r="CR406" s="71"/>
      <c r="CS406" s="71"/>
      <c r="CT406" s="71"/>
      <c r="CU406" s="71"/>
      <c r="CV406" s="71"/>
      <c r="CW406" s="71"/>
      <c r="CX406" s="71"/>
      <c r="CY406" s="71"/>
      <c r="CZ406" s="71"/>
      <c r="DA406" s="71"/>
      <c r="DB406" s="71"/>
      <c r="DC406" s="71"/>
      <c r="DD406" s="71"/>
      <c r="DE406" s="71"/>
      <c r="DF406" s="71"/>
      <c r="DG406" s="71"/>
      <c r="DH406" s="71"/>
      <c r="DI406" s="71"/>
      <c r="DJ406" s="71"/>
      <c r="DK406" s="71"/>
      <c r="DL406" s="71"/>
      <c r="DM406" s="71"/>
      <c r="DN406" s="71"/>
      <c r="DO406" s="71"/>
      <c r="DP406" s="71"/>
      <c r="DQ406" s="71"/>
      <c r="DR406" s="71"/>
      <c r="DS406" s="71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</row>
    <row r="407" customFormat="false" ht="12.75" hidden="false" customHeight="false" outlineLevel="0" collapsed="false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1"/>
      <c r="CH407" s="71"/>
      <c r="CI407" s="71"/>
      <c r="CJ407" s="71"/>
      <c r="CK407" s="71"/>
      <c r="CL407" s="71"/>
      <c r="CM407" s="71"/>
      <c r="CN407" s="71"/>
      <c r="CO407" s="71"/>
      <c r="CP407" s="71"/>
      <c r="CQ407" s="71"/>
      <c r="CR407" s="71"/>
      <c r="CS407" s="71"/>
      <c r="CT407" s="71"/>
      <c r="CU407" s="71"/>
      <c r="CV407" s="71"/>
      <c r="CW407" s="71"/>
      <c r="CX407" s="71"/>
      <c r="CY407" s="71"/>
      <c r="CZ407" s="71"/>
      <c r="DA407" s="71"/>
      <c r="DB407" s="71"/>
      <c r="DC407" s="71"/>
      <c r="DD407" s="71"/>
      <c r="DE407" s="71"/>
      <c r="DF407" s="71"/>
      <c r="DG407" s="71"/>
      <c r="DH407" s="71"/>
      <c r="DI407" s="71"/>
      <c r="DJ407" s="71"/>
      <c r="DK407" s="71"/>
      <c r="DL407" s="71"/>
      <c r="DM407" s="71"/>
      <c r="DN407" s="71"/>
      <c r="DO407" s="71"/>
      <c r="DP407" s="71"/>
      <c r="DQ407" s="71"/>
      <c r="DR407" s="71"/>
      <c r="DS407" s="71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</row>
    <row r="408" customFormat="false" ht="12.75" hidden="false" customHeight="false" outlineLevel="0" collapsed="false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1"/>
      <c r="CH408" s="71"/>
      <c r="CI408" s="71"/>
      <c r="CJ408" s="71"/>
      <c r="CK408" s="71"/>
      <c r="CL408" s="71"/>
      <c r="CM408" s="71"/>
      <c r="CN408" s="71"/>
      <c r="CO408" s="71"/>
      <c r="CP408" s="71"/>
      <c r="CQ408" s="71"/>
      <c r="CR408" s="71"/>
      <c r="CS408" s="71"/>
      <c r="CT408" s="71"/>
      <c r="CU408" s="71"/>
      <c r="CV408" s="71"/>
      <c r="CW408" s="71"/>
      <c r="CX408" s="71"/>
      <c r="CY408" s="71"/>
      <c r="CZ408" s="71"/>
      <c r="DA408" s="71"/>
      <c r="DB408" s="71"/>
      <c r="DC408" s="71"/>
      <c r="DD408" s="71"/>
      <c r="DE408" s="71"/>
      <c r="DF408" s="71"/>
      <c r="DG408" s="71"/>
      <c r="DH408" s="71"/>
      <c r="DI408" s="71"/>
      <c r="DJ408" s="71"/>
      <c r="DK408" s="71"/>
      <c r="DL408" s="71"/>
      <c r="DM408" s="71"/>
      <c r="DN408" s="71"/>
      <c r="DO408" s="71"/>
      <c r="DP408" s="71"/>
      <c r="DQ408" s="71"/>
      <c r="DR408" s="71"/>
      <c r="DS408" s="71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</row>
    <row r="409" customFormat="false" ht="12.75" hidden="false" customHeight="false" outlineLevel="0" collapsed="false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1"/>
      <c r="CH409" s="71"/>
      <c r="CI409" s="71"/>
      <c r="CJ409" s="71"/>
      <c r="CK409" s="71"/>
      <c r="CL409" s="71"/>
      <c r="CM409" s="71"/>
      <c r="CN409" s="71"/>
      <c r="CO409" s="71"/>
      <c r="CP409" s="71"/>
      <c r="CQ409" s="71"/>
      <c r="CR409" s="71"/>
      <c r="CS409" s="71"/>
      <c r="CT409" s="71"/>
      <c r="CU409" s="71"/>
      <c r="CV409" s="71"/>
      <c r="CW409" s="71"/>
      <c r="CX409" s="71"/>
      <c r="CY409" s="71"/>
      <c r="CZ409" s="71"/>
      <c r="DA409" s="71"/>
      <c r="DB409" s="71"/>
      <c r="DC409" s="71"/>
      <c r="DD409" s="71"/>
      <c r="DE409" s="71"/>
      <c r="DF409" s="71"/>
      <c r="DG409" s="71"/>
      <c r="DH409" s="71"/>
      <c r="DI409" s="71"/>
      <c r="DJ409" s="71"/>
      <c r="DK409" s="71"/>
      <c r="DL409" s="71"/>
      <c r="DM409" s="71"/>
      <c r="DN409" s="71"/>
      <c r="DO409" s="71"/>
      <c r="DP409" s="71"/>
      <c r="DQ409" s="71"/>
      <c r="DR409" s="71"/>
      <c r="DS409" s="71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</row>
    <row r="410" customFormat="false" ht="12.75" hidden="false" customHeight="false" outlineLevel="0" collapsed="false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  <c r="DS410" s="71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</row>
    <row r="411" customFormat="false" ht="12.75" hidden="false" customHeight="false" outlineLevel="0" collapsed="false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1"/>
      <c r="CH411" s="71"/>
      <c r="CI411" s="71"/>
      <c r="CJ411" s="71"/>
      <c r="CK411" s="71"/>
      <c r="CL411" s="71"/>
      <c r="CM411" s="71"/>
      <c r="CN411" s="71"/>
      <c r="CO411" s="71"/>
      <c r="CP411" s="71"/>
      <c r="CQ411" s="71"/>
      <c r="CR411" s="71"/>
      <c r="CS411" s="71"/>
      <c r="CT411" s="71"/>
      <c r="CU411" s="71"/>
      <c r="CV411" s="71"/>
      <c r="CW411" s="71"/>
      <c r="CX411" s="71"/>
      <c r="CY411" s="71"/>
      <c r="CZ411" s="71"/>
      <c r="DA411" s="71"/>
      <c r="DB411" s="71"/>
      <c r="DC411" s="71"/>
      <c r="DD411" s="71"/>
      <c r="DE411" s="71"/>
      <c r="DF411" s="71"/>
      <c r="DG411" s="71"/>
      <c r="DH411" s="71"/>
      <c r="DI411" s="71"/>
      <c r="DJ411" s="71"/>
      <c r="DK411" s="71"/>
      <c r="DL411" s="71"/>
      <c r="DM411" s="71"/>
      <c r="DN411" s="71"/>
      <c r="DO411" s="71"/>
      <c r="DP411" s="71"/>
      <c r="DQ411" s="71"/>
      <c r="DR411" s="71"/>
      <c r="DS411" s="71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</row>
    <row r="412" customFormat="false" ht="12.75" hidden="false" customHeight="false" outlineLevel="0" collapsed="false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1"/>
      <c r="CH412" s="71"/>
      <c r="CI412" s="71"/>
      <c r="CJ412" s="71"/>
      <c r="CK412" s="71"/>
      <c r="CL412" s="71"/>
      <c r="CM412" s="71"/>
      <c r="CN412" s="71"/>
      <c r="CO412" s="71"/>
      <c r="CP412" s="71"/>
      <c r="CQ412" s="71"/>
      <c r="CR412" s="71"/>
      <c r="CS412" s="71"/>
      <c r="CT412" s="71"/>
      <c r="CU412" s="71"/>
      <c r="CV412" s="71"/>
      <c r="CW412" s="71"/>
      <c r="CX412" s="71"/>
      <c r="CY412" s="71"/>
      <c r="CZ412" s="71"/>
      <c r="DA412" s="71"/>
      <c r="DB412" s="71"/>
      <c r="DC412" s="71"/>
      <c r="DD412" s="71"/>
      <c r="DE412" s="71"/>
      <c r="DF412" s="71"/>
      <c r="DG412" s="71"/>
      <c r="DH412" s="71"/>
      <c r="DI412" s="71"/>
      <c r="DJ412" s="71"/>
      <c r="DK412" s="71"/>
      <c r="DL412" s="71"/>
      <c r="DM412" s="71"/>
      <c r="DN412" s="71"/>
      <c r="DO412" s="71"/>
      <c r="DP412" s="71"/>
      <c r="DQ412" s="71"/>
      <c r="DR412" s="71"/>
      <c r="DS412" s="71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</row>
    <row r="413" customFormat="false" ht="12.75" hidden="false" customHeight="false" outlineLevel="0" collapsed="false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1"/>
      <c r="CH413" s="71"/>
      <c r="CI413" s="71"/>
      <c r="CJ413" s="71"/>
      <c r="CK413" s="71"/>
      <c r="CL413" s="71"/>
      <c r="CM413" s="71"/>
      <c r="CN413" s="71"/>
      <c r="CO413" s="71"/>
      <c r="CP413" s="71"/>
      <c r="CQ413" s="71"/>
      <c r="CR413" s="71"/>
      <c r="CS413" s="71"/>
      <c r="CT413" s="71"/>
      <c r="CU413" s="71"/>
      <c r="CV413" s="71"/>
      <c r="CW413" s="71"/>
      <c r="CX413" s="71"/>
      <c r="CY413" s="71"/>
      <c r="CZ413" s="71"/>
      <c r="DA413" s="71"/>
      <c r="DB413" s="71"/>
      <c r="DC413" s="71"/>
      <c r="DD413" s="71"/>
      <c r="DE413" s="71"/>
      <c r="DF413" s="71"/>
      <c r="DG413" s="71"/>
      <c r="DH413" s="71"/>
      <c r="DI413" s="71"/>
      <c r="DJ413" s="71"/>
      <c r="DK413" s="71"/>
      <c r="DL413" s="71"/>
      <c r="DM413" s="71"/>
      <c r="DN413" s="71"/>
      <c r="DO413" s="71"/>
      <c r="DP413" s="71"/>
      <c r="DQ413" s="71"/>
      <c r="DR413" s="71"/>
      <c r="DS413" s="71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</row>
    <row r="414" customFormat="false" ht="12.75" hidden="false" customHeight="false" outlineLevel="0" collapsed="false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/>
      <c r="CP414" s="71"/>
      <c r="CQ414" s="71"/>
      <c r="CR414" s="71"/>
      <c r="CS414" s="71"/>
      <c r="CT414" s="71"/>
      <c r="CU414" s="71"/>
      <c r="CV414" s="71"/>
      <c r="CW414" s="71"/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  <c r="DN414" s="71"/>
      <c r="DO414" s="71"/>
      <c r="DP414" s="71"/>
      <c r="DQ414" s="71"/>
      <c r="DR414" s="71"/>
      <c r="DS414" s="71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</row>
    <row r="415" customFormat="false" ht="12.75" hidden="false" customHeight="false" outlineLevel="0" collapsed="false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1"/>
      <c r="CH415" s="71"/>
      <c r="CI415" s="71"/>
      <c r="CJ415" s="71"/>
      <c r="CK415" s="71"/>
      <c r="CL415" s="71"/>
      <c r="CM415" s="71"/>
      <c r="CN415" s="71"/>
      <c r="CO415" s="71"/>
      <c r="CP415" s="71"/>
      <c r="CQ415" s="71"/>
      <c r="CR415" s="71"/>
      <c r="CS415" s="71"/>
      <c r="CT415" s="71"/>
      <c r="CU415" s="71"/>
      <c r="CV415" s="71"/>
      <c r="CW415" s="71"/>
      <c r="CX415" s="71"/>
      <c r="CY415" s="71"/>
      <c r="CZ415" s="71"/>
      <c r="DA415" s="71"/>
      <c r="DB415" s="71"/>
      <c r="DC415" s="71"/>
      <c r="DD415" s="71"/>
      <c r="DE415" s="71"/>
      <c r="DF415" s="71"/>
      <c r="DG415" s="71"/>
      <c r="DH415" s="71"/>
      <c r="DI415" s="71"/>
      <c r="DJ415" s="71"/>
      <c r="DK415" s="71"/>
      <c r="DL415" s="71"/>
      <c r="DM415" s="71"/>
      <c r="DN415" s="71"/>
      <c r="DO415" s="71"/>
      <c r="DP415" s="71"/>
      <c r="DQ415" s="71"/>
      <c r="DR415" s="71"/>
      <c r="DS415" s="71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</row>
    <row r="416" customFormat="false" ht="12.75" hidden="false" customHeight="false" outlineLevel="0" collapsed="false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/>
      <c r="CP416" s="71"/>
      <c r="CQ416" s="71"/>
      <c r="CR416" s="71"/>
      <c r="CS416" s="71"/>
      <c r="CT416" s="71"/>
      <c r="CU416" s="71"/>
      <c r="CV416" s="71"/>
      <c r="CW416" s="71"/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  <c r="DN416" s="71"/>
      <c r="DO416" s="71"/>
      <c r="DP416" s="71"/>
      <c r="DQ416" s="71"/>
      <c r="DR416" s="71"/>
      <c r="DS416" s="71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</row>
    <row r="417" customFormat="false" ht="12.75" hidden="false" customHeight="false" outlineLevel="0" collapsed="false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</row>
    <row r="418" customFormat="false" ht="12.75" hidden="false" customHeight="false" outlineLevel="0" collapsed="false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/>
      <c r="CP418" s="71"/>
      <c r="CQ418" s="71"/>
      <c r="CR418" s="71"/>
      <c r="CS418" s="71"/>
      <c r="CT418" s="71"/>
      <c r="CU418" s="71"/>
      <c r="CV418" s="71"/>
      <c r="CW418" s="71"/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  <c r="DN418" s="71"/>
      <c r="DO418" s="71"/>
      <c r="DP418" s="71"/>
      <c r="DQ418" s="71"/>
      <c r="DR418" s="71"/>
      <c r="DS418" s="71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</row>
    <row r="419" customFormat="false" ht="12.75" hidden="false" customHeight="false" outlineLevel="0" collapsed="false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  <c r="DS419" s="71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</row>
    <row r="420" customFormat="false" ht="12.75" hidden="false" customHeight="false" outlineLevel="0" collapsed="false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/>
      <c r="CP420" s="71"/>
      <c r="CQ420" s="71"/>
      <c r="CR420" s="71"/>
      <c r="CS420" s="71"/>
      <c r="CT420" s="71"/>
      <c r="CU420" s="71"/>
      <c r="CV420" s="71"/>
      <c r="CW420" s="71"/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  <c r="DN420" s="71"/>
      <c r="DO420" s="71"/>
      <c r="DP420" s="71"/>
      <c r="DQ420" s="71"/>
      <c r="DR420" s="71"/>
      <c r="DS420" s="71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</row>
    <row r="421" customFormat="false" ht="12.75" hidden="false" customHeight="false" outlineLevel="0" collapsed="false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  <c r="DN421" s="71"/>
      <c r="DO421" s="71"/>
      <c r="DP421" s="71"/>
      <c r="DQ421" s="71"/>
      <c r="DR421" s="71"/>
      <c r="DS421" s="71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</row>
    <row r="422" customFormat="false" ht="12.75" hidden="false" customHeight="false" outlineLevel="0" collapsed="false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  <c r="DS422" s="71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</row>
    <row r="423" customFormat="false" ht="12.75" hidden="false" customHeight="false" outlineLevel="0" collapsed="false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  <c r="DS423" s="71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</row>
    <row r="424" customFormat="false" ht="12.75" hidden="false" customHeight="false" outlineLevel="0" collapsed="false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  <c r="DS424" s="71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</row>
    <row r="425" customFormat="false" ht="12.75" hidden="false" customHeight="false" outlineLevel="0" collapsed="false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</row>
    <row r="426" customFormat="false" ht="12.75" hidden="false" customHeight="false" outlineLevel="0" collapsed="false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/>
      <c r="CP426" s="71"/>
      <c r="CQ426" s="71"/>
      <c r="CR426" s="71"/>
      <c r="CS426" s="71"/>
      <c r="CT426" s="71"/>
      <c r="CU426" s="71"/>
      <c r="CV426" s="71"/>
      <c r="CW426" s="71"/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  <c r="DN426" s="71"/>
      <c r="DO426" s="71"/>
      <c r="DP426" s="71"/>
      <c r="DQ426" s="71"/>
      <c r="DR426" s="71"/>
      <c r="DS426" s="71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</row>
    <row r="427" customFormat="false" ht="12.75" hidden="false" customHeight="false" outlineLevel="0" collapsed="false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/>
      <c r="CP427" s="71"/>
      <c r="CQ427" s="71"/>
      <c r="CR427" s="71"/>
      <c r="CS427" s="71"/>
      <c r="CT427" s="71"/>
      <c r="CU427" s="71"/>
      <c r="CV427" s="71"/>
      <c r="CW427" s="71"/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  <c r="DN427" s="71"/>
      <c r="DO427" s="71"/>
      <c r="DP427" s="71"/>
      <c r="DQ427" s="71"/>
      <c r="DR427" s="71"/>
      <c r="DS427" s="71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</row>
    <row r="428" customFormat="false" ht="12.75" hidden="false" customHeight="false" outlineLevel="0" collapsed="false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  <c r="DS428" s="71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</row>
    <row r="429" customFormat="false" ht="12.75" hidden="false" customHeight="false" outlineLevel="0" collapsed="false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</row>
    <row r="430" customFormat="false" ht="12.75" hidden="false" customHeight="false" outlineLevel="0" collapsed="false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  <c r="DS430" s="71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</row>
    <row r="431" customFormat="false" ht="12.75" hidden="false" customHeight="false" outlineLevel="0" collapsed="false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/>
      <c r="CP431" s="71"/>
      <c r="CQ431" s="71"/>
      <c r="CR431" s="71"/>
      <c r="CS431" s="71"/>
      <c r="CT431" s="71"/>
      <c r="CU431" s="71"/>
      <c r="CV431" s="71"/>
      <c r="CW431" s="71"/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  <c r="DN431" s="71"/>
      <c r="DO431" s="71"/>
      <c r="DP431" s="71"/>
      <c r="DQ431" s="71"/>
      <c r="DR431" s="71"/>
      <c r="DS431" s="71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</row>
    <row r="432" customFormat="false" ht="12.75" hidden="false" customHeight="false" outlineLevel="0" collapsed="false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/>
      <c r="CP432" s="71"/>
      <c r="CQ432" s="71"/>
      <c r="CR432" s="71"/>
      <c r="CS432" s="71"/>
      <c r="CT432" s="71"/>
      <c r="CU432" s="71"/>
      <c r="CV432" s="71"/>
      <c r="CW432" s="71"/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  <c r="DN432" s="71"/>
      <c r="DO432" s="71"/>
      <c r="DP432" s="71"/>
      <c r="DQ432" s="71"/>
      <c r="DR432" s="71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</row>
    <row r="433" customFormat="false" ht="12.75" hidden="false" customHeight="false" outlineLevel="0" collapsed="false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</row>
    <row r="434" customFormat="false" ht="12.75" hidden="false" customHeight="false" outlineLevel="0" collapsed="false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  <c r="DS434" s="71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</row>
    <row r="435" customFormat="false" ht="12.75" hidden="false" customHeight="false" outlineLevel="0" collapsed="false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/>
      <c r="CP435" s="71"/>
      <c r="CQ435" s="71"/>
      <c r="CR435" s="71"/>
      <c r="CS435" s="71"/>
      <c r="CT435" s="71"/>
      <c r="CU435" s="71"/>
      <c r="CV435" s="71"/>
      <c r="CW435" s="71"/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  <c r="DN435" s="71"/>
      <c r="DO435" s="71"/>
      <c r="DP435" s="71"/>
      <c r="DQ435" s="71"/>
      <c r="DR435" s="71"/>
      <c r="DS435" s="71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</row>
    <row r="436" customFormat="false" ht="12.75" hidden="false" customHeight="false" outlineLevel="0" collapsed="false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  <c r="DS436" s="71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</row>
    <row r="437" customFormat="false" ht="12.75" hidden="false" customHeight="false" outlineLevel="0" collapsed="false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  <c r="DN437" s="71"/>
      <c r="DO437" s="71"/>
      <c r="DP437" s="71"/>
      <c r="DQ437" s="71"/>
      <c r="DR437" s="71"/>
      <c r="DS437" s="71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</row>
    <row r="438" customFormat="false" ht="12.75" hidden="false" customHeight="false" outlineLevel="0" collapsed="false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/>
      <c r="CP438" s="71"/>
      <c r="CQ438" s="71"/>
      <c r="CR438" s="71"/>
      <c r="CS438" s="71"/>
      <c r="CT438" s="71"/>
      <c r="CU438" s="71"/>
      <c r="CV438" s="71"/>
      <c r="CW438" s="71"/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  <c r="DN438" s="71"/>
      <c r="DO438" s="71"/>
      <c r="DP438" s="71"/>
      <c r="DQ438" s="71"/>
      <c r="DR438" s="71"/>
      <c r="DS438" s="71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</row>
    <row r="439" customFormat="false" ht="12.75" hidden="false" customHeight="false" outlineLevel="0" collapsed="false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</row>
    <row r="440" customFormat="false" ht="12.75" hidden="false" customHeight="false" outlineLevel="0" collapsed="false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</row>
    <row r="441" customFormat="false" ht="12.75" hidden="false" customHeight="false" outlineLevel="0" collapsed="false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</row>
    <row r="442" customFormat="false" ht="12.75" hidden="false" customHeight="false" outlineLevel="0" collapsed="false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</row>
    <row r="443" customFormat="false" ht="12.75" hidden="false" customHeight="false" outlineLevel="0" collapsed="false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1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</row>
    <row r="444" customFormat="false" ht="12.75" hidden="false" customHeight="false" outlineLevel="0" collapsed="false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1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</row>
    <row r="445" customFormat="false" ht="12.75" hidden="false" customHeight="false" outlineLevel="0" collapsed="false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</row>
    <row r="446" customFormat="false" ht="12.75" hidden="false" customHeight="false" outlineLevel="0" collapsed="false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1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</row>
    <row r="447" customFormat="false" ht="12.75" hidden="false" customHeight="false" outlineLevel="0" collapsed="false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</row>
    <row r="448" customFormat="false" ht="12.75" hidden="false" customHeight="false" outlineLevel="0" collapsed="false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</row>
    <row r="449" customFormat="false" ht="12.75" hidden="false" customHeight="false" outlineLevel="0" collapsed="false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</row>
    <row r="450" customFormat="false" ht="12.75" hidden="false" customHeight="false" outlineLevel="0" collapsed="false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</row>
    <row r="451" customFormat="false" ht="12.75" hidden="false" customHeight="false" outlineLevel="0" collapsed="false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  <c r="DS451" s="71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</row>
    <row r="452" customFormat="false" ht="12.75" hidden="false" customHeight="false" outlineLevel="0" collapsed="false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/>
      <c r="CP452" s="71"/>
      <c r="CQ452" s="71"/>
      <c r="CR452" s="71"/>
      <c r="CS452" s="71"/>
      <c r="CT452" s="71"/>
      <c r="CU452" s="71"/>
      <c r="CV452" s="71"/>
      <c r="CW452" s="71"/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  <c r="DN452" s="71"/>
      <c r="DO452" s="71"/>
      <c r="DP452" s="71"/>
      <c r="DQ452" s="71"/>
      <c r="DR452" s="71"/>
      <c r="DS452" s="71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</row>
    <row r="453" customFormat="false" ht="12.75" hidden="false" customHeight="false" outlineLevel="0" collapsed="false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</row>
    <row r="454" customFormat="false" ht="12.75" hidden="false" customHeight="false" outlineLevel="0" collapsed="false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  <c r="DS454" s="71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</row>
    <row r="455" customFormat="false" ht="12.75" hidden="false" customHeight="false" outlineLevel="0" collapsed="false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  <c r="DS455" s="71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</row>
    <row r="456" customFormat="false" ht="12.75" hidden="false" customHeight="false" outlineLevel="0" collapsed="false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</row>
    <row r="457" customFormat="false" ht="12.75" hidden="false" customHeight="false" outlineLevel="0" collapsed="false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</row>
    <row r="458" customFormat="false" ht="12.75" hidden="false" customHeight="false" outlineLevel="0" collapsed="false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</row>
    <row r="459" customFormat="false" ht="12.75" hidden="false" customHeight="false" outlineLevel="0" collapsed="false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1"/>
      <c r="CH459" s="71"/>
      <c r="CI459" s="71"/>
      <c r="CJ459" s="71"/>
      <c r="CK459" s="71"/>
      <c r="CL459" s="71"/>
      <c r="CM459" s="71"/>
      <c r="CN459" s="71"/>
      <c r="CO459" s="71"/>
      <c r="CP459" s="71"/>
      <c r="CQ459" s="71"/>
      <c r="CR459" s="71"/>
      <c r="CS459" s="71"/>
      <c r="CT459" s="71"/>
      <c r="CU459" s="71"/>
      <c r="CV459" s="71"/>
      <c r="CW459" s="71"/>
      <c r="CX459" s="71"/>
      <c r="CY459" s="71"/>
      <c r="CZ459" s="71"/>
      <c r="DA459" s="71"/>
      <c r="DB459" s="71"/>
      <c r="DC459" s="71"/>
      <c r="DD459" s="71"/>
      <c r="DE459" s="71"/>
      <c r="DF459" s="71"/>
      <c r="DG459" s="71"/>
      <c r="DH459" s="71"/>
      <c r="DI459" s="71"/>
      <c r="DJ459" s="71"/>
      <c r="DK459" s="71"/>
      <c r="DL459" s="71"/>
      <c r="DM459" s="71"/>
      <c r="DN459" s="71"/>
      <c r="DO459" s="71"/>
      <c r="DP459" s="71"/>
      <c r="DQ459" s="71"/>
      <c r="DR459" s="71"/>
      <c r="DS459" s="71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  <c r="IJ459" s="71"/>
      <c r="IK459" s="71"/>
      <c r="IL459" s="71"/>
      <c r="IM459" s="71"/>
      <c r="IN459" s="71"/>
      <c r="IO459" s="71"/>
      <c r="IP459" s="71"/>
      <c r="IQ459" s="71"/>
      <c r="IR459" s="71"/>
      <c r="IS459" s="71"/>
      <c r="IT459" s="71"/>
      <c r="IU459" s="71"/>
      <c r="IV459" s="71"/>
      <c r="IW459" s="71"/>
    </row>
    <row r="460" customFormat="false" ht="12.75" hidden="false" customHeight="false" outlineLevel="0" collapsed="false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1"/>
      <c r="CH460" s="71"/>
      <c r="CI460" s="71"/>
      <c r="CJ460" s="71"/>
      <c r="CK460" s="71"/>
      <c r="CL460" s="71"/>
      <c r="CM460" s="71"/>
      <c r="CN460" s="71"/>
      <c r="CO460" s="71"/>
      <c r="CP460" s="71"/>
      <c r="CQ460" s="71"/>
      <c r="CR460" s="71"/>
      <c r="CS460" s="71"/>
      <c r="CT460" s="71"/>
      <c r="CU460" s="71"/>
      <c r="CV460" s="71"/>
      <c r="CW460" s="71"/>
      <c r="CX460" s="71"/>
      <c r="CY460" s="71"/>
      <c r="CZ460" s="71"/>
      <c r="DA460" s="71"/>
      <c r="DB460" s="71"/>
      <c r="DC460" s="71"/>
      <c r="DD460" s="71"/>
      <c r="DE460" s="71"/>
      <c r="DF460" s="71"/>
      <c r="DG460" s="71"/>
      <c r="DH460" s="71"/>
      <c r="DI460" s="71"/>
      <c r="DJ460" s="71"/>
      <c r="DK460" s="71"/>
      <c r="DL460" s="71"/>
      <c r="DM460" s="71"/>
      <c r="DN460" s="71"/>
      <c r="DO460" s="71"/>
      <c r="DP460" s="71"/>
      <c r="DQ460" s="71"/>
      <c r="DR460" s="71"/>
      <c r="DS460" s="71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  <c r="IJ460" s="71"/>
      <c r="IK460" s="71"/>
      <c r="IL460" s="71"/>
      <c r="IM460" s="71"/>
      <c r="IN460" s="71"/>
      <c r="IO460" s="71"/>
      <c r="IP460" s="71"/>
      <c r="IQ460" s="71"/>
      <c r="IR460" s="71"/>
      <c r="IS460" s="71"/>
      <c r="IT460" s="71"/>
      <c r="IU460" s="71"/>
      <c r="IV460" s="71"/>
      <c r="IW460" s="71"/>
    </row>
    <row r="461" customFormat="false" ht="12.75" hidden="false" customHeight="false" outlineLevel="0" collapsed="false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1"/>
      <c r="CH461" s="71"/>
      <c r="CI461" s="71"/>
      <c r="CJ461" s="71"/>
      <c r="CK461" s="71"/>
      <c r="CL461" s="71"/>
      <c r="CM461" s="71"/>
      <c r="CN461" s="71"/>
      <c r="CO461" s="71"/>
      <c r="CP461" s="71"/>
      <c r="CQ461" s="71"/>
      <c r="CR461" s="71"/>
      <c r="CS461" s="71"/>
      <c r="CT461" s="71"/>
      <c r="CU461" s="71"/>
      <c r="CV461" s="71"/>
      <c r="CW461" s="71"/>
      <c r="CX461" s="71"/>
      <c r="CY461" s="71"/>
      <c r="CZ461" s="71"/>
      <c r="DA461" s="71"/>
      <c r="DB461" s="71"/>
      <c r="DC461" s="71"/>
      <c r="DD461" s="71"/>
      <c r="DE461" s="71"/>
      <c r="DF461" s="71"/>
      <c r="DG461" s="71"/>
      <c r="DH461" s="71"/>
      <c r="DI461" s="71"/>
      <c r="DJ461" s="71"/>
      <c r="DK461" s="71"/>
      <c r="DL461" s="71"/>
      <c r="DM461" s="71"/>
      <c r="DN461" s="71"/>
      <c r="DO461" s="71"/>
      <c r="DP461" s="71"/>
      <c r="DQ461" s="71"/>
      <c r="DR461" s="71"/>
      <c r="DS461" s="71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  <c r="IJ461" s="71"/>
      <c r="IK461" s="71"/>
      <c r="IL461" s="71"/>
      <c r="IM461" s="71"/>
      <c r="IN461" s="71"/>
      <c r="IO461" s="71"/>
      <c r="IP461" s="71"/>
      <c r="IQ461" s="71"/>
      <c r="IR461" s="71"/>
      <c r="IS461" s="71"/>
      <c r="IT461" s="71"/>
      <c r="IU461" s="71"/>
      <c r="IV461" s="71"/>
      <c r="IW461" s="71"/>
    </row>
    <row r="462" customFormat="false" ht="12.75" hidden="false" customHeight="false" outlineLevel="0" collapsed="false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1"/>
      <c r="CH462" s="71"/>
      <c r="CI462" s="71"/>
      <c r="CJ462" s="71"/>
      <c r="CK462" s="71"/>
      <c r="CL462" s="71"/>
      <c r="CM462" s="71"/>
      <c r="CN462" s="71"/>
      <c r="CO462" s="71"/>
      <c r="CP462" s="71"/>
      <c r="CQ462" s="71"/>
      <c r="CR462" s="71"/>
      <c r="CS462" s="71"/>
      <c r="CT462" s="71"/>
      <c r="CU462" s="71"/>
      <c r="CV462" s="71"/>
      <c r="CW462" s="71"/>
      <c r="CX462" s="71"/>
      <c r="CY462" s="71"/>
      <c r="CZ462" s="71"/>
      <c r="DA462" s="71"/>
      <c r="DB462" s="71"/>
      <c r="DC462" s="71"/>
      <c r="DD462" s="71"/>
      <c r="DE462" s="71"/>
      <c r="DF462" s="71"/>
      <c r="DG462" s="71"/>
      <c r="DH462" s="71"/>
      <c r="DI462" s="71"/>
      <c r="DJ462" s="71"/>
      <c r="DK462" s="71"/>
      <c r="DL462" s="71"/>
      <c r="DM462" s="71"/>
      <c r="DN462" s="71"/>
      <c r="DO462" s="71"/>
      <c r="DP462" s="71"/>
      <c r="DQ462" s="71"/>
      <c r="DR462" s="71"/>
      <c r="DS462" s="71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  <c r="IJ462" s="71"/>
      <c r="IK462" s="71"/>
      <c r="IL462" s="71"/>
      <c r="IM462" s="71"/>
      <c r="IN462" s="71"/>
      <c r="IO462" s="71"/>
      <c r="IP462" s="71"/>
      <c r="IQ462" s="71"/>
      <c r="IR462" s="71"/>
      <c r="IS462" s="71"/>
      <c r="IT462" s="71"/>
      <c r="IU462" s="71"/>
      <c r="IV462" s="71"/>
      <c r="IW462" s="71"/>
    </row>
    <row r="463" customFormat="false" ht="12.75" hidden="false" customHeight="false" outlineLevel="0" collapsed="false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1"/>
      <c r="CH463" s="71"/>
      <c r="CI463" s="71"/>
      <c r="CJ463" s="71"/>
      <c r="CK463" s="71"/>
      <c r="CL463" s="71"/>
      <c r="CM463" s="71"/>
      <c r="CN463" s="71"/>
      <c r="CO463" s="71"/>
      <c r="CP463" s="71"/>
      <c r="CQ463" s="71"/>
      <c r="CR463" s="71"/>
      <c r="CS463" s="71"/>
      <c r="CT463" s="71"/>
      <c r="CU463" s="71"/>
      <c r="CV463" s="71"/>
      <c r="CW463" s="71"/>
      <c r="CX463" s="71"/>
      <c r="CY463" s="71"/>
      <c r="CZ463" s="71"/>
      <c r="DA463" s="71"/>
      <c r="DB463" s="71"/>
      <c r="DC463" s="71"/>
      <c r="DD463" s="71"/>
      <c r="DE463" s="71"/>
      <c r="DF463" s="71"/>
      <c r="DG463" s="71"/>
      <c r="DH463" s="71"/>
      <c r="DI463" s="71"/>
      <c r="DJ463" s="71"/>
      <c r="DK463" s="71"/>
      <c r="DL463" s="71"/>
      <c r="DM463" s="71"/>
      <c r="DN463" s="71"/>
      <c r="DO463" s="71"/>
      <c r="DP463" s="71"/>
      <c r="DQ463" s="71"/>
      <c r="DR463" s="71"/>
      <c r="DS463" s="71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  <c r="IJ463" s="71"/>
      <c r="IK463" s="71"/>
      <c r="IL463" s="71"/>
      <c r="IM463" s="71"/>
      <c r="IN463" s="71"/>
      <c r="IO463" s="71"/>
      <c r="IP463" s="71"/>
      <c r="IQ463" s="71"/>
      <c r="IR463" s="71"/>
      <c r="IS463" s="71"/>
      <c r="IT463" s="71"/>
      <c r="IU463" s="71"/>
      <c r="IV463" s="71"/>
      <c r="IW463" s="71"/>
    </row>
    <row r="464" customFormat="false" ht="12.75" hidden="false" customHeight="false" outlineLevel="0" collapsed="false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1"/>
      <c r="CH464" s="71"/>
      <c r="CI464" s="71"/>
      <c r="CJ464" s="71"/>
      <c r="CK464" s="71"/>
      <c r="CL464" s="71"/>
      <c r="CM464" s="71"/>
      <c r="CN464" s="71"/>
      <c r="CO464" s="71"/>
      <c r="CP464" s="71"/>
      <c r="CQ464" s="71"/>
      <c r="CR464" s="71"/>
      <c r="CS464" s="71"/>
      <c r="CT464" s="71"/>
      <c r="CU464" s="71"/>
      <c r="CV464" s="71"/>
      <c r="CW464" s="71"/>
      <c r="CX464" s="71"/>
      <c r="CY464" s="71"/>
      <c r="CZ464" s="71"/>
      <c r="DA464" s="71"/>
      <c r="DB464" s="71"/>
      <c r="DC464" s="71"/>
      <c r="DD464" s="71"/>
      <c r="DE464" s="71"/>
      <c r="DF464" s="71"/>
      <c r="DG464" s="71"/>
      <c r="DH464" s="71"/>
      <c r="DI464" s="71"/>
      <c r="DJ464" s="71"/>
      <c r="DK464" s="71"/>
      <c r="DL464" s="71"/>
      <c r="DM464" s="71"/>
      <c r="DN464" s="71"/>
      <c r="DO464" s="71"/>
      <c r="DP464" s="71"/>
      <c r="DQ464" s="71"/>
      <c r="DR464" s="71"/>
      <c r="DS464" s="71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  <c r="IJ464" s="71"/>
      <c r="IK464" s="71"/>
      <c r="IL464" s="71"/>
      <c r="IM464" s="71"/>
      <c r="IN464" s="71"/>
      <c r="IO464" s="71"/>
      <c r="IP464" s="71"/>
      <c r="IQ464" s="71"/>
      <c r="IR464" s="71"/>
      <c r="IS464" s="71"/>
      <c r="IT464" s="71"/>
      <c r="IU464" s="71"/>
      <c r="IV464" s="71"/>
      <c r="IW464" s="71"/>
    </row>
    <row r="465" customFormat="false" ht="12.75" hidden="false" customHeight="false" outlineLevel="0" collapsed="false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1"/>
      <c r="CD465" s="71"/>
      <c r="CE465" s="71"/>
      <c r="CF465" s="71"/>
      <c r="CG465" s="71"/>
      <c r="CH465" s="71"/>
      <c r="CI465" s="71"/>
      <c r="CJ465" s="71"/>
      <c r="CK465" s="71"/>
      <c r="CL465" s="71"/>
      <c r="CM465" s="71"/>
      <c r="CN465" s="71"/>
      <c r="CO465" s="71"/>
      <c r="CP465" s="71"/>
      <c r="CQ465" s="71"/>
      <c r="CR465" s="71"/>
      <c r="CS465" s="71"/>
      <c r="CT465" s="71"/>
      <c r="CU465" s="71"/>
      <c r="CV465" s="71"/>
      <c r="CW465" s="71"/>
      <c r="CX465" s="71"/>
      <c r="CY465" s="71"/>
      <c r="CZ465" s="71"/>
      <c r="DA465" s="71"/>
      <c r="DB465" s="71"/>
      <c r="DC465" s="71"/>
      <c r="DD465" s="71"/>
      <c r="DE465" s="71"/>
      <c r="DF465" s="71"/>
      <c r="DG465" s="71"/>
      <c r="DH465" s="71"/>
      <c r="DI465" s="71"/>
      <c r="DJ465" s="71"/>
      <c r="DK465" s="71"/>
      <c r="DL465" s="71"/>
      <c r="DM465" s="71"/>
      <c r="DN465" s="71"/>
      <c r="DO465" s="71"/>
      <c r="DP465" s="71"/>
      <c r="DQ465" s="71"/>
      <c r="DR465" s="71"/>
      <c r="DS465" s="71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  <c r="IJ465" s="71"/>
      <c r="IK465" s="71"/>
      <c r="IL465" s="71"/>
      <c r="IM465" s="71"/>
      <c r="IN465" s="71"/>
      <c r="IO465" s="71"/>
      <c r="IP465" s="71"/>
      <c r="IQ465" s="71"/>
      <c r="IR465" s="71"/>
      <c r="IS465" s="71"/>
      <c r="IT465" s="71"/>
      <c r="IU465" s="71"/>
      <c r="IV465" s="71"/>
      <c r="IW465" s="71"/>
    </row>
    <row r="466" customFormat="false" ht="12.75" hidden="false" customHeight="false" outlineLevel="0" collapsed="false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1"/>
      <c r="CG466" s="71"/>
      <c r="CH466" s="71"/>
      <c r="CI466" s="71"/>
      <c r="CJ466" s="71"/>
      <c r="CK466" s="71"/>
      <c r="CL466" s="71"/>
      <c r="CM466" s="71"/>
      <c r="CN466" s="71"/>
      <c r="CO466" s="71"/>
      <c r="CP466" s="71"/>
      <c r="CQ466" s="71"/>
      <c r="CR466" s="71"/>
      <c r="CS466" s="71"/>
      <c r="CT466" s="71"/>
      <c r="CU466" s="71"/>
      <c r="CV466" s="71"/>
      <c r="CW466" s="71"/>
      <c r="CX466" s="71"/>
      <c r="CY466" s="71"/>
      <c r="CZ466" s="71"/>
      <c r="DA466" s="71"/>
      <c r="DB466" s="71"/>
      <c r="DC466" s="71"/>
      <c r="DD466" s="71"/>
      <c r="DE466" s="71"/>
      <c r="DF466" s="71"/>
      <c r="DG466" s="71"/>
      <c r="DH466" s="71"/>
      <c r="DI466" s="71"/>
      <c r="DJ466" s="71"/>
      <c r="DK466" s="71"/>
      <c r="DL466" s="71"/>
      <c r="DM466" s="71"/>
      <c r="DN466" s="71"/>
      <c r="DO466" s="71"/>
      <c r="DP466" s="71"/>
      <c r="DQ466" s="71"/>
      <c r="DR466" s="71"/>
      <c r="DS466" s="71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  <c r="IJ466" s="71"/>
      <c r="IK466" s="71"/>
      <c r="IL466" s="71"/>
      <c r="IM466" s="71"/>
      <c r="IN466" s="71"/>
      <c r="IO466" s="71"/>
      <c r="IP466" s="71"/>
      <c r="IQ466" s="71"/>
      <c r="IR466" s="71"/>
      <c r="IS466" s="71"/>
      <c r="IT466" s="71"/>
      <c r="IU466" s="71"/>
      <c r="IV466" s="71"/>
      <c r="IW466" s="71"/>
    </row>
    <row r="467" customFormat="false" ht="12.75" hidden="false" customHeight="false" outlineLevel="0" collapsed="false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1"/>
      <c r="CH467" s="71"/>
      <c r="CI467" s="71"/>
      <c r="CJ467" s="71"/>
      <c r="CK467" s="71"/>
      <c r="CL467" s="71"/>
      <c r="CM467" s="71"/>
      <c r="CN467" s="71"/>
      <c r="CO467" s="71"/>
      <c r="CP467" s="71"/>
      <c r="CQ467" s="71"/>
      <c r="CR467" s="71"/>
      <c r="CS467" s="71"/>
      <c r="CT467" s="71"/>
      <c r="CU467" s="71"/>
      <c r="CV467" s="71"/>
      <c r="CW467" s="71"/>
      <c r="CX467" s="71"/>
      <c r="CY467" s="71"/>
      <c r="CZ467" s="71"/>
      <c r="DA467" s="71"/>
      <c r="DB467" s="71"/>
      <c r="DC467" s="71"/>
      <c r="DD467" s="71"/>
      <c r="DE467" s="71"/>
      <c r="DF467" s="71"/>
      <c r="DG467" s="71"/>
      <c r="DH467" s="71"/>
      <c r="DI467" s="71"/>
      <c r="DJ467" s="71"/>
      <c r="DK467" s="71"/>
      <c r="DL467" s="71"/>
      <c r="DM467" s="71"/>
      <c r="DN467" s="71"/>
      <c r="DO467" s="71"/>
      <c r="DP467" s="71"/>
      <c r="DQ467" s="71"/>
      <c r="DR467" s="71"/>
      <c r="DS467" s="71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  <c r="IJ467" s="71"/>
      <c r="IK467" s="71"/>
      <c r="IL467" s="71"/>
      <c r="IM467" s="71"/>
      <c r="IN467" s="71"/>
      <c r="IO467" s="71"/>
      <c r="IP467" s="71"/>
      <c r="IQ467" s="71"/>
      <c r="IR467" s="71"/>
      <c r="IS467" s="71"/>
      <c r="IT467" s="71"/>
      <c r="IU467" s="71"/>
      <c r="IV467" s="71"/>
      <c r="IW467" s="71"/>
    </row>
    <row r="468" customFormat="false" ht="12.75" hidden="false" customHeight="false" outlineLevel="0" collapsed="false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1"/>
      <c r="CH468" s="71"/>
      <c r="CI468" s="71"/>
      <c r="CJ468" s="71"/>
      <c r="CK468" s="71"/>
      <c r="CL468" s="71"/>
      <c r="CM468" s="71"/>
      <c r="CN468" s="71"/>
      <c r="CO468" s="71"/>
      <c r="CP468" s="71"/>
      <c r="CQ468" s="71"/>
      <c r="CR468" s="71"/>
      <c r="CS468" s="71"/>
      <c r="CT468" s="71"/>
      <c r="CU468" s="71"/>
      <c r="CV468" s="71"/>
      <c r="CW468" s="71"/>
      <c r="CX468" s="71"/>
      <c r="CY468" s="71"/>
      <c r="CZ468" s="71"/>
      <c r="DA468" s="71"/>
      <c r="DB468" s="71"/>
      <c r="DC468" s="71"/>
      <c r="DD468" s="71"/>
      <c r="DE468" s="71"/>
      <c r="DF468" s="71"/>
      <c r="DG468" s="71"/>
      <c r="DH468" s="71"/>
      <c r="DI468" s="71"/>
      <c r="DJ468" s="71"/>
      <c r="DK468" s="71"/>
      <c r="DL468" s="71"/>
      <c r="DM468" s="71"/>
      <c r="DN468" s="71"/>
      <c r="DO468" s="71"/>
      <c r="DP468" s="71"/>
      <c r="DQ468" s="71"/>
      <c r="DR468" s="71"/>
      <c r="DS468" s="71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  <c r="IJ468" s="71"/>
      <c r="IK468" s="71"/>
      <c r="IL468" s="71"/>
      <c r="IM468" s="71"/>
      <c r="IN468" s="71"/>
      <c r="IO468" s="71"/>
      <c r="IP468" s="71"/>
      <c r="IQ468" s="71"/>
      <c r="IR468" s="71"/>
      <c r="IS468" s="71"/>
      <c r="IT468" s="71"/>
      <c r="IU468" s="71"/>
      <c r="IV468" s="71"/>
      <c r="IW468" s="71"/>
    </row>
    <row r="469" customFormat="false" ht="12.75" hidden="false" customHeight="false" outlineLevel="0" collapsed="false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1"/>
      <c r="CH469" s="71"/>
      <c r="CI469" s="71"/>
      <c r="CJ469" s="71"/>
      <c r="CK469" s="71"/>
      <c r="CL469" s="71"/>
      <c r="CM469" s="71"/>
      <c r="CN469" s="71"/>
      <c r="CO469" s="71"/>
      <c r="CP469" s="71"/>
      <c r="CQ469" s="71"/>
      <c r="CR469" s="71"/>
      <c r="CS469" s="71"/>
      <c r="CT469" s="71"/>
      <c r="CU469" s="71"/>
      <c r="CV469" s="71"/>
      <c r="CW469" s="71"/>
      <c r="CX469" s="71"/>
      <c r="CY469" s="71"/>
      <c r="CZ469" s="71"/>
      <c r="DA469" s="71"/>
      <c r="DB469" s="71"/>
      <c r="DC469" s="71"/>
      <c r="DD469" s="71"/>
      <c r="DE469" s="71"/>
      <c r="DF469" s="71"/>
      <c r="DG469" s="71"/>
      <c r="DH469" s="71"/>
      <c r="DI469" s="71"/>
      <c r="DJ469" s="71"/>
      <c r="DK469" s="71"/>
      <c r="DL469" s="71"/>
      <c r="DM469" s="71"/>
      <c r="DN469" s="71"/>
      <c r="DO469" s="71"/>
      <c r="DP469" s="71"/>
      <c r="DQ469" s="71"/>
      <c r="DR469" s="71"/>
      <c r="DS469" s="71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  <c r="IJ469" s="71"/>
      <c r="IK469" s="71"/>
      <c r="IL469" s="71"/>
      <c r="IM469" s="71"/>
      <c r="IN469" s="71"/>
      <c r="IO469" s="71"/>
      <c r="IP469" s="71"/>
      <c r="IQ469" s="71"/>
      <c r="IR469" s="71"/>
      <c r="IS469" s="71"/>
      <c r="IT469" s="71"/>
      <c r="IU469" s="71"/>
      <c r="IV469" s="71"/>
      <c r="IW469" s="71"/>
    </row>
    <row r="470" customFormat="false" ht="12.75" hidden="false" customHeight="false" outlineLevel="0" collapsed="false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1"/>
      <c r="CG470" s="71"/>
      <c r="CH470" s="71"/>
      <c r="CI470" s="71"/>
      <c r="CJ470" s="71"/>
      <c r="CK470" s="71"/>
      <c r="CL470" s="71"/>
      <c r="CM470" s="71"/>
      <c r="CN470" s="71"/>
      <c r="CO470" s="71"/>
      <c r="CP470" s="71"/>
      <c r="CQ470" s="71"/>
      <c r="CR470" s="71"/>
      <c r="CS470" s="71"/>
      <c r="CT470" s="71"/>
      <c r="CU470" s="71"/>
      <c r="CV470" s="71"/>
      <c r="CW470" s="71"/>
      <c r="CX470" s="71"/>
      <c r="CY470" s="71"/>
      <c r="CZ470" s="71"/>
      <c r="DA470" s="71"/>
      <c r="DB470" s="71"/>
      <c r="DC470" s="71"/>
      <c r="DD470" s="71"/>
      <c r="DE470" s="71"/>
      <c r="DF470" s="71"/>
      <c r="DG470" s="71"/>
      <c r="DH470" s="71"/>
      <c r="DI470" s="71"/>
      <c r="DJ470" s="71"/>
      <c r="DK470" s="71"/>
      <c r="DL470" s="71"/>
      <c r="DM470" s="71"/>
      <c r="DN470" s="71"/>
      <c r="DO470" s="71"/>
      <c r="DP470" s="71"/>
      <c r="DQ470" s="71"/>
      <c r="DR470" s="71"/>
      <c r="DS470" s="71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  <c r="IJ470" s="71"/>
      <c r="IK470" s="71"/>
      <c r="IL470" s="71"/>
      <c r="IM470" s="71"/>
      <c r="IN470" s="71"/>
      <c r="IO470" s="71"/>
      <c r="IP470" s="71"/>
      <c r="IQ470" s="71"/>
      <c r="IR470" s="71"/>
      <c r="IS470" s="71"/>
      <c r="IT470" s="71"/>
      <c r="IU470" s="71"/>
      <c r="IV470" s="71"/>
      <c r="IW470" s="71"/>
    </row>
    <row r="471" customFormat="false" ht="12.75" hidden="false" customHeight="false" outlineLevel="0" collapsed="false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1"/>
      <c r="CH471" s="71"/>
      <c r="CI471" s="71"/>
      <c r="CJ471" s="71"/>
      <c r="CK471" s="71"/>
      <c r="CL471" s="71"/>
      <c r="CM471" s="71"/>
      <c r="CN471" s="71"/>
      <c r="CO471" s="71"/>
      <c r="CP471" s="71"/>
      <c r="CQ471" s="71"/>
      <c r="CR471" s="71"/>
      <c r="CS471" s="71"/>
      <c r="CT471" s="71"/>
      <c r="CU471" s="71"/>
      <c r="CV471" s="71"/>
      <c r="CW471" s="71"/>
      <c r="CX471" s="71"/>
      <c r="CY471" s="71"/>
      <c r="CZ471" s="71"/>
      <c r="DA471" s="71"/>
      <c r="DB471" s="71"/>
      <c r="DC471" s="71"/>
      <c r="DD471" s="71"/>
      <c r="DE471" s="71"/>
      <c r="DF471" s="71"/>
      <c r="DG471" s="71"/>
      <c r="DH471" s="71"/>
      <c r="DI471" s="71"/>
      <c r="DJ471" s="71"/>
      <c r="DK471" s="71"/>
      <c r="DL471" s="71"/>
      <c r="DM471" s="71"/>
      <c r="DN471" s="71"/>
      <c r="DO471" s="71"/>
      <c r="DP471" s="71"/>
      <c r="DQ471" s="71"/>
      <c r="DR471" s="71"/>
      <c r="DS471" s="71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  <c r="IJ471" s="71"/>
      <c r="IK471" s="71"/>
      <c r="IL471" s="71"/>
      <c r="IM471" s="71"/>
      <c r="IN471" s="71"/>
      <c r="IO471" s="71"/>
      <c r="IP471" s="71"/>
      <c r="IQ471" s="71"/>
      <c r="IR471" s="71"/>
      <c r="IS471" s="71"/>
      <c r="IT471" s="71"/>
      <c r="IU471" s="71"/>
      <c r="IV471" s="71"/>
      <c r="IW471" s="71"/>
    </row>
    <row r="472" customFormat="false" ht="12.75" hidden="false" customHeight="false" outlineLevel="0" collapsed="false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1"/>
      <c r="CG472" s="71"/>
      <c r="CH472" s="71"/>
      <c r="CI472" s="71"/>
      <c r="CJ472" s="71"/>
      <c r="CK472" s="71"/>
      <c r="CL472" s="71"/>
      <c r="CM472" s="71"/>
      <c r="CN472" s="71"/>
      <c r="CO472" s="71"/>
      <c r="CP472" s="71"/>
      <c r="CQ472" s="71"/>
      <c r="CR472" s="71"/>
      <c r="CS472" s="71"/>
      <c r="CT472" s="71"/>
      <c r="CU472" s="71"/>
      <c r="CV472" s="71"/>
      <c r="CW472" s="71"/>
      <c r="CX472" s="71"/>
      <c r="CY472" s="71"/>
      <c r="CZ472" s="71"/>
      <c r="DA472" s="71"/>
      <c r="DB472" s="71"/>
      <c r="DC472" s="71"/>
      <c r="DD472" s="71"/>
      <c r="DE472" s="71"/>
      <c r="DF472" s="71"/>
      <c r="DG472" s="71"/>
      <c r="DH472" s="71"/>
      <c r="DI472" s="71"/>
      <c r="DJ472" s="71"/>
      <c r="DK472" s="71"/>
      <c r="DL472" s="71"/>
      <c r="DM472" s="71"/>
      <c r="DN472" s="71"/>
      <c r="DO472" s="71"/>
      <c r="DP472" s="71"/>
      <c r="DQ472" s="71"/>
      <c r="DR472" s="71"/>
      <c r="DS472" s="71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  <c r="IJ472" s="71"/>
      <c r="IK472" s="71"/>
      <c r="IL472" s="71"/>
      <c r="IM472" s="71"/>
      <c r="IN472" s="71"/>
      <c r="IO472" s="71"/>
      <c r="IP472" s="71"/>
      <c r="IQ472" s="71"/>
      <c r="IR472" s="71"/>
      <c r="IS472" s="71"/>
      <c r="IT472" s="71"/>
      <c r="IU472" s="71"/>
      <c r="IV472" s="71"/>
      <c r="IW472" s="71"/>
    </row>
    <row r="473" customFormat="false" ht="12.75" hidden="false" customHeight="false" outlineLevel="0" collapsed="false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1"/>
      <c r="CH473" s="71"/>
      <c r="CI473" s="71"/>
      <c r="CJ473" s="71"/>
      <c r="CK473" s="71"/>
      <c r="CL473" s="71"/>
      <c r="CM473" s="71"/>
      <c r="CN473" s="71"/>
      <c r="CO473" s="71"/>
      <c r="CP473" s="71"/>
      <c r="CQ473" s="71"/>
      <c r="CR473" s="71"/>
      <c r="CS473" s="71"/>
      <c r="CT473" s="71"/>
      <c r="CU473" s="71"/>
      <c r="CV473" s="71"/>
      <c r="CW473" s="71"/>
      <c r="CX473" s="71"/>
      <c r="CY473" s="71"/>
      <c r="CZ473" s="71"/>
      <c r="DA473" s="71"/>
      <c r="DB473" s="71"/>
      <c r="DC473" s="71"/>
      <c r="DD473" s="71"/>
      <c r="DE473" s="71"/>
      <c r="DF473" s="71"/>
      <c r="DG473" s="71"/>
      <c r="DH473" s="71"/>
      <c r="DI473" s="71"/>
      <c r="DJ473" s="71"/>
      <c r="DK473" s="71"/>
      <c r="DL473" s="71"/>
      <c r="DM473" s="71"/>
      <c r="DN473" s="71"/>
      <c r="DO473" s="71"/>
      <c r="DP473" s="71"/>
      <c r="DQ473" s="71"/>
      <c r="DR473" s="71"/>
      <c r="DS473" s="71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  <c r="IJ473" s="71"/>
      <c r="IK473" s="71"/>
      <c r="IL473" s="71"/>
      <c r="IM473" s="71"/>
      <c r="IN473" s="71"/>
      <c r="IO473" s="71"/>
      <c r="IP473" s="71"/>
      <c r="IQ473" s="71"/>
      <c r="IR473" s="71"/>
      <c r="IS473" s="71"/>
      <c r="IT473" s="71"/>
      <c r="IU473" s="71"/>
      <c r="IV473" s="71"/>
      <c r="IW473" s="71"/>
    </row>
    <row r="474" customFormat="false" ht="12.75" hidden="false" customHeight="false" outlineLevel="0" collapsed="false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1"/>
      <c r="CG474" s="71"/>
      <c r="CH474" s="71"/>
      <c r="CI474" s="71"/>
      <c r="CJ474" s="71"/>
      <c r="CK474" s="71"/>
      <c r="CL474" s="71"/>
      <c r="CM474" s="71"/>
      <c r="CN474" s="71"/>
      <c r="CO474" s="71"/>
      <c r="CP474" s="71"/>
      <c r="CQ474" s="71"/>
      <c r="CR474" s="71"/>
      <c r="CS474" s="71"/>
      <c r="CT474" s="71"/>
      <c r="CU474" s="71"/>
      <c r="CV474" s="71"/>
      <c r="CW474" s="71"/>
      <c r="CX474" s="71"/>
      <c r="CY474" s="71"/>
      <c r="CZ474" s="71"/>
      <c r="DA474" s="71"/>
      <c r="DB474" s="71"/>
      <c r="DC474" s="71"/>
      <c r="DD474" s="71"/>
      <c r="DE474" s="71"/>
      <c r="DF474" s="71"/>
      <c r="DG474" s="71"/>
      <c r="DH474" s="71"/>
      <c r="DI474" s="71"/>
      <c r="DJ474" s="71"/>
      <c r="DK474" s="71"/>
      <c r="DL474" s="71"/>
      <c r="DM474" s="71"/>
      <c r="DN474" s="71"/>
      <c r="DO474" s="71"/>
      <c r="DP474" s="71"/>
      <c r="DQ474" s="71"/>
      <c r="DR474" s="71"/>
      <c r="DS474" s="71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  <c r="IJ474" s="71"/>
      <c r="IK474" s="71"/>
      <c r="IL474" s="71"/>
      <c r="IM474" s="71"/>
      <c r="IN474" s="71"/>
      <c r="IO474" s="71"/>
      <c r="IP474" s="71"/>
      <c r="IQ474" s="71"/>
      <c r="IR474" s="71"/>
      <c r="IS474" s="71"/>
      <c r="IT474" s="71"/>
      <c r="IU474" s="71"/>
      <c r="IV474" s="71"/>
      <c r="IW474" s="71"/>
    </row>
    <row r="475" customFormat="false" ht="12.75" hidden="false" customHeight="false" outlineLevel="0" collapsed="false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1"/>
      <c r="CG475" s="71"/>
      <c r="CH475" s="71"/>
      <c r="CI475" s="71"/>
      <c r="CJ475" s="71"/>
      <c r="CK475" s="71"/>
      <c r="CL475" s="71"/>
      <c r="CM475" s="71"/>
      <c r="CN475" s="71"/>
      <c r="CO475" s="71"/>
      <c r="CP475" s="71"/>
      <c r="CQ475" s="71"/>
      <c r="CR475" s="71"/>
      <c r="CS475" s="71"/>
      <c r="CT475" s="71"/>
      <c r="CU475" s="71"/>
      <c r="CV475" s="71"/>
      <c r="CW475" s="71"/>
      <c r="CX475" s="71"/>
      <c r="CY475" s="71"/>
      <c r="CZ475" s="71"/>
      <c r="DA475" s="71"/>
      <c r="DB475" s="71"/>
      <c r="DC475" s="71"/>
      <c r="DD475" s="71"/>
      <c r="DE475" s="71"/>
      <c r="DF475" s="71"/>
      <c r="DG475" s="71"/>
      <c r="DH475" s="71"/>
      <c r="DI475" s="71"/>
      <c r="DJ475" s="71"/>
      <c r="DK475" s="71"/>
      <c r="DL475" s="71"/>
      <c r="DM475" s="71"/>
      <c r="DN475" s="71"/>
      <c r="DO475" s="71"/>
      <c r="DP475" s="71"/>
      <c r="DQ475" s="71"/>
      <c r="DR475" s="71"/>
      <c r="DS475" s="71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  <c r="IJ475" s="71"/>
      <c r="IK475" s="71"/>
      <c r="IL475" s="71"/>
      <c r="IM475" s="71"/>
      <c r="IN475" s="71"/>
      <c r="IO475" s="71"/>
      <c r="IP475" s="71"/>
      <c r="IQ475" s="71"/>
      <c r="IR475" s="71"/>
      <c r="IS475" s="71"/>
      <c r="IT475" s="71"/>
      <c r="IU475" s="71"/>
      <c r="IV475" s="71"/>
      <c r="IW475" s="71"/>
    </row>
    <row r="476" customFormat="false" ht="12.75" hidden="false" customHeight="false" outlineLevel="0" collapsed="false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1"/>
      <c r="CH476" s="71"/>
      <c r="CI476" s="71"/>
      <c r="CJ476" s="71"/>
      <c r="CK476" s="71"/>
      <c r="CL476" s="71"/>
      <c r="CM476" s="71"/>
      <c r="CN476" s="71"/>
      <c r="CO476" s="71"/>
      <c r="CP476" s="71"/>
      <c r="CQ476" s="71"/>
      <c r="CR476" s="71"/>
      <c r="CS476" s="71"/>
      <c r="CT476" s="71"/>
      <c r="CU476" s="71"/>
      <c r="CV476" s="71"/>
      <c r="CW476" s="71"/>
      <c r="CX476" s="71"/>
      <c r="CY476" s="71"/>
      <c r="CZ476" s="71"/>
      <c r="DA476" s="71"/>
      <c r="DB476" s="71"/>
      <c r="DC476" s="71"/>
      <c r="DD476" s="71"/>
      <c r="DE476" s="71"/>
      <c r="DF476" s="71"/>
      <c r="DG476" s="71"/>
      <c r="DH476" s="71"/>
      <c r="DI476" s="71"/>
      <c r="DJ476" s="71"/>
      <c r="DK476" s="71"/>
      <c r="DL476" s="71"/>
      <c r="DM476" s="71"/>
      <c r="DN476" s="71"/>
      <c r="DO476" s="71"/>
      <c r="DP476" s="71"/>
      <c r="DQ476" s="71"/>
      <c r="DR476" s="71"/>
      <c r="DS476" s="71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  <c r="IJ476" s="71"/>
      <c r="IK476" s="71"/>
      <c r="IL476" s="71"/>
      <c r="IM476" s="71"/>
      <c r="IN476" s="71"/>
      <c r="IO476" s="71"/>
      <c r="IP476" s="71"/>
      <c r="IQ476" s="71"/>
      <c r="IR476" s="71"/>
      <c r="IS476" s="71"/>
      <c r="IT476" s="71"/>
      <c r="IU476" s="71"/>
      <c r="IV476" s="71"/>
      <c r="IW476" s="71"/>
    </row>
    <row r="477" customFormat="false" ht="12.75" hidden="false" customHeight="false" outlineLevel="0" collapsed="false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1"/>
      <c r="CH477" s="71"/>
      <c r="CI477" s="71"/>
      <c r="CJ477" s="71"/>
      <c r="CK477" s="71"/>
      <c r="CL477" s="71"/>
      <c r="CM477" s="71"/>
      <c r="CN477" s="71"/>
      <c r="CO477" s="71"/>
      <c r="CP477" s="71"/>
      <c r="CQ477" s="71"/>
      <c r="CR477" s="71"/>
      <c r="CS477" s="71"/>
      <c r="CT477" s="71"/>
      <c r="CU477" s="71"/>
      <c r="CV477" s="71"/>
      <c r="CW477" s="71"/>
      <c r="CX477" s="71"/>
      <c r="CY477" s="71"/>
      <c r="CZ477" s="71"/>
      <c r="DA477" s="71"/>
      <c r="DB477" s="71"/>
      <c r="DC477" s="71"/>
      <c r="DD477" s="71"/>
      <c r="DE477" s="71"/>
      <c r="DF477" s="71"/>
      <c r="DG477" s="71"/>
      <c r="DH477" s="71"/>
      <c r="DI477" s="71"/>
      <c r="DJ477" s="71"/>
      <c r="DK477" s="71"/>
      <c r="DL477" s="71"/>
      <c r="DM477" s="71"/>
      <c r="DN477" s="71"/>
      <c r="DO477" s="71"/>
      <c r="DP477" s="71"/>
      <c r="DQ477" s="71"/>
      <c r="DR477" s="71"/>
      <c r="DS477" s="71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  <c r="IJ477" s="71"/>
      <c r="IK477" s="71"/>
      <c r="IL477" s="71"/>
      <c r="IM477" s="71"/>
      <c r="IN477" s="71"/>
      <c r="IO477" s="71"/>
      <c r="IP477" s="71"/>
      <c r="IQ477" s="71"/>
      <c r="IR477" s="71"/>
      <c r="IS477" s="71"/>
      <c r="IT477" s="71"/>
      <c r="IU477" s="71"/>
      <c r="IV477" s="71"/>
      <c r="IW477" s="71"/>
    </row>
    <row r="478" customFormat="false" ht="12.75" hidden="false" customHeight="false" outlineLevel="0" collapsed="false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1"/>
      <c r="CG478" s="71"/>
      <c r="CH478" s="71"/>
      <c r="CI478" s="71"/>
      <c r="CJ478" s="71"/>
      <c r="CK478" s="71"/>
      <c r="CL478" s="71"/>
      <c r="CM478" s="71"/>
      <c r="CN478" s="71"/>
      <c r="CO478" s="71"/>
      <c r="CP478" s="71"/>
      <c r="CQ478" s="71"/>
      <c r="CR478" s="71"/>
      <c r="CS478" s="71"/>
      <c r="CT478" s="71"/>
      <c r="CU478" s="71"/>
      <c r="CV478" s="71"/>
      <c r="CW478" s="71"/>
      <c r="CX478" s="71"/>
      <c r="CY478" s="71"/>
      <c r="CZ478" s="71"/>
      <c r="DA478" s="71"/>
      <c r="DB478" s="71"/>
      <c r="DC478" s="71"/>
      <c r="DD478" s="71"/>
      <c r="DE478" s="71"/>
      <c r="DF478" s="71"/>
      <c r="DG478" s="71"/>
      <c r="DH478" s="71"/>
      <c r="DI478" s="71"/>
      <c r="DJ478" s="71"/>
      <c r="DK478" s="71"/>
      <c r="DL478" s="71"/>
      <c r="DM478" s="71"/>
      <c r="DN478" s="71"/>
      <c r="DO478" s="71"/>
      <c r="DP478" s="71"/>
      <c r="DQ478" s="71"/>
      <c r="DR478" s="71"/>
      <c r="DS478" s="71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  <c r="IJ478" s="71"/>
      <c r="IK478" s="71"/>
      <c r="IL478" s="71"/>
      <c r="IM478" s="71"/>
      <c r="IN478" s="71"/>
      <c r="IO478" s="71"/>
      <c r="IP478" s="71"/>
      <c r="IQ478" s="71"/>
      <c r="IR478" s="71"/>
      <c r="IS478" s="71"/>
      <c r="IT478" s="71"/>
      <c r="IU478" s="71"/>
      <c r="IV478" s="71"/>
      <c r="IW478" s="71"/>
    </row>
    <row r="479" customFormat="false" ht="12.75" hidden="false" customHeight="false" outlineLevel="0" collapsed="false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1"/>
      <c r="CG479" s="71"/>
      <c r="CH479" s="71"/>
      <c r="CI479" s="71"/>
      <c r="CJ479" s="71"/>
      <c r="CK479" s="71"/>
      <c r="CL479" s="71"/>
      <c r="CM479" s="71"/>
      <c r="CN479" s="71"/>
      <c r="CO479" s="71"/>
      <c r="CP479" s="71"/>
      <c r="CQ479" s="71"/>
      <c r="CR479" s="71"/>
      <c r="CS479" s="71"/>
      <c r="CT479" s="71"/>
      <c r="CU479" s="71"/>
      <c r="CV479" s="71"/>
      <c r="CW479" s="71"/>
      <c r="CX479" s="71"/>
      <c r="CY479" s="71"/>
      <c r="CZ479" s="71"/>
      <c r="DA479" s="71"/>
      <c r="DB479" s="71"/>
      <c r="DC479" s="71"/>
      <c r="DD479" s="71"/>
      <c r="DE479" s="71"/>
      <c r="DF479" s="71"/>
      <c r="DG479" s="71"/>
      <c r="DH479" s="71"/>
      <c r="DI479" s="71"/>
      <c r="DJ479" s="71"/>
      <c r="DK479" s="71"/>
      <c r="DL479" s="71"/>
      <c r="DM479" s="71"/>
      <c r="DN479" s="71"/>
      <c r="DO479" s="71"/>
      <c r="DP479" s="71"/>
      <c r="DQ479" s="71"/>
      <c r="DR479" s="71"/>
      <c r="DS479" s="71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  <c r="IJ479" s="71"/>
      <c r="IK479" s="71"/>
      <c r="IL479" s="71"/>
      <c r="IM479" s="71"/>
      <c r="IN479" s="71"/>
      <c r="IO479" s="71"/>
      <c r="IP479" s="71"/>
      <c r="IQ479" s="71"/>
      <c r="IR479" s="71"/>
      <c r="IS479" s="71"/>
      <c r="IT479" s="71"/>
      <c r="IU479" s="71"/>
      <c r="IV479" s="71"/>
      <c r="IW479" s="71"/>
    </row>
    <row r="480" customFormat="false" ht="12.75" hidden="false" customHeight="false" outlineLevel="0" collapsed="false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1"/>
      <c r="CG480" s="71"/>
      <c r="CH480" s="71"/>
      <c r="CI480" s="71"/>
      <c r="CJ480" s="71"/>
      <c r="CK480" s="71"/>
      <c r="CL480" s="71"/>
      <c r="CM480" s="71"/>
      <c r="CN480" s="71"/>
      <c r="CO480" s="71"/>
      <c r="CP480" s="71"/>
      <c r="CQ480" s="71"/>
      <c r="CR480" s="71"/>
      <c r="CS480" s="71"/>
      <c r="CT480" s="71"/>
      <c r="CU480" s="71"/>
      <c r="CV480" s="71"/>
      <c r="CW480" s="71"/>
      <c r="CX480" s="71"/>
      <c r="CY480" s="71"/>
      <c r="CZ480" s="71"/>
      <c r="DA480" s="71"/>
      <c r="DB480" s="71"/>
      <c r="DC480" s="71"/>
      <c r="DD480" s="71"/>
      <c r="DE480" s="71"/>
      <c r="DF480" s="71"/>
      <c r="DG480" s="71"/>
      <c r="DH480" s="71"/>
      <c r="DI480" s="71"/>
      <c r="DJ480" s="71"/>
      <c r="DK480" s="71"/>
      <c r="DL480" s="71"/>
      <c r="DM480" s="71"/>
      <c r="DN480" s="71"/>
      <c r="DO480" s="71"/>
      <c r="DP480" s="71"/>
      <c r="DQ480" s="71"/>
      <c r="DR480" s="71"/>
      <c r="DS480" s="71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  <c r="IJ480" s="71"/>
      <c r="IK480" s="71"/>
      <c r="IL480" s="71"/>
      <c r="IM480" s="71"/>
      <c r="IN480" s="71"/>
      <c r="IO480" s="71"/>
      <c r="IP480" s="71"/>
      <c r="IQ480" s="71"/>
      <c r="IR480" s="71"/>
      <c r="IS480" s="71"/>
      <c r="IT480" s="71"/>
      <c r="IU480" s="71"/>
      <c r="IV480" s="71"/>
      <c r="IW480" s="71"/>
    </row>
    <row r="481" customFormat="false" ht="12.75" hidden="false" customHeight="false" outlineLevel="0" collapsed="false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1"/>
      <c r="CF481" s="71"/>
      <c r="CG481" s="71"/>
      <c r="CH481" s="71"/>
      <c r="CI481" s="71"/>
      <c r="CJ481" s="71"/>
      <c r="CK481" s="71"/>
      <c r="CL481" s="71"/>
      <c r="CM481" s="71"/>
      <c r="CN481" s="71"/>
      <c r="CO481" s="71"/>
      <c r="CP481" s="71"/>
      <c r="CQ481" s="71"/>
      <c r="CR481" s="71"/>
      <c r="CS481" s="71"/>
      <c r="CT481" s="71"/>
      <c r="CU481" s="71"/>
      <c r="CV481" s="71"/>
      <c r="CW481" s="71"/>
      <c r="CX481" s="71"/>
      <c r="CY481" s="71"/>
      <c r="CZ481" s="71"/>
      <c r="DA481" s="71"/>
      <c r="DB481" s="71"/>
      <c r="DC481" s="71"/>
      <c r="DD481" s="71"/>
      <c r="DE481" s="71"/>
      <c r="DF481" s="71"/>
      <c r="DG481" s="71"/>
      <c r="DH481" s="71"/>
      <c r="DI481" s="71"/>
      <c r="DJ481" s="71"/>
      <c r="DK481" s="71"/>
      <c r="DL481" s="71"/>
      <c r="DM481" s="71"/>
      <c r="DN481" s="71"/>
      <c r="DO481" s="71"/>
      <c r="DP481" s="71"/>
      <c r="DQ481" s="71"/>
      <c r="DR481" s="71"/>
      <c r="DS481" s="71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  <c r="IJ481" s="71"/>
      <c r="IK481" s="71"/>
      <c r="IL481" s="71"/>
      <c r="IM481" s="71"/>
      <c r="IN481" s="71"/>
      <c r="IO481" s="71"/>
      <c r="IP481" s="71"/>
      <c r="IQ481" s="71"/>
      <c r="IR481" s="71"/>
      <c r="IS481" s="71"/>
      <c r="IT481" s="71"/>
      <c r="IU481" s="71"/>
      <c r="IV481" s="71"/>
      <c r="IW481" s="71"/>
    </row>
    <row r="482" customFormat="false" ht="12.75" hidden="false" customHeight="false" outlineLevel="0" collapsed="false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1"/>
      <c r="CH482" s="71"/>
      <c r="CI482" s="71"/>
      <c r="CJ482" s="71"/>
      <c r="CK482" s="71"/>
      <c r="CL482" s="71"/>
      <c r="CM482" s="71"/>
      <c r="CN482" s="71"/>
      <c r="CO482" s="71"/>
      <c r="CP482" s="71"/>
      <c r="CQ482" s="71"/>
      <c r="CR482" s="71"/>
      <c r="CS482" s="71"/>
      <c r="CT482" s="71"/>
      <c r="CU482" s="71"/>
      <c r="CV482" s="71"/>
      <c r="CW482" s="71"/>
      <c r="CX482" s="71"/>
      <c r="CY482" s="71"/>
      <c r="CZ482" s="71"/>
      <c r="DA482" s="71"/>
      <c r="DB482" s="71"/>
      <c r="DC482" s="71"/>
      <c r="DD482" s="71"/>
      <c r="DE482" s="71"/>
      <c r="DF482" s="71"/>
      <c r="DG482" s="71"/>
      <c r="DH482" s="71"/>
      <c r="DI482" s="71"/>
      <c r="DJ482" s="71"/>
      <c r="DK482" s="71"/>
      <c r="DL482" s="71"/>
      <c r="DM482" s="71"/>
      <c r="DN482" s="71"/>
      <c r="DO482" s="71"/>
      <c r="DP482" s="71"/>
      <c r="DQ482" s="71"/>
      <c r="DR482" s="71"/>
      <c r="DS482" s="71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  <c r="IJ482" s="71"/>
      <c r="IK482" s="71"/>
      <c r="IL482" s="71"/>
      <c r="IM482" s="71"/>
      <c r="IN482" s="71"/>
      <c r="IO482" s="71"/>
      <c r="IP482" s="71"/>
      <c r="IQ482" s="71"/>
      <c r="IR482" s="71"/>
      <c r="IS482" s="71"/>
      <c r="IT482" s="71"/>
      <c r="IU482" s="71"/>
      <c r="IV482" s="71"/>
      <c r="IW482" s="71"/>
    </row>
    <row r="483" customFormat="false" ht="12.75" hidden="false" customHeight="false" outlineLevel="0" collapsed="false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1"/>
      <c r="CG483" s="71"/>
      <c r="CH483" s="71"/>
      <c r="CI483" s="71"/>
      <c r="CJ483" s="71"/>
      <c r="CK483" s="71"/>
      <c r="CL483" s="71"/>
      <c r="CM483" s="71"/>
      <c r="CN483" s="71"/>
      <c r="CO483" s="71"/>
      <c r="CP483" s="71"/>
      <c r="CQ483" s="71"/>
      <c r="CR483" s="71"/>
      <c r="CS483" s="71"/>
      <c r="CT483" s="71"/>
      <c r="CU483" s="71"/>
      <c r="CV483" s="71"/>
      <c r="CW483" s="71"/>
      <c r="CX483" s="71"/>
      <c r="CY483" s="71"/>
      <c r="CZ483" s="71"/>
      <c r="DA483" s="71"/>
      <c r="DB483" s="71"/>
      <c r="DC483" s="71"/>
      <c r="DD483" s="71"/>
      <c r="DE483" s="71"/>
      <c r="DF483" s="71"/>
      <c r="DG483" s="71"/>
      <c r="DH483" s="71"/>
      <c r="DI483" s="71"/>
      <c r="DJ483" s="71"/>
      <c r="DK483" s="71"/>
      <c r="DL483" s="71"/>
      <c r="DM483" s="71"/>
      <c r="DN483" s="71"/>
      <c r="DO483" s="71"/>
      <c r="DP483" s="71"/>
      <c r="DQ483" s="71"/>
      <c r="DR483" s="71"/>
      <c r="DS483" s="71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  <c r="IJ483" s="71"/>
      <c r="IK483" s="71"/>
      <c r="IL483" s="71"/>
      <c r="IM483" s="71"/>
      <c r="IN483" s="71"/>
      <c r="IO483" s="71"/>
      <c r="IP483" s="71"/>
      <c r="IQ483" s="71"/>
      <c r="IR483" s="71"/>
      <c r="IS483" s="71"/>
      <c r="IT483" s="71"/>
      <c r="IU483" s="71"/>
      <c r="IV483" s="71"/>
      <c r="IW483" s="71"/>
    </row>
    <row r="484" customFormat="false" ht="12.75" hidden="false" customHeight="false" outlineLevel="0" collapsed="false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1"/>
      <c r="CG484" s="71"/>
      <c r="CH484" s="71"/>
      <c r="CI484" s="71"/>
      <c r="CJ484" s="71"/>
      <c r="CK484" s="71"/>
      <c r="CL484" s="71"/>
      <c r="CM484" s="71"/>
      <c r="CN484" s="71"/>
      <c r="CO484" s="71"/>
      <c r="CP484" s="71"/>
      <c r="CQ484" s="71"/>
      <c r="CR484" s="71"/>
      <c r="CS484" s="71"/>
      <c r="CT484" s="71"/>
      <c r="CU484" s="71"/>
      <c r="CV484" s="71"/>
      <c r="CW484" s="71"/>
      <c r="CX484" s="71"/>
      <c r="CY484" s="71"/>
      <c r="CZ484" s="71"/>
      <c r="DA484" s="71"/>
      <c r="DB484" s="71"/>
      <c r="DC484" s="71"/>
      <c r="DD484" s="71"/>
      <c r="DE484" s="71"/>
      <c r="DF484" s="71"/>
      <c r="DG484" s="71"/>
      <c r="DH484" s="71"/>
      <c r="DI484" s="71"/>
      <c r="DJ484" s="71"/>
      <c r="DK484" s="71"/>
      <c r="DL484" s="71"/>
      <c r="DM484" s="71"/>
      <c r="DN484" s="71"/>
      <c r="DO484" s="71"/>
      <c r="DP484" s="71"/>
      <c r="DQ484" s="71"/>
      <c r="DR484" s="71"/>
      <c r="DS484" s="71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  <c r="IJ484" s="71"/>
      <c r="IK484" s="71"/>
      <c r="IL484" s="71"/>
      <c r="IM484" s="71"/>
      <c r="IN484" s="71"/>
      <c r="IO484" s="71"/>
      <c r="IP484" s="71"/>
      <c r="IQ484" s="71"/>
      <c r="IR484" s="71"/>
      <c r="IS484" s="71"/>
      <c r="IT484" s="71"/>
      <c r="IU484" s="71"/>
      <c r="IV484" s="71"/>
      <c r="IW484" s="71"/>
    </row>
    <row r="485" customFormat="false" ht="12.75" hidden="false" customHeight="false" outlineLevel="0" collapsed="false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1"/>
      <c r="CH485" s="71"/>
      <c r="CI485" s="71"/>
      <c r="CJ485" s="71"/>
      <c r="CK485" s="71"/>
      <c r="CL485" s="71"/>
      <c r="CM485" s="71"/>
      <c r="CN485" s="71"/>
      <c r="CO485" s="71"/>
      <c r="CP485" s="71"/>
      <c r="CQ485" s="71"/>
      <c r="CR485" s="71"/>
      <c r="CS485" s="71"/>
      <c r="CT485" s="71"/>
      <c r="CU485" s="71"/>
      <c r="CV485" s="71"/>
      <c r="CW485" s="71"/>
      <c r="CX485" s="71"/>
      <c r="CY485" s="71"/>
      <c r="CZ485" s="71"/>
      <c r="DA485" s="71"/>
      <c r="DB485" s="71"/>
      <c r="DC485" s="71"/>
      <c r="DD485" s="71"/>
      <c r="DE485" s="71"/>
      <c r="DF485" s="71"/>
      <c r="DG485" s="71"/>
      <c r="DH485" s="71"/>
      <c r="DI485" s="71"/>
      <c r="DJ485" s="71"/>
      <c r="DK485" s="71"/>
      <c r="DL485" s="71"/>
      <c r="DM485" s="71"/>
      <c r="DN485" s="71"/>
      <c r="DO485" s="71"/>
      <c r="DP485" s="71"/>
      <c r="DQ485" s="71"/>
      <c r="DR485" s="71"/>
      <c r="DS485" s="71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  <c r="IJ485" s="71"/>
      <c r="IK485" s="71"/>
      <c r="IL485" s="71"/>
      <c r="IM485" s="71"/>
      <c r="IN485" s="71"/>
      <c r="IO485" s="71"/>
      <c r="IP485" s="71"/>
      <c r="IQ485" s="71"/>
      <c r="IR485" s="71"/>
      <c r="IS485" s="71"/>
      <c r="IT485" s="71"/>
      <c r="IU485" s="71"/>
      <c r="IV485" s="71"/>
      <c r="IW485" s="71"/>
    </row>
    <row r="486" customFormat="false" ht="12.75" hidden="false" customHeight="false" outlineLevel="0" collapsed="false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1"/>
      <c r="CG486" s="71"/>
      <c r="CH486" s="71"/>
      <c r="CI486" s="71"/>
      <c r="CJ486" s="71"/>
      <c r="CK486" s="71"/>
      <c r="CL486" s="71"/>
      <c r="CM486" s="71"/>
      <c r="CN486" s="71"/>
      <c r="CO486" s="71"/>
      <c r="CP486" s="71"/>
      <c r="CQ486" s="71"/>
      <c r="CR486" s="71"/>
      <c r="CS486" s="71"/>
      <c r="CT486" s="71"/>
      <c r="CU486" s="71"/>
      <c r="CV486" s="71"/>
      <c r="CW486" s="71"/>
      <c r="CX486" s="71"/>
      <c r="CY486" s="71"/>
      <c r="CZ486" s="71"/>
      <c r="DA486" s="71"/>
      <c r="DB486" s="71"/>
      <c r="DC486" s="71"/>
      <c r="DD486" s="71"/>
      <c r="DE486" s="71"/>
      <c r="DF486" s="71"/>
      <c r="DG486" s="71"/>
      <c r="DH486" s="71"/>
      <c r="DI486" s="71"/>
      <c r="DJ486" s="71"/>
      <c r="DK486" s="71"/>
      <c r="DL486" s="71"/>
      <c r="DM486" s="71"/>
      <c r="DN486" s="71"/>
      <c r="DO486" s="71"/>
      <c r="DP486" s="71"/>
      <c r="DQ486" s="71"/>
      <c r="DR486" s="71"/>
      <c r="DS486" s="71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  <c r="IJ486" s="71"/>
      <c r="IK486" s="71"/>
      <c r="IL486" s="71"/>
      <c r="IM486" s="71"/>
      <c r="IN486" s="71"/>
      <c r="IO486" s="71"/>
      <c r="IP486" s="71"/>
      <c r="IQ486" s="71"/>
      <c r="IR486" s="71"/>
      <c r="IS486" s="71"/>
      <c r="IT486" s="71"/>
      <c r="IU486" s="71"/>
      <c r="IV486" s="71"/>
      <c r="IW486" s="71"/>
    </row>
    <row r="487" customFormat="false" ht="12.75" hidden="false" customHeight="false" outlineLevel="0" collapsed="false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1"/>
      <c r="CH487" s="71"/>
      <c r="CI487" s="71"/>
      <c r="CJ487" s="71"/>
      <c r="CK487" s="71"/>
      <c r="CL487" s="71"/>
      <c r="CM487" s="71"/>
      <c r="CN487" s="71"/>
      <c r="CO487" s="71"/>
      <c r="CP487" s="71"/>
      <c r="CQ487" s="71"/>
      <c r="CR487" s="71"/>
      <c r="CS487" s="71"/>
      <c r="CT487" s="71"/>
      <c r="CU487" s="71"/>
      <c r="CV487" s="71"/>
      <c r="CW487" s="71"/>
      <c r="CX487" s="71"/>
      <c r="CY487" s="71"/>
      <c r="CZ487" s="71"/>
      <c r="DA487" s="71"/>
      <c r="DB487" s="71"/>
      <c r="DC487" s="71"/>
      <c r="DD487" s="71"/>
      <c r="DE487" s="71"/>
      <c r="DF487" s="71"/>
      <c r="DG487" s="71"/>
      <c r="DH487" s="71"/>
      <c r="DI487" s="71"/>
      <c r="DJ487" s="71"/>
      <c r="DK487" s="71"/>
      <c r="DL487" s="71"/>
      <c r="DM487" s="71"/>
      <c r="DN487" s="71"/>
      <c r="DO487" s="71"/>
      <c r="DP487" s="71"/>
      <c r="DQ487" s="71"/>
      <c r="DR487" s="71"/>
      <c r="DS487" s="71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  <c r="IJ487" s="71"/>
      <c r="IK487" s="71"/>
      <c r="IL487" s="71"/>
      <c r="IM487" s="71"/>
      <c r="IN487" s="71"/>
      <c r="IO487" s="71"/>
      <c r="IP487" s="71"/>
      <c r="IQ487" s="71"/>
      <c r="IR487" s="71"/>
      <c r="IS487" s="71"/>
      <c r="IT487" s="71"/>
      <c r="IU487" s="71"/>
      <c r="IV487" s="71"/>
      <c r="IW487" s="71"/>
    </row>
    <row r="488" customFormat="false" ht="12.75" hidden="false" customHeight="false" outlineLevel="0" collapsed="false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1"/>
      <c r="CH488" s="71"/>
      <c r="CI488" s="71"/>
      <c r="CJ488" s="71"/>
      <c r="CK488" s="71"/>
      <c r="CL488" s="71"/>
      <c r="CM488" s="71"/>
      <c r="CN488" s="71"/>
      <c r="CO488" s="71"/>
      <c r="CP488" s="71"/>
      <c r="CQ488" s="71"/>
      <c r="CR488" s="71"/>
      <c r="CS488" s="71"/>
      <c r="CT488" s="71"/>
      <c r="CU488" s="71"/>
      <c r="CV488" s="71"/>
      <c r="CW488" s="71"/>
      <c r="CX488" s="71"/>
      <c r="CY488" s="71"/>
      <c r="CZ488" s="71"/>
      <c r="DA488" s="71"/>
      <c r="DB488" s="71"/>
      <c r="DC488" s="71"/>
      <c r="DD488" s="71"/>
      <c r="DE488" s="71"/>
      <c r="DF488" s="71"/>
      <c r="DG488" s="71"/>
      <c r="DH488" s="71"/>
      <c r="DI488" s="71"/>
      <c r="DJ488" s="71"/>
      <c r="DK488" s="71"/>
      <c r="DL488" s="71"/>
      <c r="DM488" s="71"/>
      <c r="DN488" s="71"/>
      <c r="DO488" s="71"/>
      <c r="DP488" s="71"/>
      <c r="DQ488" s="71"/>
      <c r="DR488" s="71"/>
      <c r="DS488" s="71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  <c r="IJ488" s="71"/>
      <c r="IK488" s="71"/>
      <c r="IL488" s="71"/>
      <c r="IM488" s="71"/>
      <c r="IN488" s="71"/>
      <c r="IO488" s="71"/>
      <c r="IP488" s="71"/>
      <c r="IQ488" s="71"/>
      <c r="IR488" s="71"/>
      <c r="IS488" s="71"/>
      <c r="IT488" s="71"/>
      <c r="IU488" s="71"/>
      <c r="IV488" s="71"/>
      <c r="IW488" s="71"/>
    </row>
    <row r="489" customFormat="false" ht="12.75" hidden="false" customHeight="false" outlineLevel="0" collapsed="false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1"/>
      <c r="CH489" s="71"/>
      <c r="CI489" s="71"/>
      <c r="CJ489" s="71"/>
      <c r="CK489" s="71"/>
      <c r="CL489" s="71"/>
      <c r="CM489" s="71"/>
      <c r="CN489" s="71"/>
      <c r="CO489" s="71"/>
      <c r="CP489" s="71"/>
      <c r="CQ489" s="71"/>
      <c r="CR489" s="71"/>
      <c r="CS489" s="71"/>
      <c r="CT489" s="71"/>
      <c r="CU489" s="71"/>
      <c r="CV489" s="71"/>
      <c r="CW489" s="71"/>
      <c r="CX489" s="71"/>
      <c r="CY489" s="71"/>
      <c r="CZ489" s="71"/>
      <c r="DA489" s="71"/>
      <c r="DB489" s="71"/>
      <c r="DC489" s="71"/>
      <c r="DD489" s="71"/>
      <c r="DE489" s="71"/>
      <c r="DF489" s="71"/>
      <c r="DG489" s="71"/>
      <c r="DH489" s="71"/>
      <c r="DI489" s="71"/>
      <c r="DJ489" s="71"/>
      <c r="DK489" s="71"/>
      <c r="DL489" s="71"/>
      <c r="DM489" s="71"/>
      <c r="DN489" s="71"/>
      <c r="DO489" s="71"/>
      <c r="DP489" s="71"/>
      <c r="DQ489" s="71"/>
      <c r="DR489" s="71"/>
      <c r="DS489" s="71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  <c r="IJ489" s="71"/>
      <c r="IK489" s="71"/>
      <c r="IL489" s="71"/>
      <c r="IM489" s="71"/>
      <c r="IN489" s="71"/>
      <c r="IO489" s="71"/>
      <c r="IP489" s="71"/>
      <c r="IQ489" s="71"/>
      <c r="IR489" s="71"/>
      <c r="IS489" s="71"/>
      <c r="IT489" s="71"/>
      <c r="IU489" s="71"/>
      <c r="IV489" s="71"/>
      <c r="IW489" s="71"/>
    </row>
    <row r="490" customFormat="false" ht="12.75" hidden="false" customHeight="false" outlineLevel="0" collapsed="false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1"/>
      <c r="CG490" s="71"/>
      <c r="CH490" s="71"/>
      <c r="CI490" s="71"/>
      <c r="CJ490" s="71"/>
      <c r="CK490" s="71"/>
      <c r="CL490" s="71"/>
      <c r="CM490" s="71"/>
      <c r="CN490" s="71"/>
      <c r="CO490" s="71"/>
      <c r="CP490" s="71"/>
      <c r="CQ490" s="71"/>
      <c r="CR490" s="71"/>
      <c r="CS490" s="71"/>
      <c r="CT490" s="71"/>
      <c r="CU490" s="71"/>
      <c r="CV490" s="71"/>
      <c r="CW490" s="71"/>
      <c r="CX490" s="71"/>
      <c r="CY490" s="71"/>
      <c r="CZ490" s="71"/>
      <c r="DA490" s="71"/>
      <c r="DB490" s="71"/>
      <c r="DC490" s="71"/>
      <c r="DD490" s="71"/>
      <c r="DE490" s="71"/>
      <c r="DF490" s="71"/>
      <c r="DG490" s="71"/>
      <c r="DH490" s="71"/>
      <c r="DI490" s="71"/>
      <c r="DJ490" s="71"/>
      <c r="DK490" s="71"/>
      <c r="DL490" s="71"/>
      <c r="DM490" s="71"/>
      <c r="DN490" s="71"/>
      <c r="DO490" s="71"/>
      <c r="DP490" s="71"/>
      <c r="DQ490" s="71"/>
      <c r="DR490" s="71"/>
      <c r="DS490" s="71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  <c r="IJ490" s="71"/>
      <c r="IK490" s="71"/>
      <c r="IL490" s="71"/>
      <c r="IM490" s="71"/>
      <c r="IN490" s="71"/>
      <c r="IO490" s="71"/>
      <c r="IP490" s="71"/>
      <c r="IQ490" s="71"/>
      <c r="IR490" s="71"/>
      <c r="IS490" s="71"/>
      <c r="IT490" s="71"/>
      <c r="IU490" s="71"/>
      <c r="IV490" s="71"/>
      <c r="IW490" s="71"/>
    </row>
    <row r="491" customFormat="false" ht="12.75" hidden="false" customHeight="false" outlineLevel="0" collapsed="false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1"/>
      <c r="CM491" s="71"/>
      <c r="CN491" s="71"/>
      <c r="CO491" s="71"/>
      <c r="CP491" s="71"/>
      <c r="CQ491" s="71"/>
      <c r="CR491" s="71"/>
      <c r="CS491" s="71"/>
      <c r="CT491" s="71"/>
      <c r="CU491" s="71"/>
      <c r="CV491" s="71"/>
      <c r="CW491" s="71"/>
      <c r="CX491" s="71"/>
      <c r="CY491" s="71"/>
      <c r="CZ491" s="71"/>
      <c r="DA491" s="71"/>
      <c r="DB491" s="71"/>
      <c r="DC491" s="71"/>
      <c r="DD491" s="71"/>
      <c r="DE491" s="71"/>
      <c r="DF491" s="71"/>
      <c r="DG491" s="71"/>
      <c r="DH491" s="71"/>
      <c r="DI491" s="71"/>
      <c r="DJ491" s="71"/>
      <c r="DK491" s="71"/>
      <c r="DL491" s="71"/>
      <c r="DM491" s="71"/>
      <c r="DN491" s="71"/>
      <c r="DO491" s="71"/>
      <c r="DP491" s="71"/>
      <c r="DQ491" s="71"/>
      <c r="DR491" s="71"/>
      <c r="DS491" s="71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  <c r="IJ491" s="71"/>
      <c r="IK491" s="71"/>
      <c r="IL491" s="71"/>
      <c r="IM491" s="71"/>
      <c r="IN491" s="71"/>
      <c r="IO491" s="71"/>
      <c r="IP491" s="71"/>
      <c r="IQ491" s="71"/>
      <c r="IR491" s="71"/>
      <c r="IS491" s="71"/>
      <c r="IT491" s="71"/>
      <c r="IU491" s="71"/>
      <c r="IV491" s="71"/>
      <c r="IW491" s="71"/>
    </row>
    <row r="492" customFormat="false" ht="12.75" hidden="false" customHeight="false" outlineLevel="0" collapsed="false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1"/>
      <c r="CH492" s="71"/>
      <c r="CI492" s="71"/>
      <c r="CJ492" s="71"/>
      <c r="CK492" s="71"/>
      <c r="CL492" s="71"/>
      <c r="CM492" s="71"/>
      <c r="CN492" s="71"/>
      <c r="CO492" s="71"/>
      <c r="CP492" s="71"/>
      <c r="CQ492" s="71"/>
      <c r="CR492" s="71"/>
      <c r="CS492" s="71"/>
      <c r="CT492" s="71"/>
      <c r="CU492" s="71"/>
      <c r="CV492" s="71"/>
      <c r="CW492" s="71"/>
      <c r="CX492" s="71"/>
      <c r="CY492" s="71"/>
      <c r="CZ492" s="71"/>
      <c r="DA492" s="71"/>
      <c r="DB492" s="71"/>
      <c r="DC492" s="71"/>
      <c r="DD492" s="71"/>
      <c r="DE492" s="71"/>
      <c r="DF492" s="71"/>
      <c r="DG492" s="71"/>
      <c r="DH492" s="71"/>
      <c r="DI492" s="71"/>
      <c r="DJ492" s="71"/>
      <c r="DK492" s="71"/>
      <c r="DL492" s="71"/>
      <c r="DM492" s="71"/>
      <c r="DN492" s="71"/>
      <c r="DO492" s="71"/>
      <c r="DP492" s="71"/>
      <c r="DQ492" s="71"/>
      <c r="DR492" s="71"/>
      <c r="DS492" s="71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  <c r="IJ492" s="71"/>
      <c r="IK492" s="71"/>
      <c r="IL492" s="71"/>
      <c r="IM492" s="71"/>
      <c r="IN492" s="71"/>
      <c r="IO492" s="71"/>
      <c r="IP492" s="71"/>
      <c r="IQ492" s="71"/>
      <c r="IR492" s="71"/>
      <c r="IS492" s="71"/>
      <c r="IT492" s="71"/>
      <c r="IU492" s="71"/>
      <c r="IV492" s="71"/>
      <c r="IW492" s="71"/>
    </row>
    <row r="493" customFormat="false" ht="12.75" hidden="false" customHeight="false" outlineLevel="0" collapsed="false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1"/>
      <c r="CH493" s="71"/>
      <c r="CI493" s="71"/>
      <c r="CJ493" s="71"/>
      <c r="CK493" s="71"/>
      <c r="CL493" s="71"/>
      <c r="CM493" s="71"/>
      <c r="CN493" s="71"/>
      <c r="CO493" s="71"/>
      <c r="CP493" s="71"/>
      <c r="CQ493" s="71"/>
      <c r="CR493" s="71"/>
      <c r="CS493" s="71"/>
      <c r="CT493" s="71"/>
      <c r="CU493" s="71"/>
      <c r="CV493" s="71"/>
      <c r="CW493" s="71"/>
      <c r="CX493" s="71"/>
      <c r="CY493" s="71"/>
      <c r="CZ493" s="71"/>
      <c r="DA493" s="71"/>
      <c r="DB493" s="71"/>
      <c r="DC493" s="71"/>
      <c r="DD493" s="71"/>
      <c r="DE493" s="71"/>
      <c r="DF493" s="71"/>
      <c r="DG493" s="71"/>
      <c r="DH493" s="71"/>
      <c r="DI493" s="71"/>
      <c r="DJ493" s="71"/>
      <c r="DK493" s="71"/>
      <c r="DL493" s="71"/>
      <c r="DM493" s="71"/>
      <c r="DN493" s="71"/>
      <c r="DO493" s="71"/>
      <c r="DP493" s="71"/>
      <c r="DQ493" s="71"/>
      <c r="DR493" s="71"/>
      <c r="DS493" s="71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  <c r="IJ493" s="71"/>
      <c r="IK493" s="71"/>
      <c r="IL493" s="71"/>
      <c r="IM493" s="71"/>
      <c r="IN493" s="71"/>
      <c r="IO493" s="71"/>
      <c r="IP493" s="71"/>
      <c r="IQ493" s="71"/>
      <c r="IR493" s="71"/>
      <c r="IS493" s="71"/>
      <c r="IT493" s="71"/>
      <c r="IU493" s="71"/>
      <c r="IV493" s="71"/>
      <c r="IW493" s="71"/>
    </row>
    <row r="494" customFormat="false" ht="12.75" hidden="false" customHeight="false" outlineLevel="0" collapsed="false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1"/>
      <c r="CG494" s="71"/>
      <c r="CH494" s="71"/>
      <c r="CI494" s="71"/>
      <c r="CJ494" s="71"/>
      <c r="CK494" s="71"/>
      <c r="CL494" s="71"/>
      <c r="CM494" s="71"/>
      <c r="CN494" s="71"/>
      <c r="CO494" s="71"/>
      <c r="CP494" s="71"/>
      <c r="CQ494" s="71"/>
      <c r="CR494" s="71"/>
      <c r="CS494" s="71"/>
      <c r="CT494" s="71"/>
      <c r="CU494" s="71"/>
      <c r="CV494" s="71"/>
      <c r="CW494" s="71"/>
      <c r="CX494" s="71"/>
      <c r="CY494" s="71"/>
      <c r="CZ494" s="71"/>
      <c r="DA494" s="71"/>
      <c r="DB494" s="71"/>
      <c r="DC494" s="71"/>
      <c r="DD494" s="71"/>
      <c r="DE494" s="71"/>
      <c r="DF494" s="71"/>
      <c r="DG494" s="71"/>
      <c r="DH494" s="71"/>
      <c r="DI494" s="71"/>
      <c r="DJ494" s="71"/>
      <c r="DK494" s="71"/>
      <c r="DL494" s="71"/>
      <c r="DM494" s="71"/>
      <c r="DN494" s="71"/>
      <c r="DO494" s="71"/>
      <c r="DP494" s="71"/>
      <c r="DQ494" s="71"/>
      <c r="DR494" s="71"/>
      <c r="DS494" s="71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  <c r="IJ494" s="71"/>
      <c r="IK494" s="71"/>
      <c r="IL494" s="71"/>
      <c r="IM494" s="71"/>
      <c r="IN494" s="71"/>
      <c r="IO494" s="71"/>
      <c r="IP494" s="71"/>
      <c r="IQ494" s="71"/>
      <c r="IR494" s="71"/>
      <c r="IS494" s="71"/>
      <c r="IT494" s="71"/>
      <c r="IU494" s="71"/>
      <c r="IV494" s="71"/>
      <c r="IW494" s="71"/>
    </row>
    <row r="495" customFormat="false" ht="12.75" hidden="false" customHeight="false" outlineLevel="0" collapsed="false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1"/>
      <c r="CG495" s="71"/>
      <c r="CH495" s="71"/>
      <c r="CI495" s="71"/>
      <c r="CJ495" s="71"/>
      <c r="CK495" s="71"/>
      <c r="CL495" s="71"/>
      <c r="CM495" s="71"/>
      <c r="CN495" s="71"/>
      <c r="CO495" s="71"/>
      <c r="CP495" s="71"/>
      <c r="CQ495" s="71"/>
      <c r="CR495" s="71"/>
      <c r="CS495" s="71"/>
      <c r="CT495" s="71"/>
      <c r="CU495" s="71"/>
      <c r="CV495" s="71"/>
      <c r="CW495" s="71"/>
      <c r="CX495" s="71"/>
      <c r="CY495" s="71"/>
      <c r="CZ495" s="71"/>
      <c r="DA495" s="71"/>
      <c r="DB495" s="71"/>
      <c r="DC495" s="71"/>
      <c r="DD495" s="71"/>
      <c r="DE495" s="71"/>
      <c r="DF495" s="71"/>
      <c r="DG495" s="71"/>
      <c r="DH495" s="71"/>
      <c r="DI495" s="71"/>
      <c r="DJ495" s="71"/>
      <c r="DK495" s="71"/>
      <c r="DL495" s="71"/>
      <c r="DM495" s="71"/>
      <c r="DN495" s="71"/>
      <c r="DO495" s="71"/>
      <c r="DP495" s="71"/>
      <c r="DQ495" s="71"/>
      <c r="DR495" s="71"/>
      <c r="DS495" s="71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  <c r="IJ495" s="71"/>
      <c r="IK495" s="71"/>
      <c r="IL495" s="71"/>
      <c r="IM495" s="71"/>
      <c r="IN495" s="71"/>
      <c r="IO495" s="71"/>
      <c r="IP495" s="71"/>
      <c r="IQ495" s="71"/>
      <c r="IR495" s="71"/>
      <c r="IS495" s="71"/>
      <c r="IT495" s="71"/>
      <c r="IU495" s="71"/>
      <c r="IV495" s="71"/>
      <c r="IW495" s="71"/>
    </row>
    <row r="496" customFormat="false" ht="12.75" hidden="false" customHeight="false" outlineLevel="0" collapsed="false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1"/>
      <c r="CG496" s="71"/>
      <c r="CH496" s="71"/>
      <c r="CI496" s="71"/>
      <c r="CJ496" s="71"/>
      <c r="CK496" s="71"/>
      <c r="CL496" s="71"/>
      <c r="CM496" s="71"/>
      <c r="CN496" s="71"/>
      <c r="CO496" s="71"/>
      <c r="CP496" s="71"/>
      <c r="CQ496" s="71"/>
      <c r="CR496" s="71"/>
      <c r="CS496" s="71"/>
      <c r="CT496" s="71"/>
      <c r="CU496" s="71"/>
      <c r="CV496" s="71"/>
      <c r="CW496" s="71"/>
      <c r="CX496" s="71"/>
      <c r="CY496" s="71"/>
      <c r="CZ496" s="71"/>
      <c r="DA496" s="71"/>
      <c r="DB496" s="71"/>
      <c r="DC496" s="71"/>
      <c r="DD496" s="71"/>
      <c r="DE496" s="71"/>
      <c r="DF496" s="71"/>
      <c r="DG496" s="71"/>
      <c r="DH496" s="71"/>
      <c r="DI496" s="71"/>
      <c r="DJ496" s="71"/>
      <c r="DK496" s="71"/>
      <c r="DL496" s="71"/>
      <c r="DM496" s="71"/>
      <c r="DN496" s="71"/>
      <c r="DO496" s="71"/>
      <c r="DP496" s="71"/>
      <c r="DQ496" s="71"/>
      <c r="DR496" s="71"/>
      <c r="DS496" s="71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  <c r="IJ496" s="71"/>
      <c r="IK496" s="71"/>
      <c r="IL496" s="71"/>
      <c r="IM496" s="71"/>
      <c r="IN496" s="71"/>
      <c r="IO496" s="71"/>
      <c r="IP496" s="71"/>
      <c r="IQ496" s="71"/>
      <c r="IR496" s="71"/>
      <c r="IS496" s="71"/>
      <c r="IT496" s="71"/>
      <c r="IU496" s="71"/>
      <c r="IV496" s="71"/>
      <c r="IW496" s="71"/>
    </row>
    <row r="497" customFormat="false" ht="12.75" hidden="false" customHeight="false" outlineLevel="0" collapsed="false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1"/>
      <c r="CH497" s="71"/>
      <c r="CI497" s="71"/>
      <c r="CJ497" s="71"/>
      <c r="CK497" s="71"/>
      <c r="CL497" s="71"/>
      <c r="CM497" s="71"/>
      <c r="CN497" s="71"/>
      <c r="CO497" s="71"/>
      <c r="CP497" s="71"/>
      <c r="CQ497" s="71"/>
      <c r="CR497" s="71"/>
      <c r="CS497" s="71"/>
      <c r="CT497" s="71"/>
      <c r="CU497" s="71"/>
      <c r="CV497" s="71"/>
      <c r="CW497" s="71"/>
      <c r="CX497" s="71"/>
      <c r="CY497" s="71"/>
      <c r="CZ497" s="71"/>
      <c r="DA497" s="71"/>
      <c r="DB497" s="71"/>
      <c r="DC497" s="71"/>
      <c r="DD497" s="71"/>
      <c r="DE497" s="71"/>
      <c r="DF497" s="71"/>
      <c r="DG497" s="71"/>
      <c r="DH497" s="71"/>
      <c r="DI497" s="71"/>
      <c r="DJ497" s="71"/>
      <c r="DK497" s="71"/>
      <c r="DL497" s="71"/>
      <c r="DM497" s="71"/>
      <c r="DN497" s="71"/>
      <c r="DO497" s="71"/>
      <c r="DP497" s="71"/>
      <c r="DQ497" s="71"/>
      <c r="DR497" s="71"/>
      <c r="DS497" s="71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  <c r="IJ497" s="71"/>
      <c r="IK497" s="71"/>
      <c r="IL497" s="71"/>
      <c r="IM497" s="71"/>
      <c r="IN497" s="71"/>
      <c r="IO497" s="71"/>
      <c r="IP497" s="71"/>
      <c r="IQ497" s="71"/>
      <c r="IR497" s="71"/>
      <c r="IS497" s="71"/>
      <c r="IT497" s="71"/>
      <c r="IU497" s="71"/>
      <c r="IV497" s="71"/>
      <c r="IW497" s="71"/>
    </row>
    <row r="498" customFormat="false" ht="12.75" hidden="false" customHeight="false" outlineLevel="0" collapsed="false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1"/>
      <c r="CH498" s="71"/>
      <c r="CI498" s="71"/>
      <c r="CJ498" s="71"/>
      <c r="CK498" s="71"/>
      <c r="CL498" s="71"/>
      <c r="CM498" s="71"/>
      <c r="CN498" s="71"/>
      <c r="CO498" s="71"/>
      <c r="CP498" s="71"/>
      <c r="CQ498" s="71"/>
      <c r="CR498" s="71"/>
      <c r="CS498" s="71"/>
      <c r="CT498" s="71"/>
      <c r="CU498" s="71"/>
      <c r="CV498" s="71"/>
      <c r="CW498" s="71"/>
      <c r="CX498" s="71"/>
      <c r="CY498" s="71"/>
      <c r="CZ498" s="71"/>
      <c r="DA498" s="71"/>
      <c r="DB498" s="71"/>
      <c r="DC498" s="71"/>
      <c r="DD498" s="71"/>
      <c r="DE498" s="71"/>
      <c r="DF498" s="71"/>
      <c r="DG498" s="71"/>
      <c r="DH498" s="71"/>
      <c r="DI498" s="71"/>
      <c r="DJ498" s="71"/>
      <c r="DK498" s="71"/>
      <c r="DL498" s="71"/>
      <c r="DM498" s="71"/>
      <c r="DN498" s="71"/>
      <c r="DO498" s="71"/>
      <c r="DP498" s="71"/>
      <c r="DQ498" s="71"/>
      <c r="DR498" s="71"/>
      <c r="DS498" s="71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  <c r="IJ498" s="71"/>
      <c r="IK498" s="71"/>
      <c r="IL498" s="71"/>
      <c r="IM498" s="71"/>
      <c r="IN498" s="71"/>
      <c r="IO498" s="71"/>
      <c r="IP498" s="71"/>
      <c r="IQ498" s="71"/>
      <c r="IR498" s="71"/>
      <c r="IS498" s="71"/>
      <c r="IT498" s="71"/>
      <c r="IU498" s="71"/>
      <c r="IV498" s="71"/>
      <c r="IW498" s="71"/>
    </row>
    <row r="499" customFormat="false" ht="12.75" hidden="false" customHeight="false" outlineLevel="0" collapsed="false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1"/>
      <c r="CH499" s="71"/>
      <c r="CI499" s="71"/>
      <c r="CJ499" s="71"/>
      <c r="CK499" s="71"/>
      <c r="CL499" s="71"/>
      <c r="CM499" s="71"/>
      <c r="CN499" s="71"/>
      <c r="CO499" s="71"/>
      <c r="CP499" s="71"/>
      <c r="CQ499" s="71"/>
      <c r="CR499" s="71"/>
      <c r="CS499" s="71"/>
      <c r="CT499" s="71"/>
      <c r="CU499" s="71"/>
      <c r="CV499" s="71"/>
      <c r="CW499" s="71"/>
      <c r="CX499" s="71"/>
      <c r="CY499" s="71"/>
      <c r="CZ499" s="71"/>
      <c r="DA499" s="71"/>
      <c r="DB499" s="71"/>
      <c r="DC499" s="71"/>
      <c r="DD499" s="71"/>
      <c r="DE499" s="71"/>
      <c r="DF499" s="71"/>
      <c r="DG499" s="71"/>
      <c r="DH499" s="71"/>
      <c r="DI499" s="71"/>
      <c r="DJ499" s="71"/>
      <c r="DK499" s="71"/>
      <c r="DL499" s="71"/>
      <c r="DM499" s="71"/>
      <c r="DN499" s="71"/>
      <c r="DO499" s="71"/>
      <c r="DP499" s="71"/>
      <c r="DQ499" s="71"/>
      <c r="DR499" s="71"/>
      <c r="DS499" s="71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  <c r="IJ499" s="71"/>
      <c r="IK499" s="71"/>
      <c r="IL499" s="71"/>
      <c r="IM499" s="71"/>
      <c r="IN499" s="71"/>
      <c r="IO499" s="71"/>
      <c r="IP499" s="71"/>
      <c r="IQ499" s="71"/>
      <c r="IR499" s="71"/>
      <c r="IS499" s="71"/>
      <c r="IT499" s="71"/>
      <c r="IU499" s="71"/>
      <c r="IV499" s="71"/>
      <c r="IW499" s="71"/>
    </row>
    <row r="500" customFormat="false" ht="12.75" hidden="false" customHeight="false" outlineLevel="0" collapsed="false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/>
      <c r="CF500" s="71"/>
      <c r="CG500" s="71"/>
      <c r="CH500" s="71"/>
      <c r="CI500" s="71"/>
      <c r="CJ500" s="71"/>
      <c r="CK500" s="71"/>
      <c r="CL500" s="71"/>
      <c r="CM500" s="71"/>
      <c r="CN500" s="71"/>
      <c r="CO500" s="71"/>
      <c r="CP500" s="71"/>
      <c r="CQ500" s="71"/>
      <c r="CR500" s="71"/>
      <c r="CS500" s="71"/>
      <c r="CT500" s="71"/>
      <c r="CU500" s="71"/>
      <c r="CV500" s="71"/>
      <c r="CW500" s="71"/>
      <c r="CX500" s="71"/>
      <c r="CY500" s="71"/>
      <c r="CZ500" s="71"/>
      <c r="DA500" s="71"/>
      <c r="DB500" s="71"/>
      <c r="DC500" s="71"/>
      <c r="DD500" s="71"/>
      <c r="DE500" s="71"/>
      <c r="DF500" s="71"/>
      <c r="DG500" s="71"/>
      <c r="DH500" s="71"/>
      <c r="DI500" s="71"/>
      <c r="DJ500" s="71"/>
      <c r="DK500" s="71"/>
      <c r="DL500" s="71"/>
      <c r="DM500" s="71"/>
      <c r="DN500" s="71"/>
      <c r="DO500" s="71"/>
      <c r="DP500" s="71"/>
      <c r="DQ500" s="71"/>
      <c r="DR500" s="71"/>
      <c r="DS500" s="71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  <c r="IJ500" s="71"/>
      <c r="IK500" s="71"/>
      <c r="IL500" s="71"/>
      <c r="IM500" s="71"/>
      <c r="IN500" s="71"/>
      <c r="IO500" s="71"/>
      <c r="IP500" s="71"/>
      <c r="IQ500" s="71"/>
      <c r="IR500" s="71"/>
      <c r="IS500" s="71"/>
      <c r="IT500" s="71"/>
      <c r="IU500" s="71"/>
      <c r="IV500" s="71"/>
      <c r="IW500" s="71"/>
    </row>
    <row r="501" customFormat="false" ht="12.75" hidden="false" customHeight="false" outlineLevel="0" collapsed="false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1"/>
      <c r="CH501" s="71"/>
      <c r="CI501" s="71"/>
      <c r="CJ501" s="71"/>
      <c r="CK501" s="71"/>
      <c r="CL501" s="71"/>
      <c r="CM501" s="71"/>
      <c r="CN501" s="71"/>
      <c r="CO501" s="71"/>
      <c r="CP501" s="71"/>
      <c r="CQ501" s="71"/>
      <c r="CR501" s="71"/>
      <c r="CS501" s="71"/>
      <c r="CT501" s="71"/>
      <c r="CU501" s="71"/>
      <c r="CV501" s="71"/>
      <c r="CW501" s="71"/>
      <c r="CX501" s="71"/>
      <c r="CY501" s="71"/>
      <c r="CZ501" s="71"/>
      <c r="DA501" s="71"/>
      <c r="DB501" s="71"/>
      <c r="DC501" s="71"/>
      <c r="DD501" s="71"/>
      <c r="DE501" s="71"/>
      <c r="DF501" s="71"/>
      <c r="DG501" s="71"/>
      <c r="DH501" s="71"/>
      <c r="DI501" s="71"/>
      <c r="DJ501" s="71"/>
      <c r="DK501" s="71"/>
      <c r="DL501" s="71"/>
      <c r="DM501" s="71"/>
      <c r="DN501" s="71"/>
      <c r="DO501" s="71"/>
      <c r="DP501" s="71"/>
      <c r="DQ501" s="71"/>
      <c r="DR501" s="71"/>
      <c r="DS501" s="71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  <c r="IJ501" s="71"/>
      <c r="IK501" s="71"/>
      <c r="IL501" s="71"/>
      <c r="IM501" s="71"/>
      <c r="IN501" s="71"/>
      <c r="IO501" s="71"/>
      <c r="IP501" s="71"/>
      <c r="IQ501" s="71"/>
      <c r="IR501" s="71"/>
      <c r="IS501" s="71"/>
      <c r="IT501" s="71"/>
      <c r="IU501" s="71"/>
      <c r="IV501" s="71"/>
      <c r="IW501" s="71"/>
    </row>
    <row r="502" customFormat="false" ht="12.75" hidden="false" customHeight="false" outlineLevel="0" collapsed="false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1"/>
      <c r="CG502" s="71"/>
      <c r="CH502" s="71"/>
      <c r="CI502" s="71"/>
      <c r="CJ502" s="71"/>
      <c r="CK502" s="71"/>
      <c r="CL502" s="71"/>
      <c r="CM502" s="71"/>
      <c r="CN502" s="71"/>
      <c r="CO502" s="71"/>
      <c r="CP502" s="71"/>
      <c r="CQ502" s="71"/>
      <c r="CR502" s="71"/>
      <c r="CS502" s="71"/>
      <c r="CT502" s="71"/>
      <c r="CU502" s="71"/>
      <c r="CV502" s="71"/>
      <c r="CW502" s="71"/>
      <c r="CX502" s="71"/>
      <c r="CY502" s="71"/>
      <c r="CZ502" s="71"/>
      <c r="DA502" s="71"/>
      <c r="DB502" s="71"/>
      <c r="DC502" s="71"/>
      <c r="DD502" s="71"/>
      <c r="DE502" s="71"/>
      <c r="DF502" s="71"/>
      <c r="DG502" s="71"/>
      <c r="DH502" s="71"/>
      <c r="DI502" s="71"/>
      <c r="DJ502" s="71"/>
      <c r="DK502" s="71"/>
      <c r="DL502" s="71"/>
      <c r="DM502" s="71"/>
      <c r="DN502" s="71"/>
      <c r="DO502" s="71"/>
      <c r="DP502" s="71"/>
      <c r="DQ502" s="71"/>
      <c r="DR502" s="71"/>
      <c r="DS502" s="71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  <c r="IJ502" s="71"/>
      <c r="IK502" s="71"/>
      <c r="IL502" s="71"/>
      <c r="IM502" s="71"/>
      <c r="IN502" s="71"/>
      <c r="IO502" s="71"/>
      <c r="IP502" s="71"/>
      <c r="IQ502" s="71"/>
      <c r="IR502" s="71"/>
      <c r="IS502" s="71"/>
      <c r="IT502" s="71"/>
      <c r="IU502" s="71"/>
      <c r="IV502" s="71"/>
      <c r="IW502" s="71"/>
    </row>
    <row r="503" customFormat="false" ht="12.75" hidden="false" customHeight="false" outlineLevel="0" collapsed="false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1"/>
      <c r="CG503" s="71"/>
      <c r="CH503" s="71"/>
      <c r="CI503" s="71"/>
      <c r="CJ503" s="71"/>
      <c r="CK503" s="71"/>
      <c r="CL503" s="71"/>
      <c r="CM503" s="71"/>
      <c r="CN503" s="71"/>
      <c r="CO503" s="71"/>
      <c r="CP503" s="71"/>
      <c r="CQ503" s="71"/>
      <c r="CR503" s="71"/>
      <c r="CS503" s="71"/>
      <c r="CT503" s="71"/>
      <c r="CU503" s="71"/>
      <c r="CV503" s="71"/>
      <c r="CW503" s="71"/>
      <c r="CX503" s="71"/>
      <c r="CY503" s="71"/>
      <c r="CZ503" s="71"/>
      <c r="DA503" s="71"/>
      <c r="DB503" s="71"/>
      <c r="DC503" s="71"/>
      <c r="DD503" s="71"/>
      <c r="DE503" s="71"/>
      <c r="DF503" s="71"/>
      <c r="DG503" s="71"/>
      <c r="DH503" s="71"/>
      <c r="DI503" s="71"/>
      <c r="DJ503" s="71"/>
      <c r="DK503" s="71"/>
      <c r="DL503" s="71"/>
      <c r="DM503" s="71"/>
      <c r="DN503" s="71"/>
      <c r="DO503" s="71"/>
      <c r="DP503" s="71"/>
      <c r="DQ503" s="71"/>
      <c r="DR503" s="71"/>
      <c r="DS503" s="71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  <c r="IJ503" s="71"/>
      <c r="IK503" s="71"/>
      <c r="IL503" s="71"/>
      <c r="IM503" s="71"/>
      <c r="IN503" s="71"/>
      <c r="IO503" s="71"/>
      <c r="IP503" s="71"/>
      <c r="IQ503" s="71"/>
      <c r="IR503" s="71"/>
      <c r="IS503" s="71"/>
      <c r="IT503" s="71"/>
      <c r="IU503" s="71"/>
      <c r="IV503" s="71"/>
      <c r="IW503" s="71"/>
    </row>
    <row r="504" customFormat="false" ht="12.75" hidden="false" customHeight="false" outlineLevel="0" collapsed="false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1"/>
      <c r="CF504" s="71"/>
      <c r="CG504" s="71"/>
      <c r="CH504" s="71"/>
      <c r="CI504" s="71"/>
      <c r="CJ504" s="71"/>
      <c r="CK504" s="71"/>
      <c r="CL504" s="71"/>
      <c r="CM504" s="71"/>
      <c r="CN504" s="71"/>
      <c r="CO504" s="71"/>
      <c r="CP504" s="71"/>
      <c r="CQ504" s="71"/>
      <c r="CR504" s="71"/>
      <c r="CS504" s="71"/>
      <c r="CT504" s="71"/>
      <c r="CU504" s="71"/>
      <c r="CV504" s="71"/>
      <c r="CW504" s="71"/>
      <c r="CX504" s="71"/>
      <c r="CY504" s="71"/>
      <c r="CZ504" s="71"/>
      <c r="DA504" s="71"/>
      <c r="DB504" s="71"/>
      <c r="DC504" s="71"/>
      <c r="DD504" s="71"/>
      <c r="DE504" s="71"/>
      <c r="DF504" s="71"/>
      <c r="DG504" s="71"/>
      <c r="DH504" s="71"/>
      <c r="DI504" s="71"/>
      <c r="DJ504" s="71"/>
      <c r="DK504" s="71"/>
      <c r="DL504" s="71"/>
      <c r="DM504" s="71"/>
      <c r="DN504" s="71"/>
      <c r="DO504" s="71"/>
      <c r="DP504" s="71"/>
      <c r="DQ504" s="71"/>
      <c r="DR504" s="71"/>
      <c r="DS504" s="71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  <c r="IJ504" s="71"/>
      <c r="IK504" s="71"/>
      <c r="IL504" s="71"/>
      <c r="IM504" s="71"/>
      <c r="IN504" s="71"/>
      <c r="IO504" s="71"/>
      <c r="IP504" s="71"/>
      <c r="IQ504" s="71"/>
      <c r="IR504" s="71"/>
      <c r="IS504" s="71"/>
      <c r="IT504" s="71"/>
      <c r="IU504" s="71"/>
      <c r="IV504" s="71"/>
      <c r="IW504" s="71"/>
    </row>
    <row r="505" customFormat="false" ht="12.75" hidden="false" customHeight="false" outlineLevel="0" collapsed="false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1"/>
      <c r="CH505" s="71"/>
      <c r="CI505" s="71"/>
      <c r="CJ505" s="71"/>
      <c r="CK505" s="71"/>
      <c r="CL505" s="71"/>
      <c r="CM505" s="71"/>
      <c r="CN505" s="71"/>
      <c r="CO505" s="71"/>
      <c r="CP505" s="71"/>
      <c r="CQ505" s="71"/>
      <c r="CR505" s="71"/>
      <c r="CS505" s="71"/>
      <c r="CT505" s="71"/>
      <c r="CU505" s="71"/>
      <c r="CV505" s="71"/>
      <c r="CW505" s="71"/>
      <c r="CX505" s="71"/>
      <c r="CY505" s="71"/>
      <c r="CZ505" s="71"/>
      <c r="DA505" s="71"/>
      <c r="DB505" s="71"/>
      <c r="DC505" s="71"/>
      <c r="DD505" s="71"/>
      <c r="DE505" s="71"/>
      <c r="DF505" s="71"/>
      <c r="DG505" s="71"/>
      <c r="DH505" s="71"/>
      <c r="DI505" s="71"/>
      <c r="DJ505" s="71"/>
      <c r="DK505" s="71"/>
      <c r="DL505" s="71"/>
      <c r="DM505" s="71"/>
      <c r="DN505" s="71"/>
      <c r="DO505" s="71"/>
      <c r="DP505" s="71"/>
      <c r="DQ505" s="71"/>
      <c r="DR505" s="71"/>
      <c r="DS505" s="71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  <c r="IJ505" s="71"/>
      <c r="IK505" s="71"/>
      <c r="IL505" s="71"/>
      <c r="IM505" s="71"/>
      <c r="IN505" s="71"/>
      <c r="IO505" s="71"/>
      <c r="IP505" s="71"/>
      <c r="IQ505" s="71"/>
      <c r="IR505" s="71"/>
      <c r="IS505" s="71"/>
      <c r="IT505" s="71"/>
      <c r="IU505" s="71"/>
      <c r="IV505" s="71"/>
      <c r="IW505" s="71"/>
    </row>
    <row r="506" customFormat="false" ht="12.75" hidden="false" customHeight="false" outlineLevel="0" collapsed="false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1"/>
      <c r="CH506" s="71"/>
      <c r="CI506" s="71"/>
      <c r="CJ506" s="71"/>
      <c r="CK506" s="71"/>
      <c r="CL506" s="71"/>
      <c r="CM506" s="71"/>
      <c r="CN506" s="71"/>
      <c r="CO506" s="71"/>
      <c r="CP506" s="71"/>
      <c r="CQ506" s="71"/>
      <c r="CR506" s="71"/>
      <c r="CS506" s="71"/>
      <c r="CT506" s="71"/>
      <c r="CU506" s="71"/>
      <c r="CV506" s="71"/>
      <c r="CW506" s="71"/>
      <c r="CX506" s="71"/>
      <c r="CY506" s="71"/>
      <c r="CZ506" s="71"/>
      <c r="DA506" s="71"/>
      <c r="DB506" s="71"/>
      <c r="DC506" s="71"/>
      <c r="DD506" s="71"/>
      <c r="DE506" s="71"/>
      <c r="DF506" s="71"/>
      <c r="DG506" s="71"/>
      <c r="DH506" s="71"/>
      <c r="DI506" s="71"/>
      <c r="DJ506" s="71"/>
      <c r="DK506" s="71"/>
      <c r="DL506" s="71"/>
      <c r="DM506" s="71"/>
      <c r="DN506" s="71"/>
      <c r="DO506" s="71"/>
      <c r="DP506" s="71"/>
      <c r="DQ506" s="71"/>
      <c r="DR506" s="71"/>
      <c r="DS506" s="71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  <c r="IJ506" s="71"/>
      <c r="IK506" s="71"/>
      <c r="IL506" s="71"/>
      <c r="IM506" s="71"/>
      <c r="IN506" s="71"/>
      <c r="IO506" s="71"/>
      <c r="IP506" s="71"/>
      <c r="IQ506" s="71"/>
      <c r="IR506" s="71"/>
      <c r="IS506" s="71"/>
      <c r="IT506" s="71"/>
      <c r="IU506" s="71"/>
      <c r="IV506" s="71"/>
      <c r="IW506" s="71"/>
    </row>
    <row r="507" customFormat="false" ht="12.75" hidden="false" customHeight="false" outlineLevel="0" collapsed="false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1"/>
      <c r="CG507" s="71"/>
      <c r="CH507" s="71"/>
      <c r="CI507" s="71"/>
      <c r="CJ507" s="71"/>
      <c r="CK507" s="71"/>
      <c r="CL507" s="71"/>
      <c r="CM507" s="71"/>
      <c r="CN507" s="71"/>
      <c r="CO507" s="71"/>
      <c r="CP507" s="71"/>
      <c r="CQ507" s="71"/>
      <c r="CR507" s="71"/>
      <c r="CS507" s="71"/>
      <c r="CT507" s="71"/>
      <c r="CU507" s="71"/>
      <c r="CV507" s="71"/>
      <c r="CW507" s="71"/>
      <c r="CX507" s="71"/>
      <c r="CY507" s="71"/>
      <c r="CZ507" s="71"/>
      <c r="DA507" s="71"/>
      <c r="DB507" s="71"/>
      <c r="DC507" s="71"/>
      <c r="DD507" s="71"/>
      <c r="DE507" s="71"/>
      <c r="DF507" s="71"/>
      <c r="DG507" s="71"/>
      <c r="DH507" s="71"/>
      <c r="DI507" s="71"/>
      <c r="DJ507" s="71"/>
      <c r="DK507" s="71"/>
      <c r="DL507" s="71"/>
      <c r="DM507" s="71"/>
      <c r="DN507" s="71"/>
      <c r="DO507" s="71"/>
      <c r="DP507" s="71"/>
      <c r="DQ507" s="71"/>
      <c r="DR507" s="71"/>
      <c r="DS507" s="71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  <c r="IJ507" s="71"/>
      <c r="IK507" s="71"/>
      <c r="IL507" s="71"/>
      <c r="IM507" s="71"/>
      <c r="IN507" s="71"/>
      <c r="IO507" s="71"/>
      <c r="IP507" s="71"/>
      <c r="IQ507" s="71"/>
      <c r="IR507" s="71"/>
      <c r="IS507" s="71"/>
      <c r="IT507" s="71"/>
      <c r="IU507" s="71"/>
      <c r="IV507" s="71"/>
      <c r="IW507" s="71"/>
    </row>
    <row r="508" customFormat="false" ht="12.75" hidden="false" customHeight="false" outlineLevel="0" collapsed="false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/>
      <c r="CE508" s="71"/>
      <c r="CF508" s="71"/>
      <c r="CG508" s="71"/>
      <c r="CH508" s="71"/>
      <c r="CI508" s="71"/>
      <c r="CJ508" s="71"/>
      <c r="CK508" s="71"/>
      <c r="CL508" s="71"/>
      <c r="CM508" s="71"/>
      <c r="CN508" s="71"/>
      <c r="CO508" s="71"/>
      <c r="CP508" s="71"/>
      <c r="CQ508" s="71"/>
      <c r="CR508" s="71"/>
      <c r="CS508" s="71"/>
      <c r="CT508" s="71"/>
      <c r="CU508" s="71"/>
      <c r="CV508" s="71"/>
      <c r="CW508" s="71"/>
      <c r="CX508" s="71"/>
      <c r="CY508" s="71"/>
      <c r="CZ508" s="71"/>
      <c r="DA508" s="71"/>
      <c r="DB508" s="71"/>
      <c r="DC508" s="71"/>
      <c r="DD508" s="71"/>
      <c r="DE508" s="71"/>
      <c r="DF508" s="71"/>
      <c r="DG508" s="71"/>
      <c r="DH508" s="71"/>
      <c r="DI508" s="71"/>
      <c r="DJ508" s="71"/>
      <c r="DK508" s="71"/>
      <c r="DL508" s="71"/>
      <c r="DM508" s="71"/>
      <c r="DN508" s="71"/>
      <c r="DO508" s="71"/>
      <c r="DP508" s="71"/>
      <c r="DQ508" s="71"/>
      <c r="DR508" s="71"/>
      <c r="DS508" s="71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  <c r="IJ508" s="71"/>
      <c r="IK508" s="71"/>
      <c r="IL508" s="71"/>
      <c r="IM508" s="71"/>
      <c r="IN508" s="71"/>
      <c r="IO508" s="71"/>
      <c r="IP508" s="71"/>
      <c r="IQ508" s="71"/>
      <c r="IR508" s="71"/>
      <c r="IS508" s="71"/>
      <c r="IT508" s="71"/>
      <c r="IU508" s="71"/>
      <c r="IV508" s="71"/>
      <c r="IW508" s="71"/>
    </row>
    <row r="509" customFormat="false" ht="12.75" hidden="false" customHeight="false" outlineLevel="0" collapsed="false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1"/>
      <c r="CH509" s="71"/>
      <c r="CI509" s="71"/>
      <c r="CJ509" s="71"/>
      <c r="CK509" s="71"/>
      <c r="CL509" s="71"/>
      <c r="CM509" s="71"/>
      <c r="CN509" s="71"/>
      <c r="CO509" s="71"/>
      <c r="CP509" s="71"/>
      <c r="CQ509" s="71"/>
      <c r="CR509" s="71"/>
      <c r="CS509" s="71"/>
      <c r="CT509" s="71"/>
      <c r="CU509" s="71"/>
      <c r="CV509" s="71"/>
      <c r="CW509" s="71"/>
      <c r="CX509" s="71"/>
      <c r="CY509" s="71"/>
      <c r="CZ509" s="71"/>
      <c r="DA509" s="71"/>
      <c r="DB509" s="71"/>
      <c r="DC509" s="71"/>
      <c r="DD509" s="71"/>
      <c r="DE509" s="71"/>
      <c r="DF509" s="71"/>
      <c r="DG509" s="71"/>
      <c r="DH509" s="71"/>
      <c r="DI509" s="71"/>
      <c r="DJ509" s="71"/>
      <c r="DK509" s="71"/>
      <c r="DL509" s="71"/>
      <c r="DM509" s="71"/>
      <c r="DN509" s="71"/>
      <c r="DO509" s="71"/>
      <c r="DP509" s="71"/>
      <c r="DQ509" s="71"/>
      <c r="DR509" s="71"/>
      <c r="DS509" s="71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  <c r="IJ509" s="71"/>
      <c r="IK509" s="71"/>
      <c r="IL509" s="71"/>
      <c r="IM509" s="71"/>
      <c r="IN509" s="71"/>
      <c r="IO509" s="71"/>
      <c r="IP509" s="71"/>
      <c r="IQ509" s="71"/>
      <c r="IR509" s="71"/>
      <c r="IS509" s="71"/>
      <c r="IT509" s="71"/>
      <c r="IU509" s="71"/>
      <c r="IV509" s="71"/>
      <c r="IW509" s="71"/>
    </row>
    <row r="510" customFormat="false" ht="12.75" hidden="false" customHeight="false" outlineLevel="0" collapsed="false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1"/>
      <c r="CG510" s="71"/>
      <c r="CH510" s="71"/>
      <c r="CI510" s="71"/>
      <c r="CJ510" s="71"/>
      <c r="CK510" s="71"/>
      <c r="CL510" s="71"/>
      <c r="CM510" s="71"/>
      <c r="CN510" s="71"/>
      <c r="CO510" s="71"/>
      <c r="CP510" s="71"/>
      <c r="CQ510" s="71"/>
      <c r="CR510" s="71"/>
      <c r="CS510" s="71"/>
      <c r="CT510" s="71"/>
      <c r="CU510" s="71"/>
      <c r="CV510" s="71"/>
      <c r="CW510" s="71"/>
      <c r="CX510" s="71"/>
      <c r="CY510" s="71"/>
      <c r="CZ510" s="71"/>
      <c r="DA510" s="71"/>
      <c r="DB510" s="71"/>
      <c r="DC510" s="71"/>
      <c r="DD510" s="71"/>
      <c r="DE510" s="71"/>
      <c r="DF510" s="71"/>
      <c r="DG510" s="71"/>
      <c r="DH510" s="71"/>
      <c r="DI510" s="71"/>
      <c r="DJ510" s="71"/>
      <c r="DK510" s="71"/>
      <c r="DL510" s="71"/>
      <c r="DM510" s="71"/>
      <c r="DN510" s="71"/>
      <c r="DO510" s="71"/>
      <c r="DP510" s="71"/>
      <c r="DQ510" s="71"/>
      <c r="DR510" s="71"/>
      <c r="DS510" s="71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  <c r="IJ510" s="71"/>
      <c r="IK510" s="71"/>
      <c r="IL510" s="71"/>
      <c r="IM510" s="71"/>
      <c r="IN510" s="71"/>
      <c r="IO510" s="71"/>
      <c r="IP510" s="71"/>
      <c r="IQ510" s="71"/>
      <c r="IR510" s="71"/>
      <c r="IS510" s="71"/>
      <c r="IT510" s="71"/>
      <c r="IU510" s="71"/>
      <c r="IV510" s="71"/>
      <c r="IW510" s="71"/>
    </row>
    <row r="511" customFormat="false" ht="12.75" hidden="false" customHeight="false" outlineLevel="0" collapsed="false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1"/>
      <c r="CG511" s="71"/>
      <c r="CH511" s="71"/>
      <c r="CI511" s="71"/>
      <c r="CJ511" s="71"/>
      <c r="CK511" s="71"/>
      <c r="CL511" s="71"/>
      <c r="CM511" s="71"/>
      <c r="CN511" s="71"/>
      <c r="CO511" s="71"/>
      <c r="CP511" s="71"/>
      <c r="CQ511" s="71"/>
      <c r="CR511" s="71"/>
      <c r="CS511" s="71"/>
      <c r="CT511" s="71"/>
      <c r="CU511" s="71"/>
      <c r="CV511" s="71"/>
      <c r="CW511" s="71"/>
      <c r="CX511" s="71"/>
      <c r="CY511" s="71"/>
      <c r="CZ511" s="71"/>
      <c r="DA511" s="71"/>
      <c r="DB511" s="71"/>
      <c r="DC511" s="71"/>
      <c r="DD511" s="71"/>
      <c r="DE511" s="71"/>
      <c r="DF511" s="71"/>
      <c r="DG511" s="71"/>
      <c r="DH511" s="71"/>
      <c r="DI511" s="71"/>
      <c r="DJ511" s="71"/>
      <c r="DK511" s="71"/>
      <c r="DL511" s="71"/>
      <c r="DM511" s="71"/>
      <c r="DN511" s="71"/>
      <c r="DO511" s="71"/>
      <c r="DP511" s="71"/>
      <c r="DQ511" s="71"/>
      <c r="DR511" s="71"/>
      <c r="DS511" s="71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  <c r="IJ511" s="71"/>
      <c r="IK511" s="71"/>
      <c r="IL511" s="71"/>
      <c r="IM511" s="71"/>
      <c r="IN511" s="71"/>
      <c r="IO511" s="71"/>
      <c r="IP511" s="71"/>
      <c r="IQ511" s="71"/>
      <c r="IR511" s="71"/>
      <c r="IS511" s="71"/>
      <c r="IT511" s="71"/>
      <c r="IU511" s="71"/>
      <c r="IV511" s="71"/>
      <c r="IW511" s="71"/>
    </row>
    <row r="512" customFormat="false" ht="12.75" hidden="false" customHeight="false" outlineLevel="0" collapsed="false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1"/>
      <c r="CH512" s="71"/>
      <c r="CI512" s="71"/>
      <c r="CJ512" s="71"/>
      <c r="CK512" s="71"/>
      <c r="CL512" s="71"/>
      <c r="CM512" s="71"/>
      <c r="CN512" s="71"/>
      <c r="CO512" s="71"/>
      <c r="CP512" s="71"/>
      <c r="CQ512" s="71"/>
      <c r="CR512" s="71"/>
      <c r="CS512" s="71"/>
      <c r="CT512" s="71"/>
      <c r="CU512" s="71"/>
      <c r="CV512" s="71"/>
      <c r="CW512" s="71"/>
      <c r="CX512" s="71"/>
      <c r="CY512" s="71"/>
      <c r="CZ512" s="71"/>
      <c r="DA512" s="71"/>
      <c r="DB512" s="71"/>
      <c r="DC512" s="71"/>
      <c r="DD512" s="71"/>
      <c r="DE512" s="71"/>
      <c r="DF512" s="71"/>
      <c r="DG512" s="71"/>
      <c r="DH512" s="71"/>
      <c r="DI512" s="71"/>
      <c r="DJ512" s="71"/>
      <c r="DK512" s="71"/>
      <c r="DL512" s="71"/>
      <c r="DM512" s="71"/>
      <c r="DN512" s="71"/>
      <c r="DO512" s="71"/>
      <c r="DP512" s="71"/>
      <c r="DQ512" s="71"/>
      <c r="DR512" s="71"/>
      <c r="DS512" s="71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  <c r="IJ512" s="71"/>
      <c r="IK512" s="71"/>
      <c r="IL512" s="71"/>
      <c r="IM512" s="71"/>
      <c r="IN512" s="71"/>
      <c r="IO512" s="71"/>
      <c r="IP512" s="71"/>
      <c r="IQ512" s="71"/>
      <c r="IR512" s="71"/>
      <c r="IS512" s="71"/>
      <c r="IT512" s="71"/>
      <c r="IU512" s="71"/>
      <c r="IV512" s="71"/>
      <c r="IW512" s="71"/>
    </row>
    <row r="513" customFormat="false" ht="12.75" hidden="false" customHeight="false" outlineLevel="0" collapsed="false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1"/>
      <c r="CH513" s="71"/>
      <c r="CI513" s="71"/>
      <c r="CJ513" s="71"/>
      <c r="CK513" s="71"/>
      <c r="CL513" s="71"/>
      <c r="CM513" s="71"/>
      <c r="CN513" s="71"/>
      <c r="CO513" s="71"/>
      <c r="CP513" s="71"/>
      <c r="CQ513" s="71"/>
      <c r="CR513" s="71"/>
      <c r="CS513" s="71"/>
      <c r="CT513" s="71"/>
      <c r="CU513" s="71"/>
      <c r="CV513" s="71"/>
      <c r="CW513" s="71"/>
      <c r="CX513" s="71"/>
      <c r="CY513" s="71"/>
      <c r="CZ513" s="71"/>
      <c r="DA513" s="71"/>
      <c r="DB513" s="71"/>
      <c r="DC513" s="71"/>
      <c r="DD513" s="71"/>
      <c r="DE513" s="71"/>
      <c r="DF513" s="71"/>
      <c r="DG513" s="71"/>
      <c r="DH513" s="71"/>
      <c r="DI513" s="71"/>
      <c r="DJ513" s="71"/>
      <c r="DK513" s="71"/>
      <c r="DL513" s="71"/>
      <c r="DM513" s="71"/>
      <c r="DN513" s="71"/>
      <c r="DO513" s="71"/>
      <c r="DP513" s="71"/>
      <c r="DQ513" s="71"/>
      <c r="DR513" s="71"/>
      <c r="DS513" s="71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  <c r="IJ513" s="71"/>
      <c r="IK513" s="71"/>
      <c r="IL513" s="71"/>
      <c r="IM513" s="71"/>
      <c r="IN513" s="71"/>
      <c r="IO513" s="71"/>
      <c r="IP513" s="71"/>
      <c r="IQ513" s="71"/>
      <c r="IR513" s="71"/>
      <c r="IS513" s="71"/>
      <c r="IT513" s="71"/>
      <c r="IU513" s="71"/>
      <c r="IV513" s="71"/>
      <c r="IW513" s="71"/>
    </row>
    <row r="514" customFormat="false" ht="12.75" hidden="false" customHeight="false" outlineLevel="0" collapsed="false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1"/>
      <c r="CH514" s="71"/>
      <c r="CI514" s="71"/>
      <c r="CJ514" s="71"/>
      <c r="CK514" s="71"/>
      <c r="CL514" s="71"/>
      <c r="CM514" s="71"/>
      <c r="CN514" s="71"/>
      <c r="CO514" s="71"/>
      <c r="CP514" s="71"/>
      <c r="CQ514" s="71"/>
      <c r="CR514" s="71"/>
      <c r="CS514" s="71"/>
      <c r="CT514" s="71"/>
      <c r="CU514" s="71"/>
      <c r="CV514" s="71"/>
      <c r="CW514" s="71"/>
      <c r="CX514" s="71"/>
      <c r="CY514" s="71"/>
      <c r="CZ514" s="71"/>
      <c r="DA514" s="71"/>
      <c r="DB514" s="71"/>
      <c r="DC514" s="71"/>
      <c r="DD514" s="71"/>
      <c r="DE514" s="71"/>
      <c r="DF514" s="71"/>
      <c r="DG514" s="71"/>
      <c r="DH514" s="71"/>
      <c r="DI514" s="71"/>
      <c r="DJ514" s="71"/>
      <c r="DK514" s="71"/>
      <c r="DL514" s="71"/>
      <c r="DM514" s="71"/>
      <c r="DN514" s="71"/>
      <c r="DO514" s="71"/>
      <c r="DP514" s="71"/>
      <c r="DQ514" s="71"/>
      <c r="DR514" s="71"/>
      <c r="DS514" s="71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  <c r="IJ514" s="71"/>
      <c r="IK514" s="71"/>
      <c r="IL514" s="71"/>
      <c r="IM514" s="71"/>
      <c r="IN514" s="71"/>
      <c r="IO514" s="71"/>
      <c r="IP514" s="71"/>
      <c r="IQ514" s="71"/>
      <c r="IR514" s="71"/>
      <c r="IS514" s="71"/>
      <c r="IT514" s="71"/>
      <c r="IU514" s="71"/>
      <c r="IV514" s="71"/>
      <c r="IW514" s="71"/>
    </row>
    <row r="515" customFormat="false" ht="12.75" hidden="false" customHeight="false" outlineLevel="0" collapsed="false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1"/>
      <c r="CH515" s="71"/>
      <c r="CI515" s="71"/>
      <c r="CJ515" s="71"/>
      <c r="CK515" s="71"/>
      <c r="CL515" s="71"/>
      <c r="CM515" s="71"/>
      <c r="CN515" s="71"/>
      <c r="CO515" s="71"/>
      <c r="CP515" s="71"/>
      <c r="CQ515" s="71"/>
      <c r="CR515" s="71"/>
      <c r="CS515" s="71"/>
      <c r="CT515" s="71"/>
      <c r="CU515" s="71"/>
      <c r="CV515" s="71"/>
      <c r="CW515" s="71"/>
      <c r="CX515" s="71"/>
      <c r="CY515" s="71"/>
      <c r="CZ515" s="71"/>
      <c r="DA515" s="71"/>
      <c r="DB515" s="71"/>
      <c r="DC515" s="71"/>
      <c r="DD515" s="71"/>
      <c r="DE515" s="71"/>
      <c r="DF515" s="71"/>
      <c r="DG515" s="71"/>
      <c r="DH515" s="71"/>
      <c r="DI515" s="71"/>
      <c r="DJ515" s="71"/>
      <c r="DK515" s="71"/>
      <c r="DL515" s="71"/>
      <c r="DM515" s="71"/>
      <c r="DN515" s="71"/>
      <c r="DO515" s="71"/>
      <c r="DP515" s="71"/>
      <c r="DQ515" s="71"/>
      <c r="DR515" s="71"/>
      <c r="DS515" s="71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  <c r="IJ515" s="71"/>
      <c r="IK515" s="71"/>
      <c r="IL515" s="71"/>
      <c r="IM515" s="71"/>
      <c r="IN515" s="71"/>
      <c r="IO515" s="71"/>
      <c r="IP515" s="71"/>
      <c r="IQ515" s="71"/>
      <c r="IR515" s="71"/>
      <c r="IS515" s="71"/>
      <c r="IT515" s="71"/>
      <c r="IU515" s="71"/>
      <c r="IV515" s="71"/>
      <c r="IW515" s="71"/>
    </row>
    <row r="516" customFormat="false" ht="12.75" hidden="false" customHeight="false" outlineLevel="0" collapsed="false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1"/>
      <c r="CF516" s="71"/>
      <c r="CG516" s="71"/>
      <c r="CH516" s="71"/>
      <c r="CI516" s="71"/>
      <c r="CJ516" s="71"/>
      <c r="CK516" s="71"/>
      <c r="CL516" s="71"/>
      <c r="CM516" s="71"/>
      <c r="CN516" s="71"/>
      <c r="CO516" s="71"/>
      <c r="CP516" s="71"/>
      <c r="CQ516" s="71"/>
      <c r="CR516" s="71"/>
      <c r="CS516" s="71"/>
      <c r="CT516" s="71"/>
      <c r="CU516" s="71"/>
      <c r="CV516" s="71"/>
      <c r="CW516" s="71"/>
      <c r="CX516" s="71"/>
      <c r="CY516" s="71"/>
      <c r="CZ516" s="71"/>
      <c r="DA516" s="71"/>
      <c r="DB516" s="71"/>
      <c r="DC516" s="71"/>
      <c r="DD516" s="71"/>
      <c r="DE516" s="71"/>
      <c r="DF516" s="71"/>
      <c r="DG516" s="71"/>
      <c r="DH516" s="71"/>
      <c r="DI516" s="71"/>
      <c r="DJ516" s="71"/>
      <c r="DK516" s="71"/>
      <c r="DL516" s="71"/>
      <c r="DM516" s="71"/>
      <c r="DN516" s="71"/>
      <c r="DO516" s="71"/>
      <c r="DP516" s="71"/>
      <c r="DQ516" s="71"/>
      <c r="DR516" s="71"/>
      <c r="DS516" s="71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  <c r="IJ516" s="71"/>
      <c r="IK516" s="71"/>
      <c r="IL516" s="71"/>
      <c r="IM516" s="71"/>
      <c r="IN516" s="71"/>
      <c r="IO516" s="71"/>
      <c r="IP516" s="71"/>
      <c r="IQ516" s="71"/>
      <c r="IR516" s="71"/>
      <c r="IS516" s="71"/>
      <c r="IT516" s="71"/>
      <c r="IU516" s="71"/>
      <c r="IV516" s="71"/>
      <c r="IW516" s="71"/>
    </row>
    <row r="517" customFormat="false" ht="12.75" hidden="false" customHeight="false" outlineLevel="0" collapsed="false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/>
      <c r="CP517" s="71"/>
      <c r="CQ517" s="71"/>
      <c r="CR517" s="71"/>
      <c r="CS517" s="71"/>
      <c r="CT517" s="71"/>
      <c r="CU517" s="71"/>
      <c r="CV517" s="71"/>
      <c r="CW517" s="71"/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  <c r="DN517" s="71"/>
      <c r="DO517" s="71"/>
      <c r="DP517" s="71"/>
      <c r="DQ517" s="71"/>
      <c r="DR517" s="71"/>
      <c r="DS517" s="71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  <c r="IJ517" s="71"/>
      <c r="IK517" s="71"/>
      <c r="IL517" s="71"/>
      <c r="IM517" s="71"/>
      <c r="IN517" s="71"/>
      <c r="IO517" s="71"/>
      <c r="IP517" s="71"/>
      <c r="IQ517" s="71"/>
      <c r="IR517" s="71"/>
      <c r="IS517" s="71"/>
      <c r="IT517" s="71"/>
      <c r="IU517" s="71"/>
      <c r="IV517" s="71"/>
      <c r="IW517" s="71"/>
    </row>
    <row r="518" customFormat="false" ht="12.75" hidden="false" customHeight="false" outlineLevel="0" collapsed="false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1"/>
      <c r="CG518" s="71"/>
      <c r="CH518" s="71"/>
      <c r="CI518" s="71"/>
      <c r="CJ518" s="71"/>
      <c r="CK518" s="71"/>
      <c r="CL518" s="71"/>
      <c r="CM518" s="71"/>
      <c r="CN518" s="71"/>
      <c r="CO518" s="71"/>
      <c r="CP518" s="71"/>
      <c r="CQ518" s="71"/>
      <c r="CR518" s="71"/>
      <c r="CS518" s="71"/>
      <c r="CT518" s="71"/>
      <c r="CU518" s="71"/>
      <c r="CV518" s="71"/>
      <c r="CW518" s="71"/>
      <c r="CX518" s="71"/>
      <c r="CY518" s="71"/>
      <c r="CZ518" s="71"/>
      <c r="DA518" s="71"/>
      <c r="DB518" s="71"/>
      <c r="DC518" s="71"/>
      <c r="DD518" s="71"/>
      <c r="DE518" s="71"/>
      <c r="DF518" s="71"/>
      <c r="DG518" s="71"/>
      <c r="DH518" s="71"/>
      <c r="DI518" s="71"/>
      <c r="DJ518" s="71"/>
      <c r="DK518" s="71"/>
      <c r="DL518" s="71"/>
      <c r="DM518" s="71"/>
      <c r="DN518" s="71"/>
      <c r="DO518" s="71"/>
      <c r="DP518" s="71"/>
      <c r="DQ518" s="71"/>
      <c r="DR518" s="71"/>
      <c r="DS518" s="71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  <c r="IJ518" s="71"/>
      <c r="IK518" s="71"/>
      <c r="IL518" s="71"/>
      <c r="IM518" s="71"/>
      <c r="IN518" s="71"/>
      <c r="IO518" s="71"/>
      <c r="IP518" s="71"/>
      <c r="IQ518" s="71"/>
      <c r="IR518" s="71"/>
      <c r="IS518" s="71"/>
      <c r="IT518" s="71"/>
      <c r="IU518" s="71"/>
      <c r="IV518" s="71"/>
      <c r="IW518" s="71"/>
    </row>
    <row r="519" customFormat="false" ht="12.75" hidden="false" customHeight="false" outlineLevel="0" collapsed="false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1"/>
      <c r="CH519" s="71"/>
      <c r="CI519" s="71"/>
      <c r="CJ519" s="71"/>
      <c r="CK519" s="71"/>
      <c r="CL519" s="71"/>
      <c r="CM519" s="71"/>
      <c r="CN519" s="71"/>
      <c r="CO519" s="71"/>
      <c r="CP519" s="71"/>
      <c r="CQ519" s="71"/>
      <c r="CR519" s="71"/>
      <c r="CS519" s="71"/>
      <c r="CT519" s="71"/>
      <c r="CU519" s="71"/>
      <c r="CV519" s="71"/>
      <c r="CW519" s="71"/>
      <c r="CX519" s="71"/>
      <c r="CY519" s="71"/>
      <c r="CZ519" s="71"/>
      <c r="DA519" s="71"/>
      <c r="DB519" s="71"/>
      <c r="DC519" s="71"/>
      <c r="DD519" s="71"/>
      <c r="DE519" s="71"/>
      <c r="DF519" s="71"/>
      <c r="DG519" s="71"/>
      <c r="DH519" s="71"/>
      <c r="DI519" s="71"/>
      <c r="DJ519" s="71"/>
      <c r="DK519" s="71"/>
      <c r="DL519" s="71"/>
      <c r="DM519" s="71"/>
      <c r="DN519" s="71"/>
      <c r="DO519" s="71"/>
      <c r="DP519" s="71"/>
      <c r="DQ519" s="71"/>
      <c r="DR519" s="71"/>
      <c r="DS519" s="71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  <c r="IJ519" s="71"/>
      <c r="IK519" s="71"/>
      <c r="IL519" s="71"/>
      <c r="IM519" s="71"/>
      <c r="IN519" s="71"/>
      <c r="IO519" s="71"/>
      <c r="IP519" s="71"/>
      <c r="IQ519" s="71"/>
      <c r="IR519" s="71"/>
      <c r="IS519" s="71"/>
      <c r="IT519" s="71"/>
      <c r="IU519" s="71"/>
      <c r="IV519" s="71"/>
      <c r="IW519" s="71"/>
    </row>
    <row r="520" customFormat="false" ht="12.75" hidden="false" customHeight="false" outlineLevel="0" collapsed="false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1"/>
      <c r="CG520" s="71"/>
      <c r="CH520" s="71"/>
      <c r="CI520" s="71"/>
      <c r="CJ520" s="71"/>
      <c r="CK520" s="71"/>
      <c r="CL520" s="71"/>
      <c r="CM520" s="71"/>
      <c r="CN520" s="71"/>
      <c r="CO520" s="71"/>
      <c r="CP520" s="71"/>
      <c r="CQ520" s="71"/>
      <c r="CR520" s="71"/>
      <c r="CS520" s="71"/>
      <c r="CT520" s="71"/>
      <c r="CU520" s="71"/>
      <c r="CV520" s="71"/>
      <c r="CW520" s="71"/>
      <c r="CX520" s="71"/>
      <c r="CY520" s="71"/>
      <c r="CZ520" s="71"/>
      <c r="DA520" s="71"/>
      <c r="DB520" s="71"/>
      <c r="DC520" s="71"/>
      <c r="DD520" s="71"/>
      <c r="DE520" s="71"/>
      <c r="DF520" s="71"/>
      <c r="DG520" s="71"/>
      <c r="DH520" s="71"/>
      <c r="DI520" s="71"/>
      <c r="DJ520" s="71"/>
      <c r="DK520" s="71"/>
      <c r="DL520" s="71"/>
      <c r="DM520" s="71"/>
      <c r="DN520" s="71"/>
      <c r="DO520" s="71"/>
      <c r="DP520" s="71"/>
      <c r="DQ520" s="71"/>
      <c r="DR520" s="71"/>
      <c r="DS520" s="71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  <c r="IJ520" s="71"/>
      <c r="IK520" s="71"/>
      <c r="IL520" s="71"/>
      <c r="IM520" s="71"/>
      <c r="IN520" s="71"/>
      <c r="IO520" s="71"/>
      <c r="IP520" s="71"/>
      <c r="IQ520" s="71"/>
      <c r="IR520" s="71"/>
      <c r="IS520" s="71"/>
      <c r="IT520" s="71"/>
      <c r="IU520" s="71"/>
      <c r="IV520" s="71"/>
      <c r="IW520" s="71"/>
    </row>
    <row r="521" customFormat="false" ht="12.75" hidden="false" customHeight="false" outlineLevel="0" collapsed="false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1"/>
      <c r="CG521" s="71"/>
      <c r="CH521" s="71"/>
      <c r="CI521" s="71"/>
      <c r="CJ521" s="71"/>
      <c r="CK521" s="71"/>
      <c r="CL521" s="71"/>
      <c r="CM521" s="71"/>
      <c r="CN521" s="71"/>
      <c r="CO521" s="71"/>
      <c r="CP521" s="71"/>
      <c r="CQ521" s="71"/>
      <c r="CR521" s="71"/>
      <c r="CS521" s="71"/>
      <c r="CT521" s="71"/>
      <c r="CU521" s="71"/>
      <c r="CV521" s="71"/>
      <c r="CW521" s="71"/>
      <c r="CX521" s="71"/>
      <c r="CY521" s="71"/>
      <c r="CZ521" s="71"/>
      <c r="DA521" s="71"/>
      <c r="DB521" s="71"/>
      <c r="DC521" s="71"/>
      <c r="DD521" s="71"/>
      <c r="DE521" s="71"/>
      <c r="DF521" s="71"/>
      <c r="DG521" s="71"/>
      <c r="DH521" s="71"/>
      <c r="DI521" s="71"/>
      <c r="DJ521" s="71"/>
      <c r="DK521" s="71"/>
      <c r="DL521" s="71"/>
      <c r="DM521" s="71"/>
      <c r="DN521" s="71"/>
      <c r="DO521" s="71"/>
      <c r="DP521" s="71"/>
      <c r="DQ521" s="71"/>
      <c r="DR521" s="71"/>
      <c r="DS521" s="71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  <c r="IJ521" s="71"/>
      <c r="IK521" s="71"/>
      <c r="IL521" s="71"/>
      <c r="IM521" s="71"/>
      <c r="IN521" s="71"/>
      <c r="IO521" s="71"/>
      <c r="IP521" s="71"/>
      <c r="IQ521" s="71"/>
      <c r="IR521" s="71"/>
      <c r="IS521" s="71"/>
      <c r="IT521" s="71"/>
      <c r="IU521" s="71"/>
      <c r="IV521" s="71"/>
      <c r="IW521" s="71"/>
    </row>
    <row r="522" customFormat="false" ht="12.75" hidden="false" customHeight="false" outlineLevel="0" collapsed="false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1"/>
      <c r="CG522" s="71"/>
      <c r="CH522" s="71"/>
      <c r="CI522" s="71"/>
      <c r="CJ522" s="71"/>
      <c r="CK522" s="71"/>
      <c r="CL522" s="71"/>
      <c r="CM522" s="71"/>
      <c r="CN522" s="71"/>
      <c r="CO522" s="71"/>
      <c r="CP522" s="71"/>
      <c r="CQ522" s="71"/>
      <c r="CR522" s="71"/>
      <c r="CS522" s="71"/>
      <c r="CT522" s="71"/>
      <c r="CU522" s="71"/>
      <c r="CV522" s="71"/>
      <c r="CW522" s="71"/>
      <c r="CX522" s="71"/>
      <c r="CY522" s="71"/>
      <c r="CZ522" s="71"/>
      <c r="DA522" s="71"/>
      <c r="DB522" s="71"/>
      <c r="DC522" s="71"/>
      <c r="DD522" s="71"/>
      <c r="DE522" s="71"/>
      <c r="DF522" s="71"/>
      <c r="DG522" s="71"/>
      <c r="DH522" s="71"/>
      <c r="DI522" s="71"/>
      <c r="DJ522" s="71"/>
      <c r="DK522" s="71"/>
      <c r="DL522" s="71"/>
      <c r="DM522" s="71"/>
      <c r="DN522" s="71"/>
      <c r="DO522" s="71"/>
      <c r="DP522" s="71"/>
      <c r="DQ522" s="71"/>
      <c r="DR522" s="71"/>
      <c r="DS522" s="71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  <c r="IJ522" s="71"/>
      <c r="IK522" s="71"/>
      <c r="IL522" s="71"/>
      <c r="IM522" s="71"/>
      <c r="IN522" s="71"/>
      <c r="IO522" s="71"/>
      <c r="IP522" s="71"/>
      <c r="IQ522" s="71"/>
      <c r="IR522" s="71"/>
      <c r="IS522" s="71"/>
      <c r="IT522" s="71"/>
      <c r="IU522" s="71"/>
      <c r="IV522" s="71"/>
      <c r="IW522" s="71"/>
    </row>
    <row r="523" customFormat="false" ht="12.75" hidden="false" customHeight="false" outlineLevel="0" collapsed="false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1"/>
      <c r="CH523" s="71"/>
      <c r="CI523" s="71"/>
      <c r="CJ523" s="71"/>
      <c r="CK523" s="71"/>
      <c r="CL523" s="71"/>
      <c r="CM523" s="71"/>
      <c r="CN523" s="71"/>
      <c r="CO523" s="71"/>
      <c r="CP523" s="71"/>
      <c r="CQ523" s="71"/>
      <c r="CR523" s="71"/>
      <c r="CS523" s="71"/>
      <c r="CT523" s="71"/>
      <c r="CU523" s="71"/>
      <c r="CV523" s="71"/>
      <c r="CW523" s="71"/>
      <c r="CX523" s="71"/>
      <c r="CY523" s="71"/>
      <c r="CZ523" s="71"/>
      <c r="DA523" s="71"/>
      <c r="DB523" s="71"/>
      <c r="DC523" s="71"/>
      <c r="DD523" s="71"/>
      <c r="DE523" s="71"/>
      <c r="DF523" s="71"/>
      <c r="DG523" s="71"/>
      <c r="DH523" s="71"/>
      <c r="DI523" s="71"/>
      <c r="DJ523" s="71"/>
      <c r="DK523" s="71"/>
      <c r="DL523" s="71"/>
      <c r="DM523" s="71"/>
      <c r="DN523" s="71"/>
      <c r="DO523" s="71"/>
      <c r="DP523" s="71"/>
      <c r="DQ523" s="71"/>
      <c r="DR523" s="71"/>
      <c r="DS523" s="71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  <c r="IJ523" s="71"/>
      <c r="IK523" s="71"/>
      <c r="IL523" s="71"/>
      <c r="IM523" s="71"/>
      <c r="IN523" s="71"/>
      <c r="IO523" s="71"/>
      <c r="IP523" s="71"/>
      <c r="IQ523" s="71"/>
      <c r="IR523" s="71"/>
      <c r="IS523" s="71"/>
      <c r="IT523" s="71"/>
      <c r="IU523" s="71"/>
      <c r="IV523" s="71"/>
      <c r="IW523" s="71"/>
    </row>
    <row r="524" customFormat="false" ht="12.75" hidden="false" customHeight="false" outlineLevel="0" collapsed="false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1"/>
      <c r="CH524" s="71"/>
      <c r="CI524" s="71"/>
      <c r="CJ524" s="71"/>
      <c r="CK524" s="71"/>
      <c r="CL524" s="71"/>
      <c r="CM524" s="71"/>
      <c r="CN524" s="71"/>
      <c r="CO524" s="71"/>
      <c r="CP524" s="71"/>
      <c r="CQ524" s="71"/>
      <c r="CR524" s="71"/>
      <c r="CS524" s="71"/>
      <c r="CT524" s="71"/>
      <c r="CU524" s="71"/>
      <c r="CV524" s="71"/>
      <c r="CW524" s="71"/>
      <c r="CX524" s="71"/>
      <c r="CY524" s="71"/>
      <c r="CZ524" s="71"/>
      <c r="DA524" s="71"/>
      <c r="DB524" s="71"/>
      <c r="DC524" s="71"/>
      <c r="DD524" s="71"/>
      <c r="DE524" s="71"/>
      <c r="DF524" s="71"/>
      <c r="DG524" s="71"/>
      <c r="DH524" s="71"/>
      <c r="DI524" s="71"/>
      <c r="DJ524" s="71"/>
      <c r="DK524" s="71"/>
      <c r="DL524" s="71"/>
      <c r="DM524" s="71"/>
      <c r="DN524" s="71"/>
      <c r="DO524" s="71"/>
      <c r="DP524" s="71"/>
      <c r="DQ524" s="71"/>
      <c r="DR524" s="71"/>
      <c r="DS524" s="71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  <c r="IJ524" s="71"/>
      <c r="IK524" s="71"/>
      <c r="IL524" s="71"/>
      <c r="IM524" s="71"/>
      <c r="IN524" s="71"/>
      <c r="IO524" s="71"/>
      <c r="IP524" s="71"/>
      <c r="IQ524" s="71"/>
      <c r="IR524" s="71"/>
      <c r="IS524" s="71"/>
      <c r="IT524" s="71"/>
      <c r="IU524" s="71"/>
      <c r="IV524" s="71"/>
      <c r="IW524" s="71"/>
    </row>
    <row r="525" customFormat="false" ht="12.75" hidden="false" customHeight="false" outlineLevel="0" collapsed="false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1"/>
      <c r="CH525" s="71"/>
      <c r="CI525" s="71"/>
      <c r="CJ525" s="71"/>
      <c r="CK525" s="71"/>
      <c r="CL525" s="71"/>
      <c r="CM525" s="71"/>
      <c r="CN525" s="71"/>
      <c r="CO525" s="71"/>
      <c r="CP525" s="71"/>
      <c r="CQ525" s="71"/>
      <c r="CR525" s="71"/>
      <c r="CS525" s="71"/>
      <c r="CT525" s="71"/>
      <c r="CU525" s="71"/>
      <c r="CV525" s="71"/>
      <c r="CW525" s="71"/>
      <c r="CX525" s="71"/>
      <c r="CY525" s="71"/>
      <c r="CZ525" s="71"/>
      <c r="DA525" s="71"/>
      <c r="DB525" s="71"/>
      <c r="DC525" s="71"/>
      <c r="DD525" s="71"/>
      <c r="DE525" s="71"/>
      <c r="DF525" s="71"/>
      <c r="DG525" s="71"/>
      <c r="DH525" s="71"/>
      <c r="DI525" s="71"/>
      <c r="DJ525" s="71"/>
      <c r="DK525" s="71"/>
      <c r="DL525" s="71"/>
      <c r="DM525" s="71"/>
      <c r="DN525" s="71"/>
      <c r="DO525" s="71"/>
      <c r="DP525" s="71"/>
      <c r="DQ525" s="71"/>
      <c r="DR525" s="71"/>
      <c r="DS525" s="71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  <c r="IJ525" s="71"/>
      <c r="IK525" s="71"/>
      <c r="IL525" s="71"/>
      <c r="IM525" s="71"/>
      <c r="IN525" s="71"/>
      <c r="IO525" s="71"/>
      <c r="IP525" s="71"/>
      <c r="IQ525" s="71"/>
      <c r="IR525" s="71"/>
      <c r="IS525" s="71"/>
      <c r="IT525" s="71"/>
      <c r="IU525" s="71"/>
      <c r="IV525" s="71"/>
      <c r="IW525" s="71"/>
    </row>
    <row r="526" customFormat="false" ht="12.75" hidden="false" customHeight="false" outlineLevel="0" collapsed="false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1"/>
      <c r="CH526" s="71"/>
      <c r="CI526" s="71"/>
      <c r="CJ526" s="71"/>
      <c r="CK526" s="71"/>
      <c r="CL526" s="71"/>
      <c r="CM526" s="71"/>
      <c r="CN526" s="71"/>
      <c r="CO526" s="71"/>
      <c r="CP526" s="71"/>
      <c r="CQ526" s="71"/>
      <c r="CR526" s="71"/>
      <c r="CS526" s="71"/>
      <c r="CT526" s="71"/>
      <c r="CU526" s="71"/>
      <c r="CV526" s="71"/>
      <c r="CW526" s="71"/>
      <c r="CX526" s="71"/>
      <c r="CY526" s="71"/>
      <c r="CZ526" s="71"/>
      <c r="DA526" s="71"/>
      <c r="DB526" s="71"/>
      <c r="DC526" s="71"/>
      <c r="DD526" s="71"/>
      <c r="DE526" s="71"/>
      <c r="DF526" s="71"/>
      <c r="DG526" s="71"/>
      <c r="DH526" s="71"/>
      <c r="DI526" s="71"/>
      <c r="DJ526" s="71"/>
      <c r="DK526" s="71"/>
      <c r="DL526" s="71"/>
      <c r="DM526" s="71"/>
      <c r="DN526" s="71"/>
      <c r="DO526" s="71"/>
      <c r="DP526" s="71"/>
      <c r="DQ526" s="71"/>
      <c r="DR526" s="71"/>
      <c r="DS526" s="71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  <c r="IJ526" s="71"/>
      <c r="IK526" s="71"/>
      <c r="IL526" s="71"/>
      <c r="IM526" s="71"/>
      <c r="IN526" s="71"/>
      <c r="IO526" s="71"/>
      <c r="IP526" s="71"/>
      <c r="IQ526" s="71"/>
      <c r="IR526" s="71"/>
      <c r="IS526" s="71"/>
      <c r="IT526" s="71"/>
      <c r="IU526" s="71"/>
      <c r="IV526" s="71"/>
      <c r="IW526" s="71"/>
    </row>
    <row r="527" customFormat="false" ht="12.75" hidden="false" customHeight="false" outlineLevel="0" collapsed="false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/>
      <c r="CP527" s="71"/>
      <c r="CQ527" s="71"/>
      <c r="CR527" s="71"/>
      <c r="CS527" s="71"/>
      <c r="CT527" s="71"/>
      <c r="CU527" s="71"/>
      <c r="CV527" s="71"/>
      <c r="CW527" s="71"/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  <c r="DN527" s="71"/>
      <c r="DO527" s="71"/>
      <c r="DP527" s="71"/>
      <c r="DQ527" s="71"/>
      <c r="DR527" s="71"/>
      <c r="DS527" s="71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  <c r="IJ527" s="71"/>
      <c r="IK527" s="71"/>
      <c r="IL527" s="71"/>
      <c r="IM527" s="71"/>
      <c r="IN527" s="71"/>
      <c r="IO527" s="71"/>
      <c r="IP527" s="71"/>
      <c r="IQ527" s="71"/>
      <c r="IR527" s="71"/>
      <c r="IS527" s="71"/>
      <c r="IT527" s="71"/>
      <c r="IU527" s="71"/>
      <c r="IV527" s="71"/>
      <c r="IW527" s="71"/>
    </row>
    <row r="528" customFormat="false" ht="12.75" hidden="false" customHeight="false" outlineLevel="0" collapsed="false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1"/>
      <c r="CG528" s="71"/>
      <c r="CH528" s="71"/>
      <c r="CI528" s="71"/>
      <c r="CJ528" s="71"/>
      <c r="CK528" s="71"/>
      <c r="CL528" s="71"/>
      <c r="CM528" s="71"/>
      <c r="CN528" s="71"/>
      <c r="CO528" s="71"/>
      <c r="CP528" s="71"/>
      <c r="CQ528" s="71"/>
      <c r="CR528" s="71"/>
      <c r="CS528" s="71"/>
      <c r="CT528" s="71"/>
      <c r="CU528" s="71"/>
      <c r="CV528" s="71"/>
      <c r="CW528" s="71"/>
      <c r="CX528" s="71"/>
      <c r="CY528" s="71"/>
      <c r="CZ528" s="71"/>
      <c r="DA528" s="71"/>
      <c r="DB528" s="71"/>
      <c r="DC528" s="71"/>
      <c r="DD528" s="71"/>
      <c r="DE528" s="71"/>
      <c r="DF528" s="71"/>
      <c r="DG528" s="71"/>
      <c r="DH528" s="71"/>
      <c r="DI528" s="71"/>
      <c r="DJ528" s="71"/>
      <c r="DK528" s="71"/>
      <c r="DL528" s="71"/>
      <c r="DM528" s="71"/>
      <c r="DN528" s="71"/>
      <c r="DO528" s="71"/>
      <c r="DP528" s="71"/>
      <c r="DQ528" s="71"/>
      <c r="DR528" s="71"/>
      <c r="DS528" s="71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  <c r="IJ528" s="71"/>
      <c r="IK528" s="71"/>
      <c r="IL528" s="71"/>
      <c r="IM528" s="71"/>
      <c r="IN528" s="71"/>
      <c r="IO528" s="71"/>
      <c r="IP528" s="71"/>
      <c r="IQ528" s="71"/>
      <c r="IR528" s="71"/>
      <c r="IS528" s="71"/>
      <c r="IT528" s="71"/>
      <c r="IU528" s="71"/>
      <c r="IV528" s="71"/>
      <c r="IW528" s="71"/>
    </row>
    <row r="529" customFormat="false" ht="12.75" hidden="false" customHeight="false" outlineLevel="0" collapsed="false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1"/>
      <c r="CH529" s="71"/>
      <c r="CI529" s="71"/>
      <c r="CJ529" s="71"/>
      <c r="CK529" s="71"/>
      <c r="CL529" s="71"/>
      <c r="CM529" s="71"/>
      <c r="CN529" s="71"/>
      <c r="CO529" s="71"/>
      <c r="CP529" s="71"/>
      <c r="CQ529" s="71"/>
      <c r="CR529" s="71"/>
      <c r="CS529" s="71"/>
      <c r="CT529" s="71"/>
      <c r="CU529" s="71"/>
      <c r="CV529" s="71"/>
      <c r="CW529" s="71"/>
      <c r="CX529" s="71"/>
      <c r="CY529" s="71"/>
      <c r="CZ529" s="71"/>
      <c r="DA529" s="71"/>
      <c r="DB529" s="71"/>
      <c r="DC529" s="71"/>
      <c r="DD529" s="71"/>
      <c r="DE529" s="71"/>
      <c r="DF529" s="71"/>
      <c r="DG529" s="71"/>
      <c r="DH529" s="71"/>
      <c r="DI529" s="71"/>
      <c r="DJ529" s="71"/>
      <c r="DK529" s="71"/>
      <c r="DL529" s="71"/>
      <c r="DM529" s="71"/>
      <c r="DN529" s="71"/>
      <c r="DO529" s="71"/>
      <c r="DP529" s="71"/>
      <c r="DQ529" s="71"/>
      <c r="DR529" s="71"/>
      <c r="DS529" s="71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  <c r="IJ529" s="71"/>
      <c r="IK529" s="71"/>
      <c r="IL529" s="71"/>
      <c r="IM529" s="71"/>
      <c r="IN529" s="71"/>
      <c r="IO529" s="71"/>
      <c r="IP529" s="71"/>
      <c r="IQ529" s="71"/>
      <c r="IR529" s="71"/>
      <c r="IS529" s="71"/>
      <c r="IT529" s="71"/>
      <c r="IU529" s="71"/>
      <c r="IV529" s="71"/>
      <c r="IW529" s="71"/>
    </row>
    <row r="530" customFormat="false" ht="12.75" hidden="false" customHeight="false" outlineLevel="0" collapsed="false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1"/>
      <c r="CH530" s="71"/>
      <c r="CI530" s="71"/>
      <c r="CJ530" s="71"/>
      <c r="CK530" s="71"/>
      <c r="CL530" s="71"/>
      <c r="CM530" s="71"/>
      <c r="CN530" s="71"/>
      <c r="CO530" s="71"/>
      <c r="CP530" s="71"/>
      <c r="CQ530" s="71"/>
      <c r="CR530" s="71"/>
      <c r="CS530" s="71"/>
      <c r="CT530" s="71"/>
      <c r="CU530" s="71"/>
      <c r="CV530" s="71"/>
      <c r="CW530" s="71"/>
      <c r="CX530" s="71"/>
      <c r="CY530" s="71"/>
      <c r="CZ530" s="71"/>
      <c r="DA530" s="71"/>
      <c r="DB530" s="71"/>
      <c r="DC530" s="71"/>
      <c r="DD530" s="71"/>
      <c r="DE530" s="71"/>
      <c r="DF530" s="71"/>
      <c r="DG530" s="71"/>
      <c r="DH530" s="71"/>
      <c r="DI530" s="71"/>
      <c r="DJ530" s="71"/>
      <c r="DK530" s="71"/>
      <c r="DL530" s="71"/>
      <c r="DM530" s="71"/>
      <c r="DN530" s="71"/>
      <c r="DO530" s="71"/>
      <c r="DP530" s="71"/>
      <c r="DQ530" s="71"/>
      <c r="DR530" s="71"/>
      <c r="DS530" s="71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  <c r="IJ530" s="71"/>
      <c r="IK530" s="71"/>
      <c r="IL530" s="71"/>
      <c r="IM530" s="71"/>
      <c r="IN530" s="71"/>
      <c r="IO530" s="71"/>
      <c r="IP530" s="71"/>
      <c r="IQ530" s="71"/>
      <c r="IR530" s="71"/>
      <c r="IS530" s="71"/>
      <c r="IT530" s="71"/>
      <c r="IU530" s="71"/>
      <c r="IV530" s="71"/>
      <c r="IW530" s="71"/>
    </row>
    <row r="531" customFormat="false" ht="12.75" hidden="false" customHeight="false" outlineLevel="0" collapsed="false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1"/>
      <c r="CG531" s="71"/>
      <c r="CH531" s="71"/>
      <c r="CI531" s="71"/>
      <c r="CJ531" s="71"/>
      <c r="CK531" s="71"/>
      <c r="CL531" s="71"/>
      <c r="CM531" s="71"/>
      <c r="CN531" s="71"/>
      <c r="CO531" s="71"/>
      <c r="CP531" s="71"/>
      <c r="CQ531" s="71"/>
      <c r="CR531" s="71"/>
      <c r="CS531" s="71"/>
      <c r="CT531" s="71"/>
      <c r="CU531" s="71"/>
      <c r="CV531" s="71"/>
      <c r="CW531" s="71"/>
      <c r="CX531" s="71"/>
      <c r="CY531" s="71"/>
      <c r="CZ531" s="71"/>
      <c r="DA531" s="71"/>
      <c r="DB531" s="71"/>
      <c r="DC531" s="71"/>
      <c r="DD531" s="71"/>
      <c r="DE531" s="71"/>
      <c r="DF531" s="71"/>
      <c r="DG531" s="71"/>
      <c r="DH531" s="71"/>
      <c r="DI531" s="71"/>
      <c r="DJ531" s="71"/>
      <c r="DK531" s="71"/>
      <c r="DL531" s="71"/>
      <c r="DM531" s="71"/>
      <c r="DN531" s="71"/>
      <c r="DO531" s="71"/>
      <c r="DP531" s="71"/>
      <c r="DQ531" s="71"/>
      <c r="DR531" s="71"/>
      <c r="DS531" s="71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  <c r="IJ531" s="71"/>
      <c r="IK531" s="71"/>
      <c r="IL531" s="71"/>
      <c r="IM531" s="71"/>
      <c r="IN531" s="71"/>
      <c r="IO531" s="71"/>
      <c r="IP531" s="71"/>
      <c r="IQ531" s="71"/>
      <c r="IR531" s="71"/>
      <c r="IS531" s="71"/>
      <c r="IT531" s="71"/>
      <c r="IU531" s="71"/>
      <c r="IV531" s="71"/>
      <c r="IW531" s="71"/>
    </row>
    <row r="532" customFormat="false" ht="12.75" hidden="false" customHeight="false" outlineLevel="0" collapsed="false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1"/>
      <c r="CH532" s="71"/>
      <c r="CI532" s="71"/>
      <c r="CJ532" s="71"/>
      <c r="CK532" s="71"/>
      <c r="CL532" s="71"/>
      <c r="CM532" s="71"/>
      <c r="CN532" s="71"/>
      <c r="CO532" s="71"/>
      <c r="CP532" s="71"/>
      <c r="CQ532" s="71"/>
      <c r="CR532" s="71"/>
      <c r="CS532" s="71"/>
      <c r="CT532" s="71"/>
      <c r="CU532" s="71"/>
      <c r="CV532" s="71"/>
      <c r="CW532" s="71"/>
      <c r="CX532" s="71"/>
      <c r="CY532" s="71"/>
      <c r="CZ532" s="71"/>
      <c r="DA532" s="71"/>
      <c r="DB532" s="71"/>
      <c r="DC532" s="71"/>
      <c r="DD532" s="71"/>
      <c r="DE532" s="71"/>
      <c r="DF532" s="71"/>
      <c r="DG532" s="71"/>
      <c r="DH532" s="71"/>
      <c r="DI532" s="71"/>
      <c r="DJ532" s="71"/>
      <c r="DK532" s="71"/>
      <c r="DL532" s="71"/>
      <c r="DM532" s="71"/>
      <c r="DN532" s="71"/>
      <c r="DO532" s="71"/>
      <c r="DP532" s="71"/>
      <c r="DQ532" s="71"/>
      <c r="DR532" s="71"/>
      <c r="DS532" s="71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  <c r="IJ532" s="71"/>
      <c r="IK532" s="71"/>
      <c r="IL532" s="71"/>
      <c r="IM532" s="71"/>
      <c r="IN532" s="71"/>
      <c r="IO532" s="71"/>
      <c r="IP532" s="71"/>
      <c r="IQ532" s="71"/>
      <c r="IR532" s="71"/>
      <c r="IS532" s="71"/>
      <c r="IT532" s="71"/>
      <c r="IU532" s="71"/>
      <c r="IV532" s="71"/>
      <c r="IW532" s="71"/>
    </row>
    <row r="533" customFormat="false" ht="12.75" hidden="false" customHeight="false" outlineLevel="0" collapsed="false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1"/>
      <c r="CH533" s="71"/>
      <c r="CI533" s="71"/>
      <c r="CJ533" s="71"/>
      <c r="CK533" s="71"/>
      <c r="CL533" s="71"/>
      <c r="CM533" s="71"/>
      <c r="CN533" s="71"/>
      <c r="CO533" s="71"/>
      <c r="CP533" s="71"/>
      <c r="CQ533" s="71"/>
      <c r="CR533" s="71"/>
      <c r="CS533" s="71"/>
      <c r="CT533" s="71"/>
      <c r="CU533" s="71"/>
      <c r="CV533" s="71"/>
      <c r="CW533" s="71"/>
      <c r="CX533" s="71"/>
      <c r="CY533" s="71"/>
      <c r="CZ533" s="71"/>
      <c r="DA533" s="71"/>
      <c r="DB533" s="71"/>
      <c r="DC533" s="71"/>
      <c r="DD533" s="71"/>
      <c r="DE533" s="71"/>
      <c r="DF533" s="71"/>
      <c r="DG533" s="71"/>
      <c r="DH533" s="71"/>
      <c r="DI533" s="71"/>
      <c r="DJ533" s="71"/>
      <c r="DK533" s="71"/>
      <c r="DL533" s="71"/>
      <c r="DM533" s="71"/>
      <c r="DN533" s="71"/>
      <c r="DO533" s="71"/>
      <c r="DP533" s="71"/>
      <c r="DQ533" s="71"/>
      <c r="DR533" s="71"/>
      <c r="DS533" s="71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  <c r="IJ533" s="71"/>
      <c r="IK533" s="71"/>
      <c r="IL533" s="71"/>
      <c r="IM533" s="71"/>
      <c r="IN533" s="71"/>
      <c r="IO533" s="71"/>
      <c r="IP533" s="71"/>
      <c r="IQ533" s="71"/>
      <c r="IR533" s="71"/>
      <c r="IS533" s="71"/>
      <c r="IT533" s="71"/>
      <c r="IU533" s="71"/>
      <c r="IV533" s="71"/>
      <c r="IW533" s="71"/>
    </row>
    <row r="534" customFormat="false" ht="12.75" hidden="false" customHeight="false" outlineLevel="0" collapsed="false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1"/>
      <c r="CG534" s="71"/>
      <c r="CH534" s="71"/>
      <c r="CI534" s="71"/>
      <c r="CJ534" s="71"/>
      <c r="CK534" s="71"/>
      <c r="CL534" s="71"/>
      <c r="CM534" s="71"/>
      <c r="CN534" s="71"/>
      <c r="CO534" s="71"/>
      <c r="CP534" s="71"/>
      <c r="CQ534" s="71"/>
      <c r="CR534" s="71"/>
      <c r="CS534" s="71"/>
      <c r="CT534" s="71"/>
      <c r="CU534" s="71"/>
      <c r="CV534" s="71"/>
      <c r="CW534" s="71"/>
      <c r="CX534" s="71"/>
      <c r="CY534" s="71"/>
      <c r="CZ534" s="71"/>
      <c r="DA534" s="71"/>
      <c r="DB534" s="71"/>
      <c r="DC534" s="71"/>
      <c r="DD534" s="71"/>
      <c r="DE534" s="71"/>
      <c r="DF534" s="71"/>
      <c r="DG534" s="71"/>
      <c r="DH534" s="71"/>
      <c r="DI534" s="71"/>
      <c r="DJ534" s="71"/>
      <c r="DK534" s="71"/>
      <c r="DL534" s="71"/>
      <c r="DM534" s="71"/>
      <c r="DN534" s="71"/>
      <c r="DO534" s="71"/>
      <c r="DP534" s="71"/>
      <c r="DQ534" s="71"/>
      <c r="DR534" s="71"/>
      <c r="DS534" s="71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  <c r="IJ534" s="71"/>
      <c r="IK534" s="71"/>
      <c r="IL534" s="71"/>
      <c r="IM534" s="71"/>
      <c r="IN534" s="71"/>
      <c r="IO534" s="71"/>
      <c r="IP534" s="71"/>
      <c r="IQ534" s="71"/>
      <c r="IR534" s="71"/>
      <c r="IS534" s="71"/>
      <c r="IT534" s="71"/>
      <c r="IU534" s="71"/>
      <c r="IV534" s="71"/>
      <c r="IW534" s="71"/>
    </row>
    <row r="535" customFormat="false" ht="12.75" hidden="false" customHeight="false" outlineLevel="0" collapsed="false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1"/>
      <c r="CH535" s="71"/>
      <c r="CI535" s="71"/>
      <c r="CJ535" s="71"/>
      <c r="CK535" s="71"/>
      <c r="CL535" s="71"/>
      <c r="CM535" s="71"/>
      <c r="CN535" s="71"/>
      <c r="CO535" s="71"/>
      <c r="CP535" s="71"/>
      <c r="CQ535" s="71"/>
      <c r="CR535" s="71"/>
      <c r="CS535" s="71"/>
      <c r="CT535" s="71"/>
      <c r="CU535" s="71"/>
      <c r="CV535" s="71"/>
      <c r="CW535" s="71"/>
      <c r="CX535" s="71"/>
      <c r="CY535" s="71"/>
      <c r="CZ535" s="71"/>
      <c r="DA535" s="71"/>
      <c r="DB535" s="71"/>
      <c r="DC535" s="71"/>
      <c r="DD535" s="71"/>
      <c r="DE535" s="71"/>
      <c r="DF535" s="71"/>
      <c r="DG535" s="71"/>
      <c r="DH535" s="71"/>
      <c r="DI535" s="71"/>
      <c r="DJ535" s="71"/>
      <c r="DK535" s="71"/>
      <c r="DL535" s="71"/>
      <c r="DM535" s="71"/>
      <c r="DN535" s="71"/>
      <c r="DO535" s="71"/>
      <c r="DP535" s="71"/>
      <c r="DQ535" s="71"/>
      <c r="DR535" s="71"/>
      <c r="DS535" s="71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  <c r="IJ535" s="71"/>
      <c r="IK535" s="71"/>
      <c r="IL535" s="71"/>
      <c r="IM535" s="71"/>
      <c r="IN535" s="71"/>
      <c r="IO535" s="71"/>
      <c r="IP535" s="71"/>
      <c r="IQ535" s="71"/>
      <c r="IR535" s="71"/>
      <c r="IS535" s="71"/>
      <c r="IT535" s="71"/>
      <c r="IU535" s="71"/>
      <c r="IV535" s="71"/>
      <c r="IW535" s="71"/>
    </row>
    <row r="536" customFormat="false" ht="12.75" hidden="false" customHeight="false" outlineLevel="0" collapsed="false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1"/>
      <c r="CG536" s="71"/>
      <c r="CH536" s="71"/>
      <c r="CI536" s="71"/>
      <c r="CJ536" s="71"/>
      <c r="CK536" s="71"/>
      <c r="CL536" s="71"/>
      <c r="CM536" s="71"/>
      <c r="CN536" s="71"/>
      <c r="CO536" s="71"/>
      <c r="CP536" s="71"/>
      <c r="CQ536" s="71"/>
      <c r="CR536" s="71"/>
      <c r="CS536" s="71"/>
      <c r="CT536" s="71"/>
      <c r="CU536" s="71"/>
      <c r="CV536" s="71"/>
      <c r="CW536" s="71"/>
      <c r="CX536" s="71"/>
      <c r="CY536" s="71"/>
      <c r="CZ536" s="71"/>
      <c r="DA536" s="71"/>
      <c r="DB536" s="71"/>
      <c r="DC536" s="71"/>
      <c r="DD536" s="71"/>
      <c r="DE536" s="71"/>
      <c r="DF536" s="71"/>
      <c r="DG536" s="71"/>
      <c r="DH536" s="71"/>
      <c r="DI536" s="71"/>
      <c r="DJ536" s="71"/>
      <c r="DK536" s="71"/>
      <c r="DL536" s="71"/>
      <c r="DM536" s="71"/>
      <c r="DN536" s="71"/>
      <c r="DO536" s="71"/>
      <c r="DP536" s="71"/>
      <c r="DQ536" s="71"/>
      <c r="DR536" s="71"/>
      <c r="DS536" s="71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  <c r="IJ536" s="71"/>
      <c r="IK536" s="71"/>
      <c r="IL536" s="71"/>
      <c r="IM536" s="71"/>
      <c r="IN536" s="71"/>
      <c r="IO536" s="71"/>
      <c r="IP536" s="71"/>
      <c r="IQ536" s="71"/>
      <c r="IR536" s="71"/>
      <c r="IS536" s="71"/>
      <c r="IT536" s="71"/>
      <c r="IU536" s="71"/>
      <c r="IV536" s="71"/>
      <c r="IW536" s="71"/>
    </row>
    <row r="537" customFormat="false" ht="12.75" hidden="false" customHeight="false" outlineLevel="0" collapsed="false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1"/>
      <c r="CG537" s="71"/>
      <c r="CH537" s="71"/>
      <c r="CI537" s="71"/>
      <c r="CJ537" s="71"/>
      <c r="CK537" s="71"/>
      <c r="CL537" s="71"/>
      <c r="CM537" s="71"/>
      <c r="CN537" s="71"/>
      <c r="CO537" s="71"/>
      <c r="CP537" s="71"/>
      <c r="CQ537" s="71"/>
      <c r="CR537" s="71"/>
      <c r="CS537" s="71"/>
      <c r="CT537" s="71"/>
      <c r="CU537" s="71"/>
      <c r="CV537" s="71"/>
      <c r="CW537" s="71"/>
      <c r="CX537" s="71"/>
      <c r="CY537" s="71"/>
      <c r="CZ537" s="71"/>
      <c r="DA537" s="71"/>
      <c r="DB537" s="71"/>
      <c r="DC537" s="71"/>
      <c r="DD537" s="71"/>
      <c r="DE537" s="71"/>
      <c r="DF537" s="71"/>
      <c r="DG537" s="71"/>
      <c r="DH537" s="71"/>
      <c r="DI537" s="71"/>
      <c r="DJ537" s="71"/>
      <c r="DK537" s="71"/>
      <c r="DL537" s="71"/>
      <c r="DM537" s="71"/>
      <c r="DN537" s="71"/>
      <c r="DO537" s="71"/>
      <c r="DP537" s="71"/>
      <c r="DQ537" s="71"/>
      <c r="DR537" s="71"/>
      <c r="DS537" s="71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  <c r="IJ537" s="71"/>
      <c r="IK537" s="71"/>
      <c r="IL537" s="71"/>
      <c r="IM537" s="71"/>
      <c r="IN537" s="71"/>
      <c r="IO537" s="71"/>
      <c r="IP537" s="71"/>
      <c r="IQ537" s="71"/>
      <c r="IR537" s="71"/>
      <c r="IS537" s="71"/>
      <c r="IT537" s="71"/>
      <c r="IU537" s="71"/>
      <c r="IV537" s="71"/>
      <c r="IW537" s="71"/>
    </row>
    <row r="538" customFormat="false" ht="12.75" hidden="false" customHeight="false" outlineLevel="0" collapsed="false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1"/>
      <c r="CH538" s="71"/>
      <c r="CI538" s="71"/>
      <c r="CJ538" s="71"/>
      <c r="CK538" s="71"/>
      <c r="CL538" s="71"/>
      <c r="CM538" s="71"/>
      <c r="CN538" s="71"/>
      <c r="CO538" s="71"/>
      <c r="CP538" s="71"/>
      <c r="CQ538" s="71"/>
      <c r="CR538" s="71"/>
      <c r="CS538" s="71"/>
      <c r="CT538" s="71"/>
      <c r="CU538" s="71"/>
      <c r="CV538" s="71"/>
      <c r="CW538" s="71"/>
      <c r="CX538" s="71"/>
      <c r="CY538" s="71"/>
      <c r="CZ538" s="71"/>
      <c r="DA538" s="71"/>
      <c r="DB538" s="71"/>
      <c r="DC538" s="71"/>
      <c r="DD538" s="71"/>
      <c r="DE538" s="71"/>
      <c r="DF538" s="71"/>
      <c r="DG538" s="71"/>
      <c r="DH538" s="71"/>
      <c r="DI538" s="71"/>
      <c r="DJ538" s="71"/>
      <c r="DK538" s="71"/>
      <c r="DL538" s="71"/>
      <c r="DM538" s="71"/>
      <c r="DN538" s="71"/>
      <c r="DO538" s="71"/>
      <c r="DP538" s="71"/>
      <c r="DQ538" s="71"/>
      <c r="DR538" s="71"/>
      <c r="DS538" s="71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  <c r="IJ538" s="71"/>
      <c r="IK538" s="71"/>
      <c r="IL538" s="71"/>
      <c r="IM538" s="71"/>
      <c r="IN538" s="71"/>
      <c r="IO538" s="71"/>
      <c r="IP538" s="71"/>
      <c r="IQ538" s="71"/>
      <c r="IR538" s="71"/>
      <c r="IS538" s="71"/>
      <c r="IT538" s="71"/>
      <c r="IU538" s="71"/>
      <c r="IV538" s="71"/>
      <c r="IW538" s="71"/>
    </row>
    <row r="539" customFormat="false" ht="12.75" hidden="false" customHeight="false" outlineLevel="0" collapsed="false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1"/>
      <c r="CH539" s="71"/>
      <c r="CI539" s="71"/>
      <c r="CJ539" s="71"/>
      <c r="CK539" s="71"/>
      <c r="CL539" s="71"/>
      <c r="CM539" s="71"/>
      <c r="CN539" s="71"/>
      <c r="CO539" s="71"/>
      <c r="CP539" s="71"/>
      <c r="CQ539" s="71"/>
      <c r="CR539" s="71"/>
      <c r="CS539" s="71"/>
      <c r="CT539" s="71"/>
      <c r="CU539" s="71"/>
      <c r="CV539" s="71"/>
      <c r="CW539" s="71"/>
      <c r="CX539" s="71"/>
      <c r="CY539" s="71"/>
      <c r="CZ539" s="71"/>
      <c r="DA539" s="71"/>
      <c r="DB539" s="71"/>
      <c r="DC539" s="71"/>
      <c r="DD539" s="71"/>
      <c r="DE539" s="71"/>
      <c r="DF539" s="71"/>
      <c r="DG539" s="71"/>
      <c r="DH539" s="71"/>
      <c r="DI539" s="71"/>
      <c r="DJ539" s="71"/>
      <c r="DK539" s="71"/>
      <c r="DL539" s="71"/>
      <c r="DM539" s="71"/>
      <c r="DN539" s="71"/>
      <c r="DO539" s="71"/>
      <c r="DP539" s="71"/>
      <c r="DQ539" s="71"/>
      <c r="DR539" s="71"/>
      <c r="DS539" s="71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  <c r="IJ539" s="71"/>
      <c r="IK539" s="71"/>
      <c r="IL539" s="71"/>
      <c r="IM539" s="71"/>
      <c r="IN539" s="71"/>
      <c r="IO539" s="71"/>
      <c r="IP539" s="71"/>
      <c r="IQ539" s="71"/>
      <c r="IR539" s="71"/>
      <c r="IS539" s="71"/>
      <c r="IT539" s="71"/>
      <c r="IU539" s="71"/>
      <c r="IV539" s="71"/>
      <c r="IW539" s="71"/>
    </row>
    <row r="540" customFormat="false" ht="12.75" hidden="false" customHeight="false" outlineLevel="0" collapsed="false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1"/>
      <c r="CH540" s="71"/>
      <c r="CI540" s="71"/>
      <c r="CJ540" s="71"/>
      <c r="CK540" s="71"/>
      <c r="CL540" s="71"/>
      <c r="CM540" s="71"/>
      <c r="CN540" s="71"/>
      <c r="CO540" s="71"/>
      <c r="CP540" s="71"/>
      <c r="CQ540" s="71"/>
      <c r="CR540" s="71"/>
      <c r="CS540" s="71"/>
      <c r="CT540" s="71"/>
      <c r="CU540" s="71"/>
      <c r="CV540" s="71"/>
      <c r="CW540" s="71"/>
      <c r="CX540" s="71"/>
      <c r="CY540" s="71"/>
      <c r="CZ540" s="71"/>
      <c r="DA540" s="71"/>
      <c r="DB540" s="71"/>
      <c r="DC540" s="71"/>
      <c r="DD540" s="71"/>
      <c r="DE540" s="71"/>
      <c r="DF540" s="71"/>
      <c r="DG540" s="71"/>
      <c r="DH540" s="71"/>
      <c r="DI540" s="71"/>
      <c r="DJ540" s="71"/>
      <c r="DK540" s="71"/>
      <c r="DL540" s="71"/>
      <c r="DM540" s="71"/>
      <c r="DN540" s="71"/>
      <c r="DO540" s="71"/>
      <c r="DP540" s="71"/>
      <c r="DQ540" s="71"/>
      <c r="DR540" s="71"/>
      <c r="DS540" s="71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  <c r="IJ540" s="71"/>
      <c r="IK540" s="71"/>
      <c r="IL540" s="71"/>
      <c r="IM540" s="71"/>
      <c r="IN540" s="71"/>
      <c r="IO540" s="71"/>
      <c r="IP540" s="71"/>
      <c r="IQ540" s="71"/>
      <c r="IR540" s="71"/>
      <c r="IS540" s="71"/>
      <c r="IT540" s="71"/>
      <c r="IU540" s="71"/>
      <c r="IV540" s="71"/>
      <c r="IW540" s="71"/>
    </row>
    <row r="541" customFormat="false" ht="12.75" hidden="false" customHeight="false" outlineLevel="0" collapsed="false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1"/>
      <c r="CG541" s="71"/>
      <c r="CH541" s="71"/>
      <c r="CI541" s="71"/>
      <c r="CJ541" s="71"/>
      <c r="CK541" s="71"/>
      <c r="CL541" s="71"/>
      <c r="CM541" s="71"/>
      <c r="CN541" s="71"/>
      <c r="CO541" s="71"/>
      <c r="CP541" s="71"/>
      <c r="CQ541" s="71"/>
      <c r="CR541" s="71"/>
      <c r="CS541" s="71"/>
      <c r="CT541" s="71"/>
      <c r="CU541" s="71"/>
      <c r="CV541" s="71"/>
      <c r="CW541" s="71"/>
      <c r="CX541" s="71"/>
      <c r="CY541" s="71"/>
      <c r="CZ541" s="71"/>
      <c r="DA541" s="71"/>
      <c r="DB541" s="71"/>
      <c r="DC541" s="71"/>
      <c r="DD541" s="71"/>
      <c r="DE541" s="71"/>
      <c r="DF541" s="71"/>
      <c r="DG541" s="71"/>
      <c r="DH541" s="71"/>
      <c r="DI541" s="71"/>
      <c r="DJ541" s="71"/>
      <c r="DK541" s="71"/>
      <c r="DL541" s="71"/>
      <c r="DM541" s="71"/>
      <c r="DN541" s="71"/>
      <c r="DO541" s="71"/>
      <c r="DP541" s="71"/>
      <c r="DQ541" s="71"/>
      <c r="DR541" s="71"/>
      <c r="DS541" s="71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  <c r="IJ541" s="71"/>
      <c r="IK541" s="71"/>
      <c r="IL541" s="71"/>
      <c r="IM541" s="71"/>
      <c r="IN541" s="71"/>
      <c r="IO541" s="71"/>
      <c r="IP541" s="71"/>
      <c r="IQ541" s="71"/>
      <c r="IR541" s="71"/>
      <c r="IS541" s="71"/>
      <c r="IT541" s="71"/>
      <c r="IU541" s="71"/>
      <c r="IV541" s="71"/>
      <c r="IW541" s="71"/>
    </row>
    <row r="542" customFormat="false" ht="12.75" hidden="false" customHeight="false" outlineLevel="0" collapsed="false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1"/>
      <c r="CH542" s="71"/>
      <c r="CI542" s="71"/>
      <c r="CJ542" s="71"/>
      <c r="CK542" s="71"/>
      <c r="CL542" s="71"/>
      <c r="CM542" s="71"/>
      <c r="CN542" s="71"/>
      <c r="CO542" s="71"/>
      <c r="CP542" s="71"/>
      <c r="CQ542" s="71"/>
      <c r="CR542" s="71"/>
      <c r="CS542" s="71"/>
      <c r="CT542" s="71"/>
      <c r="CU542" s="71"/>
      <c r="CV542" s="71"/>
      <c r="CW542" s="71"/>
      <c r="CX542" s="71"/>
      <c r="CY542" s="71"/>
      <c r="CZ542" s="71"/>
      <c r="DA542" s="71"/>
      <c r="DB542" s="71"/>
      <c r="DC542" s="71"/>
      <c r="DD542" s="71"/>
      <c r="DE542" s="71"/>
      <c r="DF542" s="71"/>
      <c r="DG542" s="71"/>
      <c r="DH542" s="71"/>
      <c r="DI542" s="71"/>
      <c r="DJ542" s="71"/>
      <c r="DK542" s="71"/>
      <c r="DL542" s="71"/>
      <c r="DM542" s="71"/>
      <c r="DN542" s="71"/>
      <c r="DO542" s="71"/>
      <c r="DP542" s="71"/>
      <c r="DQ542" s="71"/>
      <c r="DR542" s="71"/>
      <c r="DS542" s="71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  <c r="IJ542" s="71"/>
      <c r="IK542" s="71"/>
      <c r="IL542" s="71"/>
      <c r="IM542" s="71"/>
      <c r="IN542" s="71"/>
      <c r="IO542" s="71"/>
      <c r="IP542" s="71"/>
      <c r="IQ542" s="71"/>
      <c r="IR542" s="71"/>
      <c r="IS542" s="71"/>
      <c r="IT542" s="71"/>
      <c r="IU542" s="71"/>
      <c r="IV542" s="71"/>
      <c r="IW542" s="71"/>
    </row>
    <row r="543" customFormat="false" ht="12.75" hidden="false" customHeight="false" outlineLevel="0" collapsed="false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1"/>
      <c r="CG543" s="71"/>
      <c r="CH543" s="71"/>
      <c r="CI543" s="71"/>
      <c r="CJ543" s="71"/>
      <c r="CK543" s="71"/>
      <c r="CL543" s="71"/>
      <c r="CM543" s="71"/>
      <c r="CN543" s="71"/>
      <c r="CO543" s="71"/>
      <c r="CP543" s="71"/>
      <c r="CQ543" s="71"/>
      <c r="CR543" s="71"/>
      <c r="CS543" s="71"/>
      <c r="CT543" s="71"/>
      <c r="CU543" s="71"/>
      <c r="CV543" s="71"/>
      <c r="CW543" s="71"/>
      <c r="CX543" s="71"/>
      <c r="CY543" s="71"/>
      <c r="CZ543" s="71"/>
      <c r="DA543" s="71"/>
      <c r="DB543" s="71"/>
      <c r="DC543" s="71"/>
      <c r="DD543" s="71"/>
      <c r="DE543" s="71"/>
      <c r="DF543" s="71"/>
      <c r="DG543" s="71"/>
      <c r="DH543" s="71"/>
      <c r="DI543" s="71"/>
      <c r="DJ543" s="71"/>
      <c r="DK543" s="71"/>
      <c r="DL543" s="71"/>
      <c r="DM543" s="71"/>
      <c r="DN543" s="71"/>
      <c r="DO543" s="71"/>
      <c r="DP543" s="71"/>
      <c r="DQ543" s="71"/>
      <c r="DR543" s="71"/>
      <c r="DS543" s="71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  <c r="IJ543" s="71"/>
      <c r="IK543" s="71"/>
      <c r="IL543" s="71"/>
      <c r="IM543" s="71"/>
      <c r="IN543" s="71"/>
      <c r="IO543" s="71"/>
      <c r="IP543" s="71"/>
      <c r="IQ543" s="71"/>
      <c r="IR543" s="71"/>
      <c r="IS543" s="71"/>
      <c r="IT543" s="71"/>
      <c r="IU543" s="71"/>
      <c r="IV543" s="71"/>
      <c r="IW543" s="71"/>
    </row>
    <row r="544" customFormat="false" ht="12.75" hidden="false" customHeight="false" outlineLevel="0" collapsed="false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1"/>
      <c r="CG544" s="71"/>
      <c r="CH544" s="71"/>
      <c r="CI544" s="71"/>
      <c r="CJ544" s="71"/>
      <c r="CK544" s="71"/>
      <c r="CL544" s="71"/>
      <c r="CM544" s="71"/>
      <c r="CN544" s="71"/>
      <c r="CO544" s="71"/>
      <c r="CP544" s="71"/>
      <c r="CQ544" s="71"/>
      <c r="CR544" s="71"/>
      <c r="CS544" s="71"/>
      <c r="CT544" s="71"/>
      <c r="CU544" s="71"/>
      <c r="CV544" s="71"/>
      <c r="CW544" s="71"/>
      <c r="CX544" s="71"/>
      <c r="CY544" s="71"/>
      <c r="CZ544" s="71"/>
      <c r="DA544" s="71"/>
      <c r="DB544" s="71"/>
      <c r="DC544" s="71"/>
      <c r="DD544" s="71"/>
      <c r="DE544" s="71"/>
      <c r="DF544" s="71"/>
      <c r="DG544" s="71"/>
      <c r="DH544" s="71"/>
      <c r="DI544" s="71"/>
      <c r="DJ544" s="71"/>
      <c r="DK544" s="71"/>
      <c r="DL544" s="71"/>
      <c r="DM544" s="71"/>
      <c r="DN544" s="71"/>
      <c r="DO544" s="71"/>
      <c r="DP544" s="71"/>
      <c r="DQ544" s="71"/>
      <c r="DR544" s="71"/>
      <c r="DS544" s="71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  <c r="IJ544" s="71"/>
      <c r="IK544" s="71"/>
      <c r="IL544" s="71"/>
      <c r="IM544" s="71"/>
      <c r="IN544" s="71"/>
      <c r="IO544" s="71"/>
      <c r="IP544" s="71"/>
      <c r="IQ544" s="71"/>
      <c r="IR544" s="71"/>
      <c r="IS544" s="71"/>
      <c r="IT544" s="71"/>
      <c r="IU544" s="71"/>
      <c r="IV544" s="71"/>
      <c r="IW544" s="71"/>
    </row>
    <row r="545" customFormat="false" ht="12.75" hidden="false" customHeight="false" outlineLevel="0" collapsed="false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1"/>
      <c r="CH545" s="71"/>
      <c r="CI545" s="71"/>
      <c r="CJ545" s="71"/>
      <c r="CK545" s="71"/>
      <c r="CL545" s="71"/>
      <c r="CM545" s="71"/>
      <c r="CN545" s="71"/>
      <c r="CO545" s="71"/>
      <c r="CP545" s="71"/>
      <c r="CQ545" s="71"/>
      <c r="CR545" s="71"/>
      <c r="CS545" s="71"/>
      <c r="CT545" s="71"/>
      <c r="CU545" s="71"/>
      <c r="CV545" s="71"/>
      <c r="CW545" s="71"/>
      <c r="CX545" s="71"/>
      <c r="CY545" s="71"/>
      <c r="CZ545" s="71"/>
      <c r="DA545" s="71"/>
      <c r="DB545" s="71"/>
      <c r="DC545" s="71"/>
      <c r="DD545" s="71"/>
      <c r="DE545" s="71"/>
      <c r="DF545" s="71"/>
      <c r="DG545" s="71"/>
      <c r="DH545" s="71"/>
      <c r="DI545" s="71"/>
      <c r="DJ545" s="71"/>
      <c r="DK545" s="71"/>
      <c r="DL545" s="71"/>
      <c r="DM545" s="71"/>
      <c r="DN545" s="71"/>
      <c r="DO545" s="71"/>
      <c r="DP545" s="71"/>
      <c r="DQ545" s="71"/>
      <c r="DR545" s="71"/>
      <c r="DS545" s="71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  <c r="IJ545" s="71"/>
      <c r="IK545" s="71"/>
      <c r="IL545" s="71"/>
      <c r="IM545" s="71"/>
      <c r="IN545" s="71"/>
      <c r="IO545" s="71"/>
      <c r="IP545" s="71"/>
      <c r="IQ545" s="71"/>
      <c r="IR545" s="71"/>
      <c r="IS545" s="71"/>
      <c r="IT545" s="71"/>
      <c r="IU545" s="71"/>
      <c r="IV545" s="71"/>
      <c r="IW545" s="71"/>
    </row>
    <row r="546" customFormat="false" ht="12.75" hidden="false" customHeight="false" outlineLevel="0" collapsed="false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1"/>
      <c r="CH546" s="71"/>
      <c r="CI546" s="71"/>
      <c r="CJ546" s="71"/>
      <c r="CK546" s="71"/>
      <c r="CL546" s="71"/>
      <c r="CM546" s="71"/>
      <c r="CN546" s="71"/>
      <c r="CO546" s="71"/>
      <c r="CP546" s="71"/>
      <c r="CQ546" s="71"/>
      <c r="CR546" s="71"/>
      <c r="CS546" s="71"/>
      <c r="CT546" s="71"/>
      <c r="CU546" s="71"/>
      <c r="CV546" s="71"/>
      <c r="CW546" s="71"/>
      <c r="CX546" s="71"/>
      <c r="CY546" s="71"/>
      <c r="CZ546" s="71"/>
      <c r="DA546" s="71"/>
      <c r="DB546" s="71"/>
      <c r="DC546" s="71"/>
      <c r="DD546" s="71"/>
      <c r="DE546" s="71"/>
      <c r="DF546" s="71"/>
      <c r="DG546" s="71"/>
      <c r="DH546" s="71"/>
      <c r="DI546" s="71"/>
      <c r="DJ546" s="71"/>
      <c r="DK546" s="71"/>
      <c r="DL546" s="71"/>
      <c r="DM546" s="71"/>
      <c r="DN546" s="71"/>
      <c r="DO546" s="71"/>
      <c r="DP546" s="71"/>
      <c r="DQ546" s="71"/>
      <c r="DR546" s="71"/>
      <c r="DS546" s="71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  <c r="IJ546" s="71"/>
      <c r="IK546" s="71"/>
      <c r="IL546" s="71"/>
      <c r="IM546" s="71"/>
      <c r="IN546" s="71"/>
      <c r="IO546" s="71"/>
      <c r="IP546" s="71"/>
      <c r="IQ546" s="71"/>
      <c r="IR546" s="71"/>
      <c r="IS546" s="71"/>
      <c r="IT546" s="71"/>
      <c r="IU546" s="71"/>
      <c r="IV546" s="71"/>
      <c r="IW546" s="71"/>
    </row>
    <row r="547" customFormat="false" ht="12.75" hidden="false" customHeight="false" outlineLevel="0" collapsed="false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1"/>
      <c r="CG547" s="71"/>
      <c r="CH547" s="71"/>
      <c r="CI547" s="71"/>
      <c r="CJ547" s="71"/>
      <c r="CK547" s="71"/>
      <c r="CL547" s="71"/>
      <c r="CM547" s="71"/>
      <c r="CN547" s="71"/>
      <c r="CO547" s="71"/>
      <c r="CP547" s="71"/>
      <c r="CQ547" s="71"/>
      <c r="CR547" s="71"/>
      <c r="CS547" s="71"/>
      <c r="CT547" s="71"/>
      <c r="CU547" s="71"/>
      <c r="CV547" s="71"/>
      <c r="CW547" s="71"/>
      <c r="CX547" s="71"/>
      <c r="CY547" s="71"/>
      <c r="CZ547" s="71"/>
      <c r="DA547" s="71"/>
      <c r="DB547" s="71"/>
      <c r="DC547" s="71"/>
      <c r="DD547" s="71"/>
      <c r="DE547" s="71"/>
      <c r="DF547" s="71"/>
      <c r="DG547" s="71"/>
      <c r="DH547" s="71"/>
      <c r="DI547" s="71"/>
      <c r="DJ547" s="71"/>
      <c r="DK547" s="71"/>
      <c r="DL547" s="71"/>
      <c r="DM547" s="71"/>
      <c r="DN547" s="71"/>
      <c r="DO547" s="71"/>
      <c r="DP547" s="71"/>
      <c r="DQ547" s="71"/>
      <c r="DR547" s="71"/>
      <c r="DS547" s="71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  <c r="IJ547" s="71"/>
      <c r="IK547" s="71"/>
      <c r="IL547" s="71"/>
      <c r="IM547" s="71"/>
      <c r="IN547" s="71"/>
      <c r="IO547" s="71"/>
      <c r="IP547" s="71"/>
      <c r="IQ547" s="71"/>
      <c r="IR547" s="71"/>
      <c r="IS547" s="71"/>
      <c r="IT547" s="71"/>
      <c r="IU547" s="71"/>
      <c r="IV547" s="71"/>
      <c r="IW547" s="71"/>
    </row>
    <row r="548" customFormat="false" ht="12.75" hidden="false" customHeight="false" outlineLevel="0" collapsed="false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1"/>
      <c r="CH548" s="71"/>
      <c r="CI548" s="71"/>
      <c r="CJ548" s="71"/>
      <c r="CK548" s="71"/>
      <c r="CL548" s="71"/>
      <c r="CM548" s="71"/>
      <c r="CN548" s="71"/>
      <c r="CO548" s="71"/>
      <c r="CP548" s="71"/>
      <c r="CQ548" s="71"/>
      <c r="CR548" s="71"/>
      <c r="CS548" s="71"/>
      <c r="CT548" s="71"/>
      <c r="CU548" s="71"/>
      <c r="CV548" s="71"/>
      <c r="CW548" s="71"/>
      <c r="CX548" s="71"/>
      <c r="CY548" s="71"/>
      <c r="CZ548" s="71"/>
      <c r="DA548" s="71"/>
      <c r="DB548" s="71"/>
      <c r="DC548" s="71"/>
      <c r="DD548" s="71"/>
      <c r="DE548" s="71"/>
      <c r="DF548" s="71"/>
      <c r="DG548" s="71"/>
      <c r="DH548" s="71"/>
      <c r="DI548" s="71"/>
      <c r="DJ548" s="71"/>
      <c r="DK548" s="71"/>
      <c r="DL548" s="71"/>
      <c r="DM548" s="71"/>
      <c r="DN548" s="71"/>
      <c r="DO548" s="71"/>
      <c r="DP548" s="71"/>
      <c r="DQ548" s="71"/>
      <c r="DR548" s="71"/>
      <c r="DS548" s="71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  <c r="IJ548" s="71"/>
      <c r="IK548" s="71"/>
      <c r="IL548" s="71"/>
      <c r="IM548" s="71"/>
      <c r="IN548" s="71"/>
      <c r="IO548" s="71"/>
      <c r="IP548" s="71"/>
      <c r="IQ548" s="71"/>
      <c r="IR548" s="71"/>
      <c r="IS548" s="71"/>
      <c r="IT548" s="71"/>
      <c r="IU548" s="71"/>
      <c r="IV548" s="71"/>
      <c r="IW548" s="71"/>
    </row>
    <row r="549" customFormat="false" ht="12.75" hidden="false" customHeight="false" outlineLevel="0" collapsed="false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1"/>
      <c r="CH549" s="71"/>
      <c r="CI549" s="71"/>
      <c r="CJ549" s="71"/>
      <c r="CK549" s="71"/>
      <c r="CL549" s="71"/>
      <c r="CM549" s="71"/>
      <c r="CN549" s="71"/>
      <c r="CO549" s="71"/>
      <c r="CP549" s="71"/>
      <c r="CQ549" s="71"/>
      <c r="CR549" s="71"/>
      <c r="CS549" s="71"/>
      <c r="CT549" s="71"/>
      <c r="CU549" s="71"/>
      <c r="CV549" s="71"/>
      <c r="CW549" s="71"/>
      <c r="CX549" s="71"/>
      <c r="CY549" s="71"/>
      <c r="CZ549" s="71"/>
      <c r="DA549" s="71"/>
      <c r="DB549" s="71"/>
      <c r="DC549" s="71"/>
      <c r="DD549" s="71"/>
      <c r="DE549" s="71"/>
      <c r="DF549" s="71"/>
      <c r="DG549" s="71"/>
      <c r="DH549" s="71"/>
      <c r="DI549" s="71"/>
      <c r="DJ549" s="71"/>
      <c r="DK549" s="71"/>
      <c r="DL549" s="71"/>
      <c r="DM549" s="71"/>
      <c r="DN549" s="71"/>
      <c r="DO549" s="71"/>
      <c r="DP549" s="71"/>
      <c r="DQ549" s="71"/>
      <c r="DR549" s="71"/>
      <c r="DS549" s="71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  <c r="IJ549" s="71"/>
      <c r="IK549" s="71"/>
      <c r="IL549" s="71"/>
      <c r="IM549" s="71"/>
      <c r="IN549" s="71"/>
      <c r="IO549" s="71"/>
      <c r="IP549" s="71"/>
      <c r="IQ549" s="71"/>
      <c r="IR549" s="71"/>
      <c r="IS549" s="71"/>
      <c r="IT549" s="71"/>
      <c r="IU549" s="71"/>
      <c r="IV549" s="71"/>
      <c r="IW549" s="71"/>
    </row>
    <row r="550" customFormat="false" ht="12.75" hidden="false" customHeight="false" outlineLevel="0" collapsed="false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1"/>
      <c r="CH550" s="71"/>
      <c r="CI550" s="71"/>
      <c r="CJ550" s="71"/>
      <c r="CK550" s="71"/>
      <c r="CL550" s="71"/>
      <c r="CM550" s="71"/>
      <c r="CN550" s="71"/>
      <c r="CO550" s="71"/>
      <c r="CP550" s="71"/>
      <c r="CQ550" s="71"/>
      <c r="CR550" s="71"/>
      <c r="CS550" s="71"/>
      <c r="CT550" s="71"/>
      <c r="CU550" s="71"/>
      <c r="CV550" s="71"/>
      <c r="CW550" s="71"/>
      <c r="CX550" s="71"/>
      <c r="CY550" s="71"/>
      <c r="CZ550" s="71"/>
      <c r="DA550" s="71"/>
      <c r="DB550" s="71"/>
      <c r="DC550" s="71"/>
      <c r="DD550" s="71"/>
      <c r="DE550" s="71"/>
      <c r="DF550" s="71"/>
      <c r="DG550" s="71"/>
      <c r="DH550" s="71"/>
      <c r="DI550" s="71"/>
      <c r="DJ550" s="71"/>
      <c r="DK550" s="71"/>
      <c r="DL550" s="71"/>
      <c r="DM550" s="71"/>
      <c r="DN550" s="71"/>
      <c r="DO550" s="71"/>
      <c r="DP550" s="71"/>
      <c r="DQ550" s="71"/>
      <c r="DR550" s="71"/>
      <c r="DS550" s="71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  <c r="IJ550" s="71"/>
      <c r="IK550" s="71"/>
      <c r="IL550" s="71"/>
      <c r="IM550" s="71"/>
      <c r="IN550" s="71"/>
      <c r="IO550" s="71"/>
      <c r="IP550" s="71"/>
      <c r="IQ550" s="71"/>
      <c r="IR550" s="71"/>
      <c r="IS550" s="71"/>
      <c r="IT550" s="71"/>
      <c r="IU550" s="71"/>
      <c r="IV550" s="71"/>
      <c r="IW550" s="71"/>
    </row>
    <row r="551" customFormat="false" ht="12.75" hidden="false" customHeight="false" outlineLevel="0" collapsed="false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1"/>
      <c r="CH551" s="71"/>
      <c r="CI551" s="71"/>
      <c r="CJ551" s="71"/>
      <c r="CK551" s="71"/>
      <c r="CL551" s="71"/>
      <c r="CM551" s="71"/>
      <c r="CN551" s="71"/>
      <c r="CO551" s="71"/>
      <c r="CP551" s="71"/>
      <c r="CQ551" s="71"/>
      <c r="CR551" s="71"/>
      <c r="CS551" s="71"/>
      <c r="CT551" s="71"/>
      <c r="CU551" s="71"/>
      <c r="CV551" s="71"/>
      <c r="CW551" s="71"/>
      <c r="CX551" s="71"/>
      <c r="CY551" s="71"/>
      <c r="CZ551" s="71"/>
      <c r="DA551" s="71"/>
      <c r="DB551" s="71"/>
      <c r="DC551" s="71"/>
      <c r="DD551" s="71"/>
      <c r="DE551" s="71"/>
      <c r="DF551" s="71"/>
      <c r="DG551" s="71"/>
      <c r="DH551" s="71"/>
      <c r="DI551" s="71"/>
      <c r="DJ551" s="71"/>
      <c r="DK551" s="71"/>
      <c r="DL551" s="71"/>
      <c r="DM551" s="71"/>
      <c r="DN551" s="71"/>
      <c r="DO551" s="71"/>
      <c r="DP551" s="71"/>
      <c r="DQ551" s="71"/>
      <c r="DR551" s="71"/>
      <c r="DS551" s="71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  <c r="IJ551" s="71"/>
      <c r="IK551" s="71"/>
      <c r="IL551" s="71"/>
      <c r="IM551" s="71"/>
      <c r="IN551" s="71"/>
      <c r="IO551" s="71"/>
      <c r="IP551" s="71"/>
      <c r="IQ551" s="71"/>
      <c r="IR551" s="71"/>
      <c r="IS551" s="71"/>
      <c r="IT551" s="71"/>
      <c r="IU551" s="71"/>
      <c r="IV551" s="71"/>
      <c r="IW551" s="71"/>
    </row>
    <row r="552" customFormat="false" ht="12.75" hidden="false" customHeight="false" outlineLevel="0" collapsed="false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1"/>
      <c r="CG552" s="71"/>
      <c r="CH552" s="71"/>
      <c r="CI552" s="71"/>
      <c r="CJ552" s="71"/>
      <c r="CK552" s="71"/>
      <c r="CL552" s="71"/>
      <c r="CM552" s="71"/>
      <c r="CN552" s="71"/>
      <c r="CO552" s="71"/>
      <c r="CP552" s="71"/>
      <c r="CQ552" s="71"/>
      <c r="CR552" s="71"/>
      <c r="CS552" s="71"/>
      <c r="CT552" s="71"/>
      <c r="CU552" s="71"/>
      <c r="CV552" s="71"/>
      <c r="CW552" s="71"/>
      <c r="CX552" s="71"/>
      <c r="CY552" s="71"/>
      <c r="CZ552" s="71"/>
      <c r="DA552" s="71"/>
      <c r="DB552" s="71"/>
      <c r="DC552" s="71"/>
      <c r="DD552" s="71"/>
      <c r="DE552" s="71"/>
      <c r="DF552" s="71"/>
      <c r="DG552" s="71"/>
      <c r="DH552" s="71"/>
      <c r="DI552" s="71"/>
      <c r="DJ552" s="71"/>
      <c r="DK552" s="71"/>
      <c r="DL552" s="71"/>
      <c r="DM552" s="71"/>
      <c r="DN552" s="71"/>
      <c r="DO552" s="71"/>
      <c r="DP552" s="71"/>
      <c r="DQ552" s="71"/>
      <c r="DR552" s="71"/>
      <c r="DS552" s="71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  <c r="IJ552" s="71"/>
      <c r="IK552" s="71"/>
      <c r="IL552" s="71"/>
      <c r="IM552" s="71"/>
      <c r="IN552" s="71"/>
      <c r="IO552" s="71"/>
      <c r="IP552" s="71"/>
      <c r="IQ552" s="71"/>
      <c r="IR552" s="71"/>
      <c r="IS552" s="71"/>
      <c r="IT552" s="71"/>
      <c r="IU552" s="71"/>
      <c r="IV552" s="71"/>
      <c r="IW552" s="71"/>
    </row>
    <row r="553" customFormat="false" ht="12.75" hidden="false" customHeight="false" outlineLevel="0" collapsed="false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1"/>
      <c r="CH553" s="71"/>
      <c r="CI553" s="71"/>
      <c r="CJ553" s="71"/>
      <c r="CK553" s="71"/>
      <c r="CL553" s="71"/>
      <c r="CM553" s="71"/>
      <c r="CN553" s="71"/>
      <c r="CO553" s="71"/>
      <c r="CP553" s="71"/>
      <c r="CQ553" s="71"/>
      <c r="CR553" s="71"/>
      <c r="CS553" s="71"/>
      <c r="CT553" s="71"/>
      <c r="CU553" s="71"/>
      <c r="CV553" s="71"/>
      <c r="CW553" s="71"/>
      <c r="CX553" s="71"/>
      <c r="CY553" s="71"/>
      <c r="CZ553" s="71"/>
      <c r="DA553" s="71"/>
      <c r="DB553" s="71"/>
      <c r="DC553" s="71"/>
      <c r="DD553" s="71"/>
      <c r="DE553" s="71"/>
      <c r="DF553" s="71"/>
      <c r="DG553" s="71"/>
      <c r="DH553" s="71"/>
      <c r="DI553" s="71"/>
      <c r="DJ553" s="71"/>
      <c r="DK553" s="71"/>
      <c r="DL553" s="71"/>
      <c r="DM553" s="71"/>
      <c r="DN553" s="71"/>
      <c r="DO553" s="71"/>
      <c r="DP553" s="71"/>
      <c r="DQ553" s="71"/>
      <c r="DR553" s="71"/>
      <c r="DS553" s="71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  <c r="IJ553" s="71"/>
      <c r="IK553" s="71"/>
      <c r="IL553" s="71"/>
      <c r="IM553" s="71"/>
      <c r="IN553" s="71"/>
      <c r="IO553" s="71"/>
      <c r="IP553" s="71"/>
      <c r="IQ553" s="71"/>
      <c r="IR553" s="71"/>
      <c r="IS553" s="71"/>
      <c r="IT553" s="71"/>
      <c r="IU553" s="71"/>
      <c r="IV553" s="71"/>
      <c r="IW553" s="71"/>
    </row>
    <row r="554" customFormat="false" ht="12.75" hidden="false" customHeight="false" outlineLevel="0" collapsed="false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1"/>
      <c r="CH554" s="71"/>
      <c r="CI554" s="71"/>
      <c r="CJ554" s="71"/>
      <c r="CK554" s="71"/>
      <c r="CL554" s="71"/>
      <c r="CM554" s="71"/>
      <c r="CN554" s="71"/>
      <c r="CO554" s="71"/>
      <c r="CP554" s="71"/>
      <c r="CQ554" s="71"/>
      <c r="CR554" s="71"/>
      <c r="CS554" s="71"/>
      <c r="CT554" s="71"/>
      <c r="CU554" s="71"/>
      <c r="CV554" s="71"/>
      <c r="CW554" s="71"/>
      <c r="CX554" s="71"/>
      <c r="CY554" s="71"/>
      <c r="CZ554" s="71"/>
      <c r="DA554" s="71"/>
      <c r="DB554" s="71"/>
      <c r="DC554" s="71"/>
      <c r="DD554" s="71"/>
      <c r="DE554" s="71"/>
      <c r="DF554" s="71"/>
      <c r="DG554" s="71"/>
      <c r="DH554" s="71"/>
      <c r="DI554" s="71"/>
      <c r="DJ554" s="71"/>
      <c r="DK554" s="71"/>
      <c r="DL554" s="71"/>
      <c r="DM554" s="71"/>
      <c r="DN554" s="71"/>
      <c r="DO554" s="71"/>
      <c r="DP554" s="71"/>
      <c r="DQ554" s="71"/>
      <c r="DR554" s="71"/>
      <c r="DS554" s="71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  <c r="IJ554" s="71"/>
      <c r="IK554" s="71"/>
      <c r="IL554" s="71"/>
      <c r="IM554" s="71"/>
      <c r="IN554" s="71"/>
      <c r="IO554" s="71"/>
      <c r="IP554" s="71"/>
      <c r="IQ554" s="71"/>
      <c r="IR554" s="71"/>
      <c r="IS554" s="71"/>
      <c r="IT554" s="71"/>
      <c r="IU554" s="71"/>
      <c r="IV554" s="71"/>
      <c r="IW554" s="71"/>
    </row>
    <row r="555" customFormat="false" ht="12.75" hidden="false" customHeight="false" outlineLevel="0" collapsed="false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  <c r="CE555" s="71"/>
      <c r="CF555" s="71"/>
      <c r="CG555" s="71"/>
      <c r="CH555" s="71"/>
      <c r="CI555" s="71"/>
      <c r="CJ555" s="71"/>
      <c r="CK555" s="71"/>
      <c r="CL555" s="71"/>
      <c r="CM555" s="71"/>
      <c r="CN555" s="71"/>
      <c r="CO555" s="71"/>
      <c r="CP555" s="71"/>
      <c r="CQ555" s="71"/>
      <c r="CR555" s="71"/>
      <c r="CS555" s="71"/>
      <c r="CT555" s="71"/>
      <c r="CU555" s="71"/>
      <c r="CV555" s="71"/>
      <c r="CW555" s="71"/>
      <c r="CX555" s="71"/>
      <c r="CY555" s="71"/>
      <c r="CZ555" s="71"/>
      <c r="DA555" s="71"/>
      <c r="DB555" s="71"/>
      <c r="DC555" s="71"/>
      <c r="DD555" s="71"/>
      <c r="DE555" s="71"/>
      <c r="DF555" s="71"/>
      <c r="DG555" s="71"/>
      <c r="DH555" s="71"/>
      <c r="DI555" s="71"/>
      <c r="DJ555" s="71"/>
      <c r="DK555" s="71"/>
      <c r="DL555" s="71"/>
      <c r="DM555" s="71"/>
      <c r="DN555" s="71"/>
      <c r="DO555" s="71"/>
      <c r="DP555" s="71"/>
      <c r="DQ555" s="71"/>
      <c r="DR555" s="71"/>
      <c r="DS555" s="71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  <c r="IJ555" s="71"/>
      <c r="IK555" s="71"/>
      <c r="IL555" s="71"/>
      <c r="IM555" s="71"/>
      <c r="IN555" s="71"/>
      <c r="IO555" s="71"/>
      <c r="IP555" s="71"/>
      <c r="IQ555" s="71"/>
      <c r="IR555" s="71"/>
      <c r="IS555" s="71"/>
      <c r="IT555" s="71"/>
      <c r="IU555" s="71"/>
      <c r="IV555" s="71"/>
      <c r="IW555" s="71"/>
    </row>
    <row r="556" customFormat="false" ht="12.75" hidden="false" customHeight="false" outlineLevel="0" collapsed="false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1"/>
      <c r="CG556" s="71"/>
      <c r="CH556" s="71"/>
      <c r="CI556" s="71"/>
      <c r="CJ556" s="71"/>
      <c r="CK556" s="71"/>
      <c r="CL556" s="71"/>
      <c r="CM556" s="71"/>
      <c r="CN556" s="71"/>
      <c r="CO556" s="71"/>
      <c r="CP556" s="71"/>
      <c r="CQ556" s="71"/>
      <c r="CR556" s="71"/>
      <c r="CS556" s="71"/>
      <c r="CT556" s="71"/>
      <c r="CU556" s="71"/>
      <c r="CV556" s="71"/>
      <c r="CW556" s="71"/>
      <c r="CX556" s="71"/>
      <c r="CY556" s="71"/>
      <c r="CZ556" s="71"/>
      <c r="DA556" s="71"/>
      <c r="DB556" s="71"/>
      <c r="DC556" s="71"/>
      <c r="DD556" s="71"/>
      <c r="DE556" s="71"/>
      <c r="DF556" s="71"/>
      <c r="DG556" s="71"/>
      <c r="DH556" s="71"/>
      <c r="DI556" s="71"/>
      <c r="DJ556" s="71"/>
      <c r="DK556" s="71"/>
      <c r="DL556" s="71"/>
      <c r="DM556" s="71"/>
      <c r="DN556" s="71"/>
      <c r="DO556" s="71"/>
      <c r="DP556" s="71"/>
      <c r="DQ556" s="71"/>
      <c r="DR556" s="71"/>
      <c r="DS556" s="71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  <c r="IJ556" s="71"/>
      <c r="IK556" s="71"/>
      <c r="IL556" s="71"/>
      <c r="IM556" s="71"/>
      <c r="IN556" s="71"/>
      <c r="IO556" s="71"/>
      <c r="IP556" s="71"/>
      <c r="IQ556" s="71"/>
      <c r="IR556" s="71"/>
      <c r="IS556" s="71"/>
      <c r="IT556" s="71"/>
      <c r="IU556" s="71"/>
      <c r="IV556" s="71"/>
      <c r="IW556" s="71"/>
    </row>
    <row r="557" customFormat="false" ht="12.75" hidden="false" customHeight="false" outlineLevel="0" collapsed="false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1"/>
      <c r="CG557" s="71"/>
      <c r="CH557" s="71"/>
      <c r="CI557" s="71"/>
      <c r="CJ557" s="71"/>
      <c r="CK557" s="71"/>
      <c r="CL557" s="71"/>
      <c r="CM557" s="71"/>
      <c r="CN557" s="71"/>
      <c r="CO557" s="71"/>
      <c r="CP557" s="71"/>
      <c r="CQ557" s="71"/>
      <c r="CR557" s="71"/>
      <c r="CS557" s="71"/>
      <c r="CT557" s="71"/>
      <c r="CU557" s="71"/>
      <c r="CV557" s="71"/>
      <c r="CW557" s="71"/>
      <c r="CX557" s="71"/>
      <c r="CY557" s="71"/>
      <c r="CZ557" s="71"/>
      <c r="DA557" s="71"/>
      <c r="DB557" s="71"/>
      <c r="DC557" s="71"/>
      <c r="DD557" s="71"/>
      <c r="DE557" s="71"/>
      <c r="DF557" s="71"/>
      <c r="DG557" s="71"/>
      <c r="DH557" s="71"/>
      <c r="DI557" s="71"/>
      <c r="DJ557" s="71"/>
      <c r="DK557" s="71"/>
      <c r="DL557" s="71"/>
      <c r="DM557" s="71"/>
      <c r="DN557" s="71"/>
      <c r="DO557" s="71"/>
      <c r="DP557" s="71"/>
      <c r="DQ557" s="71"/>
      <c r="DR557" s="71"/>
      <c r="DS557" s="71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  <c r="IJ557" s="71"/>
      <c r="IK557" s="71"/>
      <c r="IL557" s="71"/>
      <c r="IM557" s="71"/>
      <c r="IN557" s="71"/>
      <c r="IO557" s="71"/>
      <c r="IP557" s="71"/>
      <c r="IQ557" s="71"/>
      <c r="IR557" s="71"/>
      <c r="IS557" s="71"/>
      <c r="IT557" s="71"/>
      <c r="IU557" s="71"/>
      <c r="IV557" s="71"/>
      <c r="IW557" s="71"/>
    </row>
    <row r="558" customFormat="false" ht="12.75" hidden="false" customHeight="false" outlineLevel="0" collapsed="false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1"/>
      <c r="CH558" s="71"/>
      <c r="CI558" s="71"/>
      <c r="CJ558" s="71"/>
      <c r="CK558" s="71"/>
      <c r="CL558" s="71"/>
      <c r="CM558" s="71"/>
      <c r="CN558" s="71"/>
      <c r="CO558" s="71"/>
      <c r="CP558" s="71"/>
      <c r="CQ558" s="71"/>
      <c r="CR558" s="71"/>
      <c r="CS558" s="71"/>
      <c r="CT558" s="71"/>
      <c r="CU558" s="71"/>
      <c r="CV558" s="71"/>
      <c r="CW558" s="71"/>
      <c r="CX558" s="71"/>
      <c r="CY558" s="71"/>
      <c r="CZ558" s="71"/>
      <c r="DA558" s="71"/>
      <c r="DB558" s="71"/>
      <c r="DC558" s="71"/>
      <c r="DD558" s="71"/>
      <c r="DE558" s="71"/>
      <c r="DF558" s="71"/>
      <c r="DG558" s="71"/>
      <c r="DH558" s="71"/>
      <c r="DI558" s="71"/>
      <c r="DJ558" s="71"/>
      <c r="DK558" s="71"/>
      <c r="DL558" s="71"/>
      <c r="DM558" s="71"/>
      <c r="DN558" s="71"/>
      <c r="DO558" s="71"/>
      <c r="DP558" s="71"/>
      <c r="DQ558" s="71"/>
      <c r="DR558" s="71"/>
      <c r="DS558" s="71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  <c r="IJ558" s="71"/>
      <c r="IK558" s="71"/>
      <c r="IL558" s="71"/>
      <c r="IM558" s="71"/>
      <c r="IN558" s="71"/>
      <c r="IO558" s="71"/>
      <c r="IP558" s="71"/>
      <c r="IQ558" s="71"/>
      <c r="IR558" s="71"/>
      <c r="IS558" s="71"/>
      <c r="IT558" s="71"/>
      <c r="IU558" s="71"/>
      <c r="IV558" s="71"/>
      <c r="IW558" s="71"/>
    </row>
    <row r="559" customFormat="false" ht="12.75" hidden="false" customHeight="false" outlineLevel="0" collapsed="false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1"/>
      <c r="CG559" s="71"/>
      <c r="CH559" s="71"/>
      <c r="CI559" s="71"/>
      <c r="CJ559" s="71"/>
      <c r="CK559" s="71"/>
      <c r="CL559" s="71"/>
      <c r="CM559" s="71"/>
      <c r="CN559" s="71"/>
      <c r="CO559" s="71"/>
      <c r="CP559" s="71"/>
      <c r="CQ559" s="71"/>
      <c r="CR559" s="71"/>
      <c r="CS559" s="71"/>
      <c r="CT559" s="71"/>
      <c r="CU559" s="71"/>
      <c r="CV559" s="71"/>
      <c r="CW559" s="71"/>
      <c r="CX559" s="71"/>
      <c r="CY559" s="71"/>
      <c r="CZ559" s="71"/>
      <c r="DA559" s="71"/>
      <c r="DB559" s="71"/>
      <c r="DC559" s="71"/>
      <c r="DD559" s="71"/>
      <c r="DE559" s="71"/>
      <c r="DF559" s="71"/>
      <c r="DG559" s="71"/>
      <c r="DH559" s="71"/>
      <c r="DI559" s="71"/>
      <c r="DJ559" s="71"/>
      <c r="DK559" s="71"/>
      <c r="DL559" s="71"/>
      <c r="DM559" s="71"/>
      <c r="DN559" s="71"/>
      <c r="DO559" s="71"/>
      <c r="DP559" s="71"/>
      <c r="DQ559" s="71"/>
      <c r="DR559" s="71"/>
      <c r="DS559" s="71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  <c r="IJ559" s="71"/>
      <c r="IK559" s="71"/>
      <c r="IL559" s="71"/>
      <c r="IM559" s="71"/>
      <c r="IN559" s="71"/>
      <c r="IO559" s="71"/>
      <c r="IP559" s="71"/>
      <c r="IQ559" s="71"/>
      <c r="IR559" s="71"/>
      <c r="IS559" s="71"/>
      <c r="IT559" s="71"/>
      <c r="IU559" s="71"/>
      <c r="IV559" s="71"/>
      <c r="IW559" s="71"/>
    </row>
    <row r="560" customFormat="false" ht="12.75" hidden="false" customHeight="false" outlineLevel="0" collapsed="false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1"/>
      <c r="CG560" s="71"/>
      <c r="CH560" s="71"/>
      <c r="CI560" s="71"/>
      <c r="CJ560" s="71"/>
      <c r="CK560" s="71"/>
      <c r="CL560" s="71"/>
      <c r="CM560" s="71"/>
      <c r="CN560" s="71"/>
      <c r="CO560" s="71"/>
      <c r="CP560" s="71"/>
      <c r="CQ560" s="71"/>
      <c r="CR560" s="71"/>
      <c r="CS560" s="71"/>
      <c r="CT560" s="71"/>
      <c r="CU560" s="71"/>
      <c r="CV560" s="71"/>
      <c r="CW560" s="71"/>
      <c r="CX560" s="71"/>
      <c r="CY560" s="71"/>
      <c r="CZ560" s="71"/>
      <c r="DA560" s="71"/>
      <c r="DB560" s="71"/>
      <c r="DC560" s="71"/>
      <c r="DD560" s="71"/>
      <c r="DE560" s="71"/>
      <c r="DF560" s="71"/>
      <c r="DG560" s="71"/>
      <c r="DH560" s="71"/>
      <c r="DI560" s="71"/>
      <c r="DJ560" s="71"/>
      <c r="DK560" s="71"/>
      <c r="DL560" s="71"/>
      <c r="DM560" s="71"/>
      <c r="DN560" s="71"/>
      <c r="DO560" s="71"/>
      <c r="DP560" s="71"/>
      <c r="DQ560" s="71"/>
      <c r="DR560" s="71"/>
      <c r="DS560" s="71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  <c r="IJ560" s="71"/>
      <c r="IK560" s="71"/>
      <c r="IL560" s="71"/>
      <c r="IM560" s="71"/>
      <c r="IN560" s="71"/>
      <c r="IO560" s="71"/>
      <c r="IP560" s="71"/>
      <c r="IQ560" s="71"/>
      <c r="IR560" s="71"/>
      <c r="IS560" s="71"/>
      <c r="IT560" s="71"/>
      <c r="IU560" s="71"/>
      <c r="IV560" s="71"/>
      <c r="IW560" s="71"/>
    </row>
    <row r="561" customFormat="false" ht="12.75" hidden="false" customHeight="false" outlineLevel="0" collapsed="false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1"/>
      <c r="CG561" s="71"/>
      <c r="CH561" s="71"/>
      <c r="CI561" s="71"/>
      <c r="CJ561" s="71"/>
      <c r="CK561" s="71"/>
      <c r="CL561" s="71"/>
      <c r="CM561" s="71"/>
      <c r="CN561" s="71"/>
      <c r="CO561" s="71"/>
      <c r="CP561" s="71"/>
      <c r="CQ561" s="71"/>
      <c r="CR561" s="71"/>
      <c r="CS561" s="71"/>
      <c r="CT561" s="71"/>
      <c r="CU561" s="71"/>
      <c r="CV561" s="71"/>
      <c r="CW561" s="71"/>
      <c r="CX561" s="71"/>
      <c r="CY561" s="71"/>
      <c r="CZ561" s="71"/>
      <c r="DA561" s="71"/>
      <c r="DB561" s="71"/>
      <c r="DC561" s="71"/>
      <c r="DD561" s="71"/>
      <c r="DE561" s="71"/>
      <c r="DF561" s="71"/>
      <c r="DG561" s="71"/>
      <c r="DH561" s="71"/>
      <c r="DI561" s="71"/>
      <c r="DJ561" s="71"/>
      <c r="DK561" s="71"/>
      <c r="DL561" s="71"/>
      <c r="DM561" s="71"/>
      <c r="DN561" s="71"/>
      <c r="DO561" s="71"/>
      <c r="DP561" s="71"/>
      <c r="DQ561" s="71"/>
      <c r="DR561" s="71"/>
      <c r="DS561" s="71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  <c r="IJ561" s="71"/>
      <c r="IK561" s="71"/>
      <c r="IL561" s="71"/>
      <c r="IM561" s="71"/>
      <c r="IN561" s="71"/>
      <c r="IO561" s="71"/>
      <c r="IP561" s="71"/>
      <c r="IQ561" s="71"/>
      <c r="IR561" s="71"/>
      <c r="IS561" s="71"/>
      <c r="IT561" s="71"/>
      <c r="IU561" s="71"/>
      <c r="IV561" s="71"/>
      <c r="IW561" s="71"/>
    </row>
    <row r="562" customFormat="false" ht="12.75" hidden="false" customHeight="false" outlineLevel="0" collapsed="false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1"/>
      <c r="CH562" s="71"/>
      <c r="CI562" s="71"/>
      <c r="CJ562" s="71"/>
      <c r="CK562" s="71"/>
      <c r="CL562" s="71"/>
      <c r="CM562" s="71"/>
      <c r="CN562" s="71"/>
      <c r="CO562" s="71"/>
      <c r="CP562" s="71"/>
      <c r="CQ562" s="71"/>
      <c r="CR562" s="71"/>
      <c r="CS562" s="71"/>
      <c r="CT562" s="71"/>
      <c r="CU562" s="71"/>
      <c r="CV562" s="71"/>
      <c r="CW562" s="71"/>
      <c r="CX562" s="71"/>
      <c r="CY562" s="71"/>
      <c r="CZ562" s="71"/>
      <c r="DA562" s="71"/>
      <c r="DB562" s="71"/>
      <c r="DC562" s="71"/>
      <c r="DD562" s="71"/>
      <c r="DE562" s="71"/>
      <c r="DF562" s="71"/>
      <c r="DG562" s="71"/>
      <c r="DH562" s="71"/>
      <c r="DI562" s="71"/>
      <c r="DJ562" s="71"/>
      <c r="DK562" s="71"/>
      <c r="DL562" s="71"/>
      <c r="DM562" s="71"/>
      <c r="DN562" s="71"/>
      <c r="DO562" s="71"/>
      <c r="DP562" s="71"/>
      <c r="DQ562" s="71"/>
      <c r="DR562" s="71"/>
      <c r="DS562" s="71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  <c r="IJ562" s="71"/>
      <c r="IK562" s="71"/>
      <c r="IL562" s="71"/>
      <c r="IM562" s="71"/>
      <c r="IN562" s="71"/>
      <c r="IO562" s="71"/>
      <c r="IP562" s="71"/>
      <c r="IQ562" s="71"/>
      <c r="IR562" s="71"/>
      <c r="IS562" s="71"/>
      <c r="IT562" s="71"/>
      <c r="IU562" s="71"/>
      <c r="IV562" s="71"/>
      <c r="IW562" s="71"/>
    </row>
    <row r="563" customFormat="false" ht="12.75" hidden="false" customHeight="false" outlineLevel="0" collapsed="false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1"/>
      <c r="CH563" s="71"/>
      <c r="CI563" s="71"/>
      <c r="CJ563" s="71"/>
      <c r="CK563" s="71"/>
      <c r="CL563" s="71"/>
      <c r="CM563" s="71"/>
      <c r="CN563" s="71"/>
      <c r="CO563" s="71"/>
      <c r="CP563" s="71"/>
      <c r="CQ563" s="71"/>
      <c r="CR563" s="71"/>
      <c r="CS563" s="71"/>
      <c r="CT563" s="71"/>
      <c r="CU563" s="71"/>
      <c r="CV563" s="71"/>
      <c r="CW563" s="71"/>
      <c r="CX563" s="71"/>
      <c r="CY563" s="71"/>
      <c r="CZ563" s="71"/>
      <c r="DA563" s="71"/>
      <c r="DB563" s="71"/>
      <c r="DC563" s="71"/>
      <c r="DD563" s="71"/>
      <c r="DE563" s="71"/>
      <c r="DF563" s="71"/>
      <c r="DG563" s="71"/>
      <c r="DH563" s="71"/>
      <c r="DI563" s="71"/>
      <c r="DJ563" s="71"/>
      <c r="DK563" s="71"/>
      <c r="DL563" s="71"/>
      <c r="DM563" s="71"/>
      <c r="DN563" s="71"/>
      <c r="DO563" s="71"/>
      <c r="DP563" s="71"/>
      <c r="DQ563" s="71"/>
      <c r="DR563" s="71"/>
      <c r="DS563" s="71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  <c r="IJ563" s="71"/>
      <c r="IK563" s="71"/>
      <c r="IL563" s="71"/>
      <c r="IM563" s="71"/>
      <c r="IN563" s="71"/>
      <c r="IO563" s="71"/>
      <c r="IP563" s="71"/>
      <c r="IQ563" s="71"/>
      <c r="IR563" s="71"/>
      <c r="IS563" s="71"/>
      <c r="IT563" s="71"/>
      <c r="IU563" s="71"/>
      <c r="IV563" s="71"/>
      <c r="IW563" s="71"/>
    </row>
    <row r="564" customFormat="false" ht="12.75" hidden="false" customHeight="false" outlineLevel="0" collapsed="false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1"/>
      <c r="CG564" s="71"/>
      <c r="CH564" s="71"/>
      <c r="CI564" s="71"/>
      <c r="CJ564" s="71"/>
      <c r="CK564" s="71"/>
      <c r="CL564" s="71"/>
      <c r="CM564" s="71"/>
      <c r="CN564" s="71"/>
      <c r="CO564" s="71"/>
      <c r="CP564" s="71"/>
      <c r="CQ564" s="71"/>
      <c r="CR564" s="71"/>
      <c r="CS564" s="71"/>
      <c r="CT564" s="71"/>
      <c r="CU564" s="71"/>
      <c r="CV564" s="71"/>
      <c r="CW564" s="71"/>
      <c r="CX564" s="71"/>
      <c r="CY564" s="71"/>
      <c r="CZ564" s="71"/>
      <c r="DA564" s="71"/>
      <c r="DB564" s="71"/>
      <c r="DC564" s="71"/>
      <c r="DD564" s="71"/>
      <c r="DE564" s="71"/>
      <c r="DF564" s="71"/>
      <c r="DG564" s="71"/>
      <c r="DH564" s="71"/>
      <c r="DI564" s="71"/>
      <c r="DJ564" s="71"/>
      <c r="DK564" s="71"/>
      <c r="DL564" s="71"/>
      <c r="DM564" s="71"/>
      <c r="DN564" s="71"/>
      <c r="DO564" s="71"/>
      <c r="DP564" s="71"/>
      <c r="DQ564" s="71"/>
      <c r="DR564" s="71"/>
      <c r="DS564" s="71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  <c r="IJ564" s="71"/>
      <c r="IK564" s="71"/>
      <c r="IL564" s="71"/>
      <c r="IM564" s="71"/>
      <c r="IN564" s="71"/>
      <c r="IO564" s="71"/>
      <c r="IP564" s="71"/>
      <c r="IQ564" s="71"/>
      <c r="IR564" s="71"/>
      <c r="IS564" s="71"/>
      <c r="IT564" s="71"/>
      <c r="IU564" s="71"/>
      <c r="IV564" s="71"/>
      <c r="IW564" s="71"/>
    </row>
    <row r="565" customFormat="false" ht="12.75" hidden="false" customHeight="false" outlineLevel="0" collapsed="false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1"/>
      <c r="CH565" s="71"/>
      <c r="CI565" s="71"/>
      <c r="CJ565" s="71"/>
      <c r="CK565" s="71"/>
      <c r="CL565" s="71"/>
      <c r="CM565" s="71"/>
      <c r="CN565" s="71"/>
      <c r="CO565" s="71"/>
      <c r="CP565" s="71"/>
      <c r="CQ565" s="71"/>
      <c r="CR565" s="71"/>
      <c r="CS565" s="71"/>
      <c r="CT565" s="71"/>
      <c r="CU565" s="71"/>
      <c r="CV565" s="71"/>
      <c r="CW565" s="71"/>
      <c r="CX565" s="71"/>
      <c r="CY565" s="71"/>
      <c r="CZ565" s="71"/>
      <c r="DA565" s="71"/>
      <c r="DB565" s="71"/>
      <c r="DC565" s="71"/>
      <c r="DD565" s="71"/>
      <c r="DE565" s="71"/>
      <c r="DF565" s="71"/>
      <c r="DG565" s="71"/>
      <c r="DH565" s="71"/>
      <c r="DI565" s="71"/>
      <c r="DJ565" s="71"/>
      <c r="DK565" s="71"/>
      <c r="DL565" s="71"/>
      <c r="DM565" s="71"/>
      <c r="DN565" s="71"/>
      <c r="DO565" s="71"/>
      <c r="DP565" s="71"/>
      <c r="DQ565" s="71"/>
      <c r="DR565" s="71"/>
      <c r="DS565" s="71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  <c r="IJ565" s="71"/>
      <c r="IK565" s="71"/>
      <c r="IL565" s="71"/>
      <c r="IM565" s="71"/>
      <c r="IN565" s="71"/>
      <c r="IO565" s="71"/>
      <c r="IP565" s="71"/>
      <c r="IQ565" s="71"/>
      <c r="IR565" s="71"/>
      <c r="IS565" s="71"/>
      <c r="IT565" s="71"/>
      <c r="IU565" s="71"/>
      <c r="IV565" s="71"/>
      <c r="IW565" s="71"/>
    </row>
    <row r="566" customFormat="false" ht="12.75" hidden="false" customHeight="false" outlineLevel="0" collapsed="false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1"/>
      <c r="CH566" s="71"/>
      <c r="CI566" s="71"/>
      <c r="CJ566" s="71"/>
      <c r="CK566" s="71"/>
      <c r="CL566" s="71"/>
      <c r="CM566" s="71"/>
      <c r="CN566" s="71"/>
      <c r="CO566" s="71"/>
      <c r="CP566" s="71"/>
      <c r="CQ566" s="71"/>
      <c r="CR566" s="71"/>
      <c r="CS566" s="71"/>
      <c r="CT566" s="71"/>
      <c r="CU566" s="71"/>
      <c r="CV566" s="71"/>
      <c r="CW566" s="71"/>
      <c r="CX566" s="71"/>
      <c r="CY566" s="71"/>
      <c r="CZ566" s="71"/>
      <c r="DA566" s="71"/>
      <c r="DB566" s="71"/>
      <c r="DC566" s="71"/>
      <c r="DD566" s="71"/>
      <c r="DE566" s="71"/>
      <c r="DF566" s="71"/>
      <c r="DG566" s="71"/>
      <c r="DH566" s="71"/>
      <c r="DI566" s="71"/>
      <c r="DJ566" s="71"/>
      <c r="DK566" s="71"/>
      <c r="DL566" s="71"/>
      <c r="DM566" s="71"/>
      <c r="DN566" s="71"/>
      <c r="DO566" s="71"/>
      <c r="DP566" s="71"/>
      <c r="DQ566" s="71"/>
      <c r="DR566" s="71"/>
      <c r="DS566" s="71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  <c r="IJ566" s="71"/>
      <c r="IK566" s="71"/>
      <c r="IL566" s="71"/>
      <c r="IM566" s="71"/>
      <c r="IN566" s="71"/>
      <c r="IO566" s="71"/>
      <c r="IP566" s="71"/>
      <c r="IQ566" s="71"/>
      <c r="IR566" s="71"/>
      <c r="IS566" s="71"/>
      <c r="IT566" s="71"/>
      <c r="IU566" s="71"/>
      <c r="IV566" s="71"/>
      <c r="IW566" s="71"/>
    </row>
    <row r="567" customFormat="false" ht="12.75" hidden="false" customHeight="false" outlineLevel="0" collapsed="false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1"/>
      <c r="CH567" s="71"/>
      <c r="CI567" s="71"/>
      <c r="CJ567" s="71"/>
      <c r="CK567" s="71"/>
      <c r="CL567" s="71"/>
      <c r="CM567" s="71"/>
      <c r="CN567" s="71"/>
      <c r="CO567" s="71"/>
      <c r="CP567" s="71"/>
      <c r="CQ567" s="71"/>
      <c r="CR567" s="71"/>
      <c r="CS567" s="71"/>
      <c r="CT567" s="71"/>
      <c r="CU567" s="71"/>
      <c r="CV567" s="71"/>
      <c r="CW567" s="71"/>
      <c r="CX567" s="71"/>
      <c r="CY567" s="71"/>
      <c r="CZ567" s="71"/>
      <c r="DA567" s="71"/>
      <c r="DB567" s="71"/>
      <c r="DC567" s="71"/>
      <c r="DD567" s="71"/>
      <c r="DE567" s="71"/>
      <c r="DF567" s="71"/>
      <c r="DG567" s="71"/>
      <c r="DH567" s="71"/>
      <c r="DI567" s="71"/>
      <c r="DJ567" s="71"/>
      <c r="DK567" s="71"/>
      <c r="DL567" s="71"/>
      <c r="DM567" s="71"/>
      <c r="DN567" s="71"/>
      <c r="DO567" s="71"/>
      <c r="DP567" s="71"/>
      <c r="DQ567" s="71"/>
      <c r="DR567" s="71"/>
      <c r="DS567" s="71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  <c r="IJ567" s="71"/>
      <c r="IK567" s="71"/>
      <c r="IL567" s="71"/>
      <c r="IM567" s="71"/>
      <c r="IN567" s="71"/>
      <c r="IO567" s="71"/>
      <c r="IP567" s="71"/>
      <c r="IQ567" s="71"/>
      <c r="IR567" s="71"/>
      <c r="IS567" s="71"/>
      <c r="IT567" s="71"/>
      <c r="IU567" s="71"/>
      <c r="IV567" s="71"/>
      <c r="IW567" s="71"/>
    </row>
    <row r="568" customFormat="false" ht="12.75" hidden="false" customHeight="false" outlineLevel="0" collapsed="false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1"/>
      <c r="CG568" s="71"/>
      <c r="CH568" s="71"/>
      <c r="CI568" s="71"/>
      <c r="CJ568" s="71"/>
      <c r="CK568" s="71"/>
      <c r="CL568" s="71"/>
      <c r="CM568" s="71"/>
      <c r="CN568" s="71"/>
      <c r="CO568" s="71"/>
      <c r="CP568" s="71"/>
      <c r="CQ568" s="71"/>
      <c r="CR568" s="71"/>
      <c r="CS568" s="71"/>
      <c r="CT568" s="71"/>
      <c r="CU568" s="71"/>
      <c r="CV568" s="71"/>
      <c r="CW568" s="71"/>
      <c r="CX568" s="71"/>
      <c r="CY568" s="71"/>
      <c r="CZ568" s="71"/>
      <c r="DA568" s="71"/>
      <c r="DB568" s="71"/>
      <c r="DC568" s="71"/>
      <c r="DD568" s="71"/>
      <c r="DE568" s="71"/>
      <c r="DF568" s="71"/>
      <c r="DG568" s="71"/>
      <c r="DH568" s="71"/>
      <c r="DI568" s="71"/>
      <c r="DJ568" s="71"/>
      <c r="DK568" s="71"/>
      <c r="DL568" s="71"/>
      <c r="DM568" s="71"/>
      <c r="DN568" s="71"/>
      <c r="DO568" s="71"/>
      <c r="DP568" s="71"/>
      <c r="DQ568" s="71"/>
      <c r="DR568" s="71"/>
      <c r="DS568" s="71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  <c r="IJ568" s="71"/>
      <c r="IK568" s="71"/>
      <c r="IL568" s="71"/>
      <c r="IM568" s="71"/>
      <c r="IN568" s="71"/>
      <c r="IO568" s="71"/>
      <c r="IP568" s="71"/>
      <c r="IQ568" s="71"/>
      <c r="IR568" s="71"/>
      <c r="IS568" s="71"/>
      <c r="IT568" s="71"/>
      <c r="IU568" s="71"/>
      <c r="IV568" s="71"/>
      <c r="IW568" s="71"/>
    </row>
    <row r="569" customFormat="false" ht="12.75" hidden="false" customHeight="false" outlineLevel="0" collapsed="false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1"/>
      <c r="CG569" s="71"/>
      <c r="CH569" s="71"/>
      <c r="CI569" s="71"/>
      <c r="CJ569" s="71"/>
      <c r="CK569" s="71"/>
      <c r="CL569" s="71"/>
      <c r="CM569" s="71"/>
      <c r="CN569" s="71"/>
      <c r="CO569" s="71"/>
      <c r="CP569" s="71"/>
      <c r="CQ569" s="71"/>
      <c r="CR569" s="71"/>
      <c r="CS569" s="71"/>
      <c r="CT569" s="71"/>
      <c r="CU569" s="71"/>
      <c r="CV569" s="71"/>
      <c r="CW569" s="71"/>
      <c r="CX569" s="71"/>
      <c r="CY569" s="71"/>
      <c r="CZ569" s="71"/>
      <c r="DA569" s="71"/>
      <c r="DB569" s="71"/>
      <c r="DC569" s="71"/>
      <c r="DD569" s="71"/>
      <c r="DE569" s="71"/>
      <c r="DF569" s="71"/>
      <c r="DG569" s="71"/>
      <c r="DH569" s="71"/>
      <c r="DI569" s="71"/>
      <c r="DJ569" s="71"/>
      <c r="DK569" s="71"/>
      <c r="DL569" s="71"/>
      <c r="DM569" s="71"/>
      <c r="DN569" s="71"/>
      <c r="DO569" s="71"/>
      <c r="DP569" s="71"/>
      <c r="DQ569" s="71"/>
      <c r="DR569" s="71"/>
      <c r="DS569" s="71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  <c r="IJ569" s="71"/>
      <c r="IK569" s="71"/>
      <c r="IL569" s="71"/>
      <c r="IM569" s="71"/>
      <c r="IN569" s="71"/>
      <c r="IO569" s="71"/>
      <c r="IP569" s="71"/>
      <c r="IQ569" s="71"/>
      <c r="IR569" s="71"/>
      <c r="IS569" s="71"/>
      <c r="IT569" s="71"/>
      <c r="IU569" s="71"/>
      <c r="IV569" s="71"/>
      <c r="IW569" s="71"/>
    </row>
    <row r="570" customFormat="false" ht="12.75" hidden="false" customHeight="false" outlineLevel="0" collapsed="false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1"/>
      <c r="CG570" s="71"/>
      <c r="CH570" s="71"/>
      <c r="CI570" s="71"/>
      <c r="CJ570" s="71"/>
      <c r="CK570" s="71"/>
      <c r="CL570" s="71"/>
      <c r="CM570" s="71"/>
      <c r="CN570" s="71"/>
      <c r="CO570" s="71"/>
      <c r="CP570" s="71"/>
      <c r="CQ570" s="71"/>
      <c r="CR570" s="71"/>
      <c r="CS570" s="71"/>
      <c r="CT570" s="71"/>
      <c r="CU570" s="71"/>
      <c r="CV570" s="71"/>
      <c r="CW570" s="71"/>
      <c r="CX570" s="71"/>
      <c r="CY570" s="71"/>
      <c r="CZ570" s="71"/>
      <c r="DA570" s="71"/>
      <c r="DB570" s="71"/>
      <c r="DC570" s="71"/>
      <c r="DD570" s="71"/>
      <c r="DE570" s="71"/>
      <c r="DF570" s="71"/>
      <c r="DG570" s="71"/>
      <c r="DH570" s="71"/>
      <c r="DI570" s="71"/>
      <c r="DJ570" s="71"/>
      <c r="DK570" s="71"/>
      <c r="DL570" s="71"/>
      <c r="DM570" s="71"/>
      <c r="DN570" s="71"/>
      <c r="DO570" s="71"/>
      <c r="DP570" s="71"/>
      <c r="DQ570" s="71"/>
      <c r="DR570" s="71"/>
      <c r="DS570" s="71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  <c r="IJ570" s="71"/>
      <c r="IK570" s="71"/>
      <c r="IL570" s="71"/>
      <c r="IM570" s="71"/>
      <c r="IN570" s="71"/>
      <c r="IO570" s="71"/>
      <c r="IP570" s="71"/>
      <c r="IQ570" s="71"/>
      <c r="IR570" s="71"/>
      <c r="IS570" s="71"/>
      <c r="IT570" s="71"/>
      <c r="IU570" s="71"/>
      <c r="IV570" s="71"/>
      <c r="IW570" s="71"/>
    </row>
    <row r="571" customFormat="false" ht="12.75" hidden="false" customHeight="false" outlineLevel="0" collapsed="false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1"/>
      <c r="CH571" s="71"/>
      <c r="CI571" s="71"/>
      <c r="CJ571" s="71"/>
      <c r="CK571" s="71"/>
      <c r="CL571" s="71"/>
      <c r="CM571" s="71"/>
      <c r="CN571" s="71"/>
      <c r="CO571" s="71"/>
      <c r="CP571" s="71"/>
      <c r="CQ571" s="71"/>
      <c r="CR571" s="71"/>
      <c r="CS571" s="71"/>
      <c r="CT571" s="71"/>
      <c r="CU571" s="71"/>
      <c r="CV571" s="71"/>
      <c r="CW571" s="71"/>
      <c r="CX571" s="71"/>
      <c r="CY571" s="71"/>
      <c r="CZ571" s="71"/>
      <c r="DA571" s="71"/>
      <c r="DB571" s="71"/>
      <c r="DC571" s="71"/>
      <c r="DD571" s="71"/>
      <c r="DE571" s="71"/>
      <c r="DF571" s="71"/>
      <c r="DG571" s="71"/>
      <c r="DH571" s="71"/>
      <c r="DI571" s="71"/>
      <c r="DJ571" s="71"/>
      <c r="DK571" s="71"/>
      <c r="DL571" s="71"/>
      <c r="DM571" s="71"/>
      <c r="DN571" s="71"/>
      <c r="DO571" s="71"/>
      <c r="DP571" s="71"/>
      <c r="DQ571" s="71"/>
      <c r="DR571" s="71"/>
      <c r="DS571" s="71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  <c r="IJ571" s="71"/>
      <c r="IK571" s="71"/>
      <c r="IL571" s="71"/>
      <c r="IM571" s="71"/>
      <c r="IN571" s="71"/>
      <c r="IO571" s="71"/>
      <c r="IP571" s="71"/>
      <c r="IQ571" s="71"/>
      <c r="IR571" s="71"/>
      <c r="IS571" s="71"/>
      <c r="IT571" s="71"/>
      <c r="IU571" s="71"/>
      <c r="IV571" s="71"/>
      <c r="IW571" s="71"/>
    </row>
    <row r="572" customFormat="false" ht="12.75" hidden="false" customHeight="false" outlineLevel="0" collapsed="false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1"/>
      <c r="CH572" s="71"/>
      <c r="CI572" s="71"/>
      <c r="CJ572" s="71"/>
      <c r="CK572" s="71"/>
      <c r="CL572" s="71"/>
      <c r="CM572" s="71"/>
      <c r="CN572" s="71"/>
      <c r="CO572" s="71"/>
      <c r="CP572" s="71"/>
      <c r="CQ572" s="71"/>
      <c r="CR572" s="71"/>
      <c r="CS572" s="71"/>
      <c r="CT572" s="71"/>
      <c r="CU572" s="71"/>
      <c r="CV572" s="71"/>
      <c r="CW572" s="71"/>
      <c r="CX572" s="71"/>
      <c r="CY572" s="71"/>
      <c r="CZ572" s="71"/>
      <c r="DA572" s="71"/>
      <c r="DB572" s="71"/>
      <c r="DC572" s="71"/>
      <c r="DD572" s="71"/>
      <c r="DE572" s="71"/>
      <c r="DF572" s="71"/>
      <c r="DG572" s="71"/>
      <c r="DH572" s="71"/>
      <c r="DI572" s="71"/>
      <c r="DJ572" s="71"/>
      <c r="DK572" s="71"/>
      <c r="DL572" s="71"/>
      <c r="DM572" s="71"/>
      <c r="DN572" s="71"/>
      <c r="DO572" s="71"/>
      <c r="DP572" s="71"/>
      <c r="DQ572" s="71"/>
      <c r="DR572" s="71"/>
      <c r="DS572" s="71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  <c r="IJ572" s="71"/>
      <c r="IK572" s="71"/>
      <c r="IL572" s="71"/>
      <c r="IM572" s="71"/>
      <c r="IN572" s="71"/>
      <c r="IO572" s="71"/>
      <c r="IP572" s="71"/>
      <c r="IQ572" s="71"/>
      <c r="IR572" s="71"/>
      <c r="IS572" s="71"/>
      <c r="IT572" s="71"/>
      <c r="IU572" s="71"/>
      <c r="IV572" s="71"/>
      <c r="IW572" s="71"/>
    </row>
    <row r="573" customFormat="false" ht="12.75" hidden="false" customHeight="false" outlineLevel="0" collapsed="false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1"/>
      <c r="CH573" s="71"/>
      <c r="CI573" s="71"/>
      <c r="CJ573" s="71"/>
      <c r="CK573" s="71"/>
      <c r="CL573" s="71"/>
      <c r="CM573" s="71"/>
      <c r="CN573" s="71"/>
      <c r="CO573" s="71"/>
      <c r="CP573" s="71"/>
      <c r="CQ573" s="71"/>
      <c r="CR573" s="71"/>
      <c r="CS573" s="71"/>
      <c r="CT573" s="71"/>
      <c r="CU573" s="71"/>
      <c r="CV573" s="71"/>
      <c r="CW573" s="71"/>
      <c r="CX573" s="71"/>
      <c r="CY573" s="71"/>
      <c r="CZ573" s="71"/>
      <c r="DA573" s="71"/>
      <c r="DB573" s="71"/>
      <c r="DC573" s="71"/>
      <c r="DD573" s="71"/>
      <c r="DE573" s="71"/>
      <c r="DF573" s="71"/>
      <c r="DG573" s="71"/>
      <c r="DH573" s="71"/>
      <c r="DI573" s="71"/>
      <c r="DJ573" s="71"/>
      <c r="DK573" s="71"/>
      <c r="DL573" s="71"/>
      <c r="DM573" s="71"/>
      <c r="DN573" s="71"/>
      <c r="DO573" s="71"/>
      <c r="DP573" s="71"/>
      <c r="DQ573" s="71"/>
      <c r="DR573" s="71"/>
      <c r="DS573" s="71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  <c r="IJ573" s="71"/>
      <c r="IK573" s="71"/>
      <c r="IL573" s="71"/>
      <c r="IM573" s="71"/>
      <c r="IN573" s="71"/>
      <c r="IO573" s="71"/>
      <c r="IP573" s="71"/>
      <c r="IQ573" s="71"/>
      <c r="IR573" s="71"/>
      <c r="IS573" s="71"/>
      <c r="IT573" s="71"/>
      <c r="IU573" s="71"/>
      <c r="IV573" s="71"/>
      <c r="IW573" s="71"/>
    </row>
    <row r="574" customFormat="false" ht="12.75" hidden="false" customHeight="false" outlineLevel="0" collapsed="false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1"/>
      <c r="CH574" s="71"/>
      <c r="CI574" s="71"/>
      <c r="CJ574" s="71"/>
      <c r="CK574" s="71"/>
      <c r="CL574" s="71"/>
      <c r="CM574" s="71"/>
      <c r="CN574" s="71"/>
      <c r="CO574" s="71"/>
      <c r="CP574" s="71"/>
      <c r="CQ574" s="71"/>
      <c r="CR574" s="71"/>
      <c r="CS574" s="71"/>
      <c r="CT574" s="71"/>
      <c r="CU574" s="71"/>
      <c r="CV574" s="71"/>
      <c r="CW574" s="71"/>
      <c r="CX574" s="71"/>
      <c r="CY574" s="71"/>
      <c r="CZ574" s="71"/>
      <c r="DA574" s="71"/>
      <c r="DB574" s="71"/>
      <c r="DC574" s="71"/>
      <c r="DD574" s="71"/>
      <c r="DE574" s="71"/>
      <c r="DF574" s="71"/>
      <c r="DG574" s="71"/>
      <c r="DH574" s="71"/>
      <c r="DI574" s="71"/>
      <c r="DJ574" s="71"/>
      <c r="DK574" s="71"/>
      <c r="DL574" s="71"/>
      <c r="DM574" s="71"/>
      <c r="DN574" s="71"/>
      <c r="DO574" s="71"/>
      <c r="DP574" s="71"/>
      <c r="DQ574" s="71"/>
      <c r="DR574" s="71"/>
      <c r="DS574" s="71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  <c r="IJ574" s="71"/>
      <c r="IK574" s="71"/>
      <c r="IL574" s="71"/>
      <c r="IM574" s="71"/>
      <c r="IN574" s="71"/>
      <c r="IO574" s="71"/>
      <c r="IP574" s="71"/>
      <c r="IQ574" s="71"/>
      <c r="IR574" s="71"/>
      <c r="IS574" s="71"/>
      <c r="IT574" s="71"/>
      <c r="IU574" s="71"/>
      <c r="IV574" s="71"/>
      <c r="IW574" s="71"/>
    </row>
    <row r="575" customFormat="false" ht="12.75" hidden="false" customHeight="false" outlineLevel="0" collapsed="false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1"/>
      <c r="CG575" s="71"/>
      <c r="CH575" s="71"/>
      <c r="CI575" s="71"/>
      <c r="CJ575" s="71"/>
      <c r="CK575" s="71"/>
      <c r="CL575" s="71"/>
      <c r="CM575" s="71"/>
      <c r="CN575" s="71"/>
      <c r="CO575" s="71"/>
      <c r="CP575" s="71"/>
      <c r="CQ575" s="71"/>
      <c r="CR575" s="71"/>
      <c r="CS575" s="71"/>
      <c r="CT575" s="71"/>
      <c r="CU575" s="71"/>
      <c r="CV575" s="71"/>
      <c r="CW575" s="71"/>
      <c r="CX575" s="71"/>
      <c r="CY575" s="71"/>
      <c r="CZ575" s="71"/>
      <c r="DA575" s="71"/>
      <c r="DB575" s="71"/>
      <c r="DC575" s="71"/>
      <c r="DD575" s="71"/>
      <c r="DE575" s="71"/>
      <c r="DF575" s="71"/>
      <c r="DG575" s="71"/>
      <c r="DH575" s="71"/>
      <c r="DI575" s="71"/>
      <c r="DJ575" s="71"/>
      <c r="DK575" s="71"/>
      <c r="DL575" s="71"/>
      <c r="DM575" s="71"/>
      <c r="DN575" s="71"/>
      <c r="DO575" s="71"/>
      <c r="DP575" s="71"/>
      <c r="DQ575" s="71"/>
      <c r="DR575" s="71"/>
      <c r="DS575" s="71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  <c r="IJ575" s="71"/>
      <c r="IK575" s="71"/>
      <c r="IL575" s="71"/>
      <c r="IM575" s="71"/>
      <c r="IN575" s="71"/>
      <c r="IO575" s="71"/>
      <c r="IP575" s="71"/>
      <c r="IQ575" s="71"/>
      <c r="IR575" s="71"/>
      <c r="IS575" s="71"/>
      <c r="IT575" s="71"/>
      <c r="IU575" s="71"/>
      <c r="IV575" s="71"/>
      <c r="IW575" s="71"/>
    </row>
    <row r="576" customFormat="false" ht="12.75" hidden="false" customHeight="false" outlineLevel="0" collapsed="false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1"/>
      <c r="CH576" s="71"/>
      <c r="CI576" s="71"/>
      <c r="CJ576" s="71"/>
      <c r="CK576" s="71"/>
      <c r="CL576" s="71"/>
      <c r="CM576" s="71"/>
      <c r="CN576" s="71"/>
      <c r="CO576" s="71"/>
      <c r="CP576" s="71"/>
      <c r="CQ576" s="71"/>
      <c r="CR576" s="71"/>
      <c r="CS576" s="71"/>
      <c r="CT576" s="71"/>
      <c r="CU576" s="71"/>
      <c r="CV576" s="71"/>
      <c r="CW576" s="71"/>
      <c r="CX576" s="71"/>
      <c r="CY576" s="71"/>
      <c r="CZ576" s="71"/>
      <c r="DA576" s="71"/>
      <c r="DB576" s="71"/>
      <c r="DC576" s="71"/>
      <c r="DD576" s="71"/>
      <c r="DE576" s="71"/>
      <c r="DF576" s="71"/>
      <c r="DG576" s="71"/>
      <c r="DH576" s="71"/>
      <c r="DI576" s="71"/>
      <c r="DJ576" s="71"/>
      <c r="DK576" s="71"/>
      <c r="DL576" s="71"/>
      <c r="DM576" s="71"/>
      <c r="DN576" s="71"/>
      <c r="DO576" s="71"/>
      <c r="DP576" s="71"/>
      <c r="DQ576" s="71"/>
      <c r="DR576" s="71"/>
      <c r="DS576" s="71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  <c r="IJ576" s="71"/>
      <c r="IK576" s="71"/>
      <c r="IL576" s="71"/>
      <c r="IM576" s="71"/>
      <c r="IN576" s="71"/>
      <c r="IO576" s="71"/>
      <c r="IP576" s="71"/>
      <c r="IQ576" s="71"/>
      <c r="IR576" s="71"/>
      <c r="IS576" s="71"/>
      <c r="IT576" s="71"/>
      <c r="IU576" s="71"/>
      <c r="IV576" s="71"/>
      <c r="IW576" s="71"/>
    </row>
    <row r="577" customFormat="false" ht="12.75" hidden="false" customHeight="false" outlineLevel="0" collapsed="false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1"/>
      <c r="CG577" s="71"/>
      <c r="CH577" s="71"/>
      <c r="CI577" s="71"/>
      <c r="CJ577" s="71"/>
      <c r="CK577" s="71"/>
      <c r="CL577" s="71"/>
      <c r="CM577" s="71"/>
      <c r="CN577" s="71"/>
      <c r="CO577" s="71"/>
      <c r="CP577" s="71"/>
      <c r="CQ577" s="71"/>
      <c r="CR577" s="71"/>
      <c r="CS577" s="71"/>
      <c r="CT577" s="71"/>
      <c r="CU577" s="71"/>
      <c r="CV577" s="71"/>
      <c r="CW577" s="71"/>
      <c r="CX577" s="71"/>
      <c r="CY577" s="71"/>
      <c r="CZ577" s="71"/>
      <c r="DA577" s="71"/>
      <c r="DB577" s="71"/>
      <c r="DC577" s="71"/>
      <c r="DD577" s="71"/>
      <c r="DE577" s="71"/>
      <c r="DF577" s="71"/>
      <c r="DG577" s="71"/>
      <c r="DH577" s="71"/>
      <c r="DI577" s="71"/>
      <c r="DJ577" s="71"/>
      <c r="DK577" s="71"/>
      <c r="DL577" s="71"/>
      <c r="DM577" s="71"/>
      <c r="DN577" s="71"/>
      <c r="DO577" s="71"/>
      <c r="DP577" s="71"/>
      <c r="DQ577" s="71"/>
      <c r="DR577" s="71"/>
      <c r="DS577" s="71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  <c r="IJ577" s="71"/>
      <c r="IK577" s="71"/>
      <c r="IL577" s="71"/>
      <c r="IM577" s="71"/>
      <c r="IN577" s="71"/>
      <c r="IO577" s="71"/>
      <c r="IP577" s="71"/>
      <c r="IQ577" s="71"/>
      <c r="IR577" s="71"/>
      <c r="IS577" s="71"/>
      <c r="IT577" s="71"/>
      <c r="IU577" s="71"/>
      <c r="IV577" s="71"/>
      <c r="IW577" s="71"/>
    </row>
    <row r="578" customFormat="false" ht="12.75" hidden="false" customHeight="false" outlineLevel="0" collapsed="false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1"/>
      <c r="CH578" s="71"/>
      <c r="CI578" s="71"/>
      <c r="CJ578" s="71"/>
      <c r="CK578" s="71"/>
      <c r="CL578" s="71"/>
      <c r="CM578" s="71"/>
      <c r="CN578" s="71"/>
      <c r="CO578" s="71"/>
      <c r="CP578" s="71"/>
      <c r="CQ578" s="71"/>
      <c r="CR578" s="71"/>
      <c r="CS578" s="71"/>
      <c r="CT578" s="71"/>
      <c r="CU578" s="71"/>
      <c r="CV578" s="71"/>
      <c r="CW578" s="71"/>
      <c r="CX578" s="71"/>
      <c r="CY578" s="71"/>
      <c r="CZ578" s="71"/>
      <c r="DA578" s="71"/>
      <c r="DB578" s="71"/>
      <c r="DC578" s="71"/>
      <c r="DD578" s="71"/>
      <c r="DE578" s="71"/>
      <c r="DF578" s="71"/>
      <c r="DG578" s="71"/>
      <c r="DH578" s="71"/>
      <c r="DI578" s="71"/>
      <c r="DJ578" s="71"/>
      <c r="DK578" s="71"/>
      <c r="DL578" s="71"/>
      <c r="DM578" s="71"/>
      <c r="DN578" s="71"/>
      <c r="DO578" s="71"/>
      <c r="DP578" s="71"/>
      <c r="DQ578" s="71"/>
      <c r="DR578" s="71"/>
      <c r="DS578" s="71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  <c r="IJ578" s="71"/>
      <c r="IK578" s="71"/>
      <c r="IL578" s="71"/>
      <c r="IM578" s="71"/>
      <c r="IN578" s="71"/>
      <c r="IO578" s="71"/>
      <c r="IP578" s="71"/>
      <c r="IQ578" s="71"/>
      <c r="IR578" s="71"/>
      <c r="IS578" s="71"/>
      <c r="IT578" s="71"/>
      <c r="IU578" s="71"/>
      <c r="IV578" s="71"/>
      <c r="IW578" s="71"/>
    </row>
    <row r="579" customFormat="false" ht="12.75" hidden="false" customHeight="false" outlineLevel="0" collapsed="false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1"/>
      <c r="CH579" s="71"/>
      <c r="CI579" s="71"/>
      <c r="CJ579" s="71"/>
      <c r="CK579" s="71"/>
      <c r="CL579" s="71"/>
      <c r="CM579" s="71"/>
      <c r="CN579" s="71"/>
      <c r="CO579" s="71"/>
      <c r="CP579" s="71"/>
      <c r="CQ579" s="71"/>
      <c r="CR579" s="71"/>
      <c r="CS579" s="71"/>
      <c r="CT579" s="71"/>
      <c r="CU579" s="71"/>
      <c r="CV579" s="71"/>
      <c r="CW579" s="71"/>
      <c r="CX579" s="71"/>
      <c r="CY579" s="71"/>
      <c r="CZ579" s="71"/>
      <c r="DA579" s="71"/>
      <c r="DB579" s="71"/>
      <c r="DC579" s="71"/>
      <c r="DD579" s="71"/>
      <c r="DE579" s="71"/>
      <c r="DF579" s="71"/>
      <c r="DG579" s="71"/>
      <c r="DH579" s="71"/>
      <c r="DI579" s="71"/>
      <c r="DJ579" s="71"/>
      <c r="DK579" s="71"/>
      <c r="DL579" s="71"/>
      <c r="DM579" s="71"/>
      <c r="DN579" s="71"/>
      <c r="DO579" s="71"/>
      <c r="DP579" s="71"/>
      <c r="DQ579" s="71"/>
      <c r="DR579" s="71"/>
      <c r="DS579" s="71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  <c r="IJ579" s="71"/>
      <c r="IK579" s="71"/>
      <c r="IL579" s="71"/>
      <c r="IM579" s="71"/>
      <c r="IN579" s="71"/>
      <c r="IO579" s="71"/>
      <c r="IP579" s="71"/>
      <c r="IQ579" s="71"/>
      <c r="IR579" s="71"/>
      <c r="IS579" s="71"/>
      <c r="IT579" s="71"/>
      <c r="IU579" s="71"/>
      <c r="IV579" s="71"/>
      <c r="IW579" s="71"/>
    </row>
    <row r="580" customFormat="false" ht="12.75" hidden="false" customHeight="false" outlineLevel="0" collapsed="false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1"/>
      <c r="CH580" s="71"/>
      <c r="CI580" s="71"/>
      <c r="CJ580" s="71"/>
      <c r="CK580" s="71"/>
      <c r="CL580" s="71"/>
      <c r="CM580" s="71"/>
      <c r="CN580" s="71"/>
      <c r="CO580" s="71"/>
      <c r="CP580" s="71"/>
      <c r="CQ580" s="71"/>
      <c r="CR580" s="71"/>
      <c r="CS580" s="71"/>
      <c r="CT580" s="71"/>
      <c r="CU580" s="71"/>
      <c r="CV580" s="71"/>
      <c r="CW580" s="71"/>
      <c r="CX580" s="71"/>
      <c r="CY580" s="71"/>
      <c r="CZ580" s="71"/>
      <c r="DA580" s="71"/>
      <c r="DB580" s="71"/>
      <c r="DC580" s="71"/>
      <c r="DD580" s="71"/>
      <c r="DE580" s="71"/>
      <c r="DF580" s="71"/>
      <c r="DG580" s="71"/>
      <c r="DH580" s="71"/>
      <c r="DI580" s="71"/>
      <c r="DJ580" s="71"/>
      <c r="DK580" s="71"/>
      <c r="DL580" s="71"/>
      <c r="DM580" s="71"/>
      <c r="DN580" s="71"/>
      <c r="DO580" s="71"/>
      <c r="DP580" s="71"/>
      <c r="DQ580" s="71"/>
      <c r="DR580" s="71"/>
      <c r="DS580" s="71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  <c r="IJ580" s="71"/>
      <c r="IK580" s="71"/>
      <c r="IL580" s="71"/>
      <c r="IM580" s="71"/>
      <c r="IN580" s="71"/>
      <c r="IO580" s="71"/>
      <c r="IP580" s="71"/>
      <c r="IQ580" s="71"/>
      <c r="IR580" s="71"/>
      <c r="IS580" s="71"/>
      <c r="IT580" s="71"/>
      <c r="IU580" s="71"/>
      <c r="IV580" s="71"/>
      <c r="IW580" s="71"/>
    </row>
    <row r="581" customFormat="false" ht="12.75" hidden="false" customHeight="false" outlineLevel="0" collapsed="false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1"/>
      <c r="CH581" s="71"/>
      <c r="CI581" s="71"/>
      <c r="CJ581" s="71"/>
      <c r="CK581" s="71"/>
      <c r="CL581" s="71"/>
      <c r="CM581" s="71"/>
      <c r="CN581" s="71"/>
      <c r="CO581" s="71"/>
      <c r="CP581" s="71"/>
      <c r="CQ581" s="71"/>
      <c r="CR581" s="71"/>
      <c r="CS581" s="71"/>
      <c r="CT581" s="71"/>
      <c r="CU581" s="71"/>
      <c r="CV581" s="71"/>
      <c r="CW581" s="71"/>
      <c r="CX581" s="71"/>
      <c r="CY581" s="71"/>
      <c r="CZ581" s="71"/>
      <c r="DA581" s="71"/>
      <c r="DB581" s="71"/>
      <c r="DC581" s="71"/>
      <c r="DD581" s="71"/>
      <c r="DE581" s="71"/>
      <c r="DF581" s="71"/>
      <c r="DG581" s="71"/>
      <c r="DH581" s="71"/>
      <c r="DI581" s="71"/>
      <c r="DJ581" s="71"/>
      <c r="DK581" s="71"/>
      <c r="DL581" s="71"/>
      <c r="DM581" s="71"/>
      <c r="DN581" s="71"/>
      <c r="DO581" s="71"/>
      <c r="DP581" s="71"/>
      <c r="DQ581" s="71"/>
      <c r="DR581" s="71"/>
      <c r="DS581" s="71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  <c r="IJ581" s="71"/>
      <c r="IK581" s="71"/>
      <c r="IL581" s="71"/>
      <c r="IM581" s="71"/>
      <c r="IN581" s="71"/>
      <c r="IO581" s="71"/>
      <c r="IP581" s="71"/>
      <c r="IQ581" s="71"/>
      <c r="IR581" s="71"/>
      <c r="IS581" s="71"/>
      <c r="IT581" s="71"/>
      <c r="IU581" s="71"/>
      <c r="IV581" s="71"/>
      <c r="IW581" s="71"/>
    </row>
    <row r="582" customFormat="false" ht="12.75" hidden="false" customHeight="false" outlineLevel="0" collapsed="false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1"/>
      <c r="CH582" s="71"/>
      <c r="CI582" s="71"/>
      <c r="CJ582" s="71"/>
      <c r="CK582" s="71"/>
      <c r="CL582" s="71"/>
      <c r="CM582" s="71"/>
      <c r="CN582" s="71"/>
      <c r="CO582" s="71"/>
      <c r="CP582" s="71"/>
      <c r="CQ582" s="71"/>
      <c r="CR582" s="71"/>
      <c r="CS582" s="71"/>
      <c r="CT582" s="71"/>
      <c r="CU582" s="71"/>
      <c r="CV582" s="71"/>
      <c r="CW582" s="71"/>
      <c r="CX582" s="71"/>
      <c r="CY582" s="71"/>
      <c r="CZ582" s="71"/>
      <c r="DA582" s="71"/>
      <c r="DB582" s="71"/>
      <c r="DC582" s="71"/>
      <c r="DD582" s="71"/>
      <c r="DE582" s="71"/>
      <c r="DF582" s="71"/>
      <c r="DG582" s="71"/>
      <c r="DH582" s="71"/>
      <c r="DI582" s="71"/>
      <c r="DJ582" s="71"/>
      <c r="DK582" s="71"/>
      <c r="DL582" s="71"/>
      <c r="DM582" s="71"/>
      <c r="DN582" s="71"/>
      <c r="DO582" s="71"/>
      <c r="DP582" s="71"/>
      <c r="DQ582" s="71"/>
      <c r="DR582" s="71"/>
      <c r="DS582" s="71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  <c r="IJ582" s="71"/>
      <c r="IK582" s="71"/>
      <c r="IL582" s="71"/>
      <c r="IM582" s="71"/>
      <c r="IN582" s="71"/>
      <c r="IO582" s="71"/>
      <c r="IP582" s="71"/>
      <c r="IQ582" s="71"/>
      <c r="IR582" s="71"/>
      <c r="IS582" s="71"/>
      <c r="IT582" s="71"/>
      <c r="IU582" s="71"/>
      <c r="IV582" s="71"/>
      <c r="IW582" s="71"/>
    </row>
    <row r="583" customFormat="false" ht="12.75" hidden="false" customHeight="false" outlineLevel="0" collapsed="false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1"/>
      <c r="CH583" s="71"/>
      <c r="CI583" s="71"/>
      <c r="CJ583" s="71"/>
      <c r="CK583" s="71"/>
      <c r="CL583" s="71"/>
      <c r="CM583" s="71"/>
      <c r="CN583" s="71"/>
      <c r="CO583" s="71"/>
      <c r="CP583" s="71"/>
      <c r="CQ583" s="71"/>
      <c r="CR583" s="71"/>
      <c r="CS583" s="71"/>
      <c r="CT583" s="71"/>
      <c r="CU583" s="71"/>
      <c r="CV583" s="71"/>
      <c r="CW583" s="71"/>
      <c r="CX583" s="71"/>
      <c r="CY583" s="71"/>
      <c r="CZ583" s="71"/>
      <c r="DA583" s="71"/>
      <c r="DB583" s="71"/>
      <c r="DC583" s="71"/>
      <c r="DD583" s="71"/>
      <c r="DE583" s="71"/>
      <c r="DF583" s="71"/>
      <c r="DG583" s="71"/>
      <c r="DH583" s="71"/>
      <c r="DI583" s="71"/>
      <c r="DJ583" s="71"/>
      <c r="DK583" s="71"/>
      <c r="DL583" s="71"/>
      <c r="DM583" s="71"/>
      <c r="DN583" s="71"/>
      <c r="DO583" s="71"/>
      <c r="DP583" s="71"/>
      <c r="DQ583" s="71"/>
      <c r="DR583" s="71"/>
      <c r="DS583" s="71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  <c r="IJ583" s="71"/>
      <c r="IK583" s="71"/>
      <c r="IL583" s="71"/>
      <c r="IM583" s="71"/>
      <c r="IN583" s="71"/>
      <c r="IO583" s="71"/>
      <c r="IP583" s="71"/>
      <c r="IQ583" s="71"/>
      <c r="IR583" s="71"/>
      <c r="IS583" s="71"/>
      <c r="IT583" s="71"/>
      <c r="IU583" s="71"/>
      <c r="IV583" s="71"/>
      <c r="IW583" s="71"/>
    </row>
    <row r="584" customFormat="false" ht="12.75" hidden="false" customHeight="false" outlineLevel="0" collapsed="false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1"/>
      <c r="CG584" s="71"/>
      <c r="CH584" s="71"/>
      <c r="CI584" s="71"/>
      <c r="CJ584" s="71"/>
      <c r="CK584" s="71"/>
      <c r="CL584" s="71"/>
      <c r="CM584" s="71"/>
      <c r="CN584" s="71"/>
      <c r="CO584" s="71"/>
      <c r="CP584" s="71"/>
      <c r="CQ584" s="71"/>
      <c r="CR584" s="71"/>
      <c r="CS584" s="71"/>
      <c r="CT584" s="71"/>
      <c r="CU584" s="71"/>
      <c r="CV584" s="71"/>
      <c r="CW584" s="71"/>
      <c r="CX584" s="71"/>
      <c r="CY584" s="71"/>
      <c r="CZ584" s="71"/>
      <c r="DA584" s="71"/>
      <c r="DB584" s="71"/>
      <c r="DC584" s="71"/>
      <c r="DD584" s="71"/>
      <c r="DE584" s="71"/>
      <c r="DF584" s="71"/>
      <c r="DG584" s="71"/>
      <c r="DH584" s="71"/>
      <c r="DI584" s="71"/>
      <c r="DJ584" s="71"/>
      <c r="DK584" s="71"/>
      <c r="DL584" s="71"/>
      <c r="DM584" s="71"/>
      <c r="DN584" s="71"/>
      <c r="DO584" s="71"/>
      <c r="DP584" s="71"/>
      <c r="DQ584" s="71"/>
      <c r="DR584" s="71"/>
      <c r="DS584" s="71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  <c r="IJ584" s="71"/>
      <c r="IK584" s="71"/>
      <c r="IL584" s="71"/>
      <c r="IM584" s="71"/>
      <c r="IN584" s="71"/>
      <c r="IO584" s="71"/>
      <c r="IP584" s="71"/>
      <c r="IQ584" s="71"/>
      <c r="IR584" s="71"/>
      <c r="IS584" s="71"/>
      <c r="IT584" s="71"/>
      <c r="IU584" s="71"/>
      <c r="IV584" s="71"/>
      <c r="IW584" s="71"/>
    </row>
    <row r="585" customFormat="false" ht="12.75" hidden="false" customHeight="false" outlineLevel="0" collapsed="false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1"/>
      <c r="CG585" s="71"/>
      <c r="CH585" s="71"/>
      <c r="CI585" s="71"/>
      <c r="CJ585" s="71"/>
      <c r="CK585" s="71"/>
      <c r="CL585" s="71"/>
      <c r="CM585" s="71"/>
      <c r="CN585" s="71"/>
      <c r="CO585" s="71"/>
      <c r="CP585" s="71"/>
      <c r="CQ585" s="71"/>
      <c r="CR585" s="71"/>
      <c r="CS585" s="71"/>
      <c r="CT585" s="71"/>
      <c r="CU585" s="71"/>
      <c r="CV585" s="71"/>
      <c r="CW585" s="71"/>
      <c r="CX585" s="71"/>
      <c r="CY585" s="71"/>
      <c r="CZ585" s="71"/>
      <c r="DA585" s="71"/>
      <c r="DB585" s="71"/>
      <c r="DC585" s="71"/>
      <c r="DD585" s="71"/>
      <c r="DE585" s="71"/>
      <c r="DF585" s="71"/>
      <c r="DG585" s="71"/>
      <c r="DH585" s="71"/>
      <c r="DI585" s="71"/>
      <c r="DJ585" s="71"/>
      <c r="DK585" s="71"/>
      <c r="DL585" s="71"/>
      <c r="DM585" s="71"/>
      <c r="DN585" s="71"/>
      <c r="DO585" s="71"/>
      <c r="DP585" s="71"/>
      <c r="DQ585" s="71"/>
      <c r="DR585" s="71"/>
      <c r="DS585" s="71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  <c r="IJ585" s="71"/>
      <c r="IK585" s="71"/>
      <c r="IL585" s="71"/>
      <c r="IM585" s="71"/>
      <c r="IN585" s="71"/>
      <c r="IO585" s="71"/>
      <c r="IP585" s="71"/>
      <c r="IQ585" s="71"/>
      <c r="IR585" s="71"/>
      <c r="IS585" s="71"/>
      <c r="IT585" s="71"/>
      <c r="IU585" s="71"/>
      <c r="IV585" s="71"/>
      <c r="IW585" s="71"/>
    </row>
    <row r="586" customFormat="false" ht="12.75" hidden="false" customHeight="false" outlineLevel="0" collapsed="false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1"/>
      <c r="CH586" s="71"/>
      <c r="CI586" s="71"/>
      <c r="CJ586" s="71"/>
      <c r="CK586" s="71"/>
      <c r="CL586" s="71"/>
      <c r="CM586" s="71"/>
      <c r="CN586" s="71"/>
      <c r="CO586" s="71"/>
      <c r="CP586" s="71"/>
      <c r="CQ586" s="71"/>
      <c r="CR586" s="71"/>
      <c r="CS586" s="71"/>
      <c r="CT586" s="71"/>
      <c r="CU586" s="71"/>
      <c r="CV586" s="71"/>
      <c r="CW586" s="71"/>
      <c r="CX586" s="71"/>
      <c r="CY586" s="71"/>
      <c r="CZ586" s="71"/>
      <c r="DA586" s="71"/>
      <c r="DB586" s="71"/>
      <c r="DC586" s="71"/>
      <c r="DD586" s="71"/>
      <c r="DE586" s="71"/>
      <c r="DF586" s="71"/>
      <c r="DG586" s="71"/>
      <c r="DH586" s="71"/>
      <c r="DI586" s="71"/>
      <c r="DJ586" s="71"/>
      <c r="DK586" s="71"/>
      <c r="DL586" s="71"/>
      <c r="DM586" s="71"/>
      <c r="DN586" s="71"/>
      <c r="DO586" s="71"/>
      <c r="DP586" s="71"/>
      <c r="DQ586" s="71"/>
      <c r="DR586" s="71"/>
      <c r="DS586" s="71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  <c r="IJ586" s="71"/>
      <c r="IK586" s="71"/>
      <c r="IL586" s="71"/>
      <c r="IM586" s="71"/>
      <c r="IN586" s="71"/>
      <c r="IO586" s="71"/>
      <c r="IP586" s="71"/>
      <c r="IQ586" s="71"/>
      <c r="IR586" s="71"/>
      <c r="IS586" s="71"/>
      <c r="IT586" s="71"/>
      <c r="IU586" s="71"/>
      <c r="IV586" s="71"/>
      <c r="IW586" s="71"/>
    </row>
    <row r="587" customFormat="false" ht="12.75" hidden="false" customHeight="false" outlineLevel="0" collapsed="false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1"/>
      <c r="CH587" s="71"/>
      <c r="CI587" s="71"/>
      <c r="CJ587" s="71"/>
      <c r="CK587" s="71"/>
      <c r="CL587" s="71"/>
      <c r="CM587" s="71"/>
      <c r="CN587" s="71"/>
      <c r="CO587" s="71"/>
      <c r="CP587" s="71"/>
      <c r="CQ587" s="71"/>
      <c r="CR587" s="71"/>
      <c r="CS587" s="71"/>
      <c r="CT587" s="71"/>
      <c r="CU587" s="71"/>
      <c r="CV587" s="71"/>
      <c r="CW587" s="71"/>
      <c r="CX587" s="71"/>
      <c r="CY587" s="71"/>
      <c r="CZ587" s="71"/>
      <c r="DA587" s="71"/>
      <c r="DB587" s="71"/>
      <c r="DC587" s="71"/>
      <c r="DD587" s="71"/>
      <c r="DE587" s="71"/>
      <c r="DF587" s="71"/>
      <c r="DG587" s="71"/>
      <c r="DH587" s="71"/>
      <c r="DI587" s="71"/>
      <c r="DJ587" s="71"/>
      <c r="DK587" s="71"/>
      <c r="DL587" s="71"/>
      <c r="DM587" s="71"/>
      <c r="DN587" s="71"/>
      <c r="DO587" s="71"/>
      <c r="DP587" s="71"/>
      <c r="DQ587" s="71"/>
      <c r="DR587" s="71"/>
      <c r="DS587" s="71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  <c r="IJ587" s="71"/>
      <c r="IK587" s="71"/>
      <c r="IL587" s="71"/>
      <c r="IM587" s="71"/>
      <c r="IN587" s="71"/>
      <c r="IO587" s="71"/>
      <c r="IP587" s="71"/>
      <c r="IQ587" s="71"/>
      <c r="IR587" s="71"/>
      <c r="IS587" s="71"/>
      <c r="IT587" s="71"/>
      <c r="IU587" s="71"/>
      <c r="IV587" s="71"/>
      <c r="IW587" s="71"/>
    </row>
    <row r="588" customFormat="false" ht="12.75" hidden="false" customHeight="false" outlineLevel="0" collapsed="false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1"/>
      <c r="CH588" s="71"/>
      <c r="CI588" s="71"/>
      <c r="CJ588" s="71"/>
      <c r="CK588" s="71"/>
      <c r="CL588" s="71"/>
      <c r="CM588" s="71"/>
      <c r="CN588" s="71"/>
      <c r="CO588" s="71"/>
      <c r="CP588" s="71"/>
      <c r="CQ588" s="71"/>
      <c r="CR588" s="71"/>
      <c r="CS588" s="71"/>
      <c r="CT588" s="71"/>
      <c r="CU588" s="71"/>
      <c r="CV588" s="71"/>
      <c r="CW588" s="71"/>
      <c r="CX588" s="71"/>
      <c r="CY588" s="71"/>
      <c r="CZ588" s="71"/>
      <c r="DA588" s="71"/>
      <c r="DB588" s="71"/>
      <c r="DC588" s="71"/>
      <c r="DD588" s="71"/>
      <c r="DE588" s="71"/>
      <c r="DF588" s="71"/>
      <c r="DG588" s="71"/>
      <c r="DH588" s="71"/>
      <c r="DI588" s="71"/>
      <c r="DJ588" s="71"/>
      <c r="DK588" s="71"/>
      <c r="DL588" s="71"/>
      <c r="DM588" s="71"/>
      <c r="DN588" s="71"/>
      <c r="DO588" s="71"/>
      <c r="DP588" s="71"/>
      <c r="DQ588" s="71"/>
      <c r="DR588" s="71"/>
      <c r="DS588" s="71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  <c r="IJ588" s="71"/>
      <c r="IK588" s="71"/>
      <c r="IL588" s="71"/>
      <c r="IM588" s="71"/>
      <c r="IN588" s="71"/>
      <c r="IO588" s="71"/>
      <c r="IP588" s="71"/>
      <c r="IQ588" s="71"/>
      <c r="IR588" s="71"/>
      <c r="IS588" s="71"/>
      <c r="IT588" s="71"/>
      <c r="IU588" s="71"/>
      <c r="IV588" s="71"/>
      <c r="IW588" s="71"/>
    </row>
    <row r="589" customFormat="false" ht="12.75" hidden="false" customHeight="false" outlineLevel="0" collapsed="false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1"/>
      <c r="CH589" s="71"/>
      <c r="CI589" s="71"/>
      <c r="CJ589" s="71"/>
      <c r="CK589" s="71"/>
      <c r="CL589" s="71"/>
      <c r="CM589" s="71"/>
      <c r="CN589" s="71"/>
      <c r="CO589" s="71"/>
      <c r="CP589" s="71"/>
      <c r="CQ589" s="71"/>
      <c r="CR589" s="71"/>
      <c r="CS589" s="71"/>
      <c r="CT589" s="71"/>
      <c r="CU589" s="71"/>
      <c r="CV589" s="71"/>
      <c r="CW589" s="71"/>
      <c r="CX589" s="71"/>
      <c r="CY589" s="71"/>
      <c r="CZ589" s="71"/>
      <c r="DA589" s="71"/>
      <c r="DB589" s="71"/>
      <c r="DC589" s="71"/>
      <c r="DD589" s="71"/>
      <c r="DE589" s="71"/>
      <c r="DF589" s="71"/>
      <c r="DG589" s="71"/>
      <c r="DH589" s="71"/>
      <c r="DI589" s="71"/>
      <c r="DJ589" s="71"/>
      <c r="DK589" s="71"/>
      <c r="DL589" s="71"/>
      <c r="DM589" s="71"/>
      <c r="DN589" s="71"/>
      <c r="DO589" s="71"/>
      <c r="DP589" s="71"/>
      <c r="DQ589" s="71"/>
      <c r="DR589" s="71"/>
      <c r="DS589" s="71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  <c r="IJ589" s="71"/>
      <c r="IK589" s="71"/>
      <c r="IL589" s="71"/>
      <c r="IM589" s="71"/>
      <c r="IN589" s="71"/>
      <c r="IO589" s="71"/>
      <c r="IP589" s="71"/>
      <c r="IQ589" s="71"/>
      <c r="IR589" s="71"/>
      <c r="IS589" s="71"/>
      <c r="IT589" s="71"/>
      <c r="IU589" s="71"/>
      <c r="IV589" s="71"/>
      <c r="IW589" s="71"/>
    </row>
    <row r="590" customFormat="false" ht="12.75" hidden="false" customHeight="false" outlineLevel="0" collapsed="false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1"/>
      <c r="CH590" s="71"/>
      <c r="CI590" s="71"/>
      <c r="CJ590" s="71"/>
      <c r="CK590" s="71"/>
      <c r="CL590" s="71"/>
      <c r="CM590" s="71"/>
      <c r="CN590" s="71"/>
      <c r="CO590" s="71"/>
      <c r="CP590" s="71"/>
      <c r="CQ590" s="71"/>
      <c r="CR590" s="71"/>
      <c r="CS590" s="71"/>
      <c r="CT590" s="71"/>
      <c r="CU590" s="71"/>
      <c r="CV590" s="71"/>
      <c r="CW590" s="71"/>
      <c r="CX590" s="71"/>
      <c r="CY590" s="71"/>
      <c r="CZ590" s="71"/>
      <c r="DA590" s="71"/>
      <c r="DB590" s="71"/>
      <c r="DC590" s="71"/>
      <c r="DD590" s="71"/>
      <c r="DE590" s="71"/>
      <c r="DF590" s="71"/>
      <c r="DG590" s="71"/>
      <c r="DH590" s="71"/>
      <c r="DI590" s="71"/>
      <c r="DJ590" s="71"/>
      <c r="DK590" s="71"/>
      <c r="DL590" s="71"/>
      <c r="DM590" s="71"/>
      <c r="DN590" s="71"/>
      <c r="DO590" s="71"/>
      <c r="DP590" s="71"/>
      <c r="DQ590" s="71"/>
      <c r="DR590" s="71"/>
      <c r="DS590" s="71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  <c r="IJ590" s="71"/>
      <c r="IK590" s="71"/>
      <c r="IL590" s="71"/>
      <c r="IM590" s="71"/>
      <c r="IN590" s="71"/>
      <c r="IO590" s="71"/>
      <c r="IP590" s="71"/>
      <c r="IQ590" s="71"/>
      <c r="IR590" s="71"/>
      <c r="IS590" s="71"/>
      <c r="IT590" s="71"/>
      <c r="IU590" s="71"/>
      <c r="IV590" s="71"/>
      <c r="IW590" s="71"/>
    </row>
    <row r="591" customFormat="false" ht="12.75" hidden="false" customHeight="false" outlineLevel="0" collapsed="false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1"/>
      <c r="CH591" s="71"/>
      <c r="CI591" s="71"/>
      <c r="CJ591" s="71"/>
      <c r="CK591" s="71"/>
      <c r="CL591" s="71"/>
      <c r="CM591" s="71"/>
      <c r="CN591" s="71"/>
      <c r="CO591" s="71"/>
      <c r="CP591" s="71"/>
      <c r="CQ591" s="71"/>
      <c r="CR591" s="71"/>
      <c r="CS591" s="71"/>
      <c r="CT591" s="71"/>
      <c r="CU591" s="71"/>
      <c r="CV591" s="71"/>
      <c r="CW591" s="71"/>
      <c r="CX591" s="71"/>
      <c r="CY591" s="71"/>
      <c r="CZ591" s="71"/>
      <c r="DA591" s="71"/>
      <c r="DB591" s="71"/>
      <c r="DC591" s="71"/>
      <c r="DD591" s="71"/>
      <c r="DE591" s="71"/>
      <c r="DF591" s="71"/>
      <c r="DG591" s="71"/>
      <c r="DH591" s="71"/>
      <c r="DI591" s="71"/>
      <c r="DJ591" s="71"/>
      <c r="DK591" s="71"/>
      <c r="DL591" s="71"/>
      <c r="DM591" s="71"/>
      <c r="DN591" s="71"/>
      <c r="DO591" s="71"/>
      <c r="DP591" s="71"/>
      <c r="DQ591" s="71"/>
      <c r="DR591" s="71"/>
      <c r="DS591" s="71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  <c r="IJ591" s="71"/>
      <c r="IK591" s="71"/>
      <c r="IL591" s="71"/>
      <c r="IM591" s="71"/>
      <c r="IN591" s="71"/>
      <c r="IO591" s="71"/>
      <c r="IP591" s="71"/>
      <c r="IQ591" s="71"/>
      <c r="IR591" s="71"/>
      <c r="IS591" s="71"/>
      <c r="IT591" s="71"/>
      <c r="IU591" s="71"/>
      <c r="IV591" s="71"/>
      <c r="IW591" s="71"/>
    </row>
    <row r="592" customFormat="false" ht="12.75" hidden="false" customHeight="false" outlineLevel="0" collapsed="false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1"/>
      <c r="CH592" s="71"/>
      <c r="CI592" s="71"/>
      <c r="CJ592" s="71"/>
      <c r="CK592" s="71"/>
      <c r="CL592" s="71"/>
      <c r="CM592" s="71"/>
      <c r="CN592" s="71"/>
      <c r="CO592" s="71"/>
      <c r="CP592" s="71"/>
      <c r="CQ592" s="71"/>
      <c r="CR592" s="71"/>
      <c r="CS592" s="71"/>
      <c r="CT592" s="71"/>
      <c r="CU592" s="71"/>
      <c r="CV592" s="71"/>
      <c r="CW592" s="71"/>
      <c r="CX592" s="71"/>
      <c r="CY592" s="71"/>
      <c r="CZ592" s="71"/>
      <c r="DA592" s="71"/>
      <c r="DB592" s="71"/>
      <c r="DC592" s="71"/>
      <c r="DD592" s="71"/>
      <c r="DE592" s="71"/>
      <c r="DF592" s="71"/>
      <c r="DG592" s="71"/>
      <c r="DH592" s="71"/>
      <c r="DI592" s="71"/>
      <c r="DJ592" s="71"/>
      <c r="DK592" s="71"/>
      <c r="DL592" s="71"/>
      <c r="DM592" s="71"/>
      <c r="DN592" s="71"/>
      <c r="DO592" s="71"/>
      <c r="DP592" s="71"/>
      <c r="DQ592" s="71"/>
      <c r="DR592" s="71"/>
      <c r="DS592" s="71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  <c r="IJ592" s="71"/>
      <c r="IK592" s="71"/>
      <c r="IL592" s="71"/>
      <c r="IM592" s="71"/>
      <c r="IN592" s="71"/>
      <c r="IO592" s="71"/>
      <c r="IP592" s="71"/>
      <c r="IQ592" s="71"/>
      <c r="IR592" s="71"/>
      <c r="IS592" s="71"/>
      <c r="IT592" s="71"/>
      <c r="IU592" s="71"/>
      <c r="IV592" s="71"/>
      <c r="IW592" s="71"/>
    </row>
    <row r="593" customFormat="false" ht="12.75" hidden="false" customHeight="false" outlineLevel="0" collapsed="false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1"/>
      <c r="CH593" s="71"/>
      <c r="CI593" s="71"/>
      <c r="CJ593" s="71"/>
      <c r="CK593" s="71"/>
      <c r="CL593" s="71"/>
      <c r="CM593" s="71"/>
      <c r="CN593" s="71"/>
      <c r="CO593" s="71"/>
      <c r="CP593" s="71"/>
      <c r="CQ593" s="71"/>
      <c r="CR593" s="71"/>
      <c r="CS593" s="71"/>
      <c r="CT593" s="71"/>
      <c r="CU593" s="71"/>
      <c r="CV593" s="71"/>
      <c r="CW593" s="71"/>
      <c r="CX593" s="71"/>
      <c r="CY593" s="71"/>
      <c r="CZ593" s="71"/>
      <c r="DA593" s="71"/>
      <c r="DB593" s="71"/>
      <c r="DC593" s="71"/>
      <c r="DD593" s="71"/>
      <c r="DE593" s="71"/>
      <c r="DF593" s="71"/>
      <c r="DG593" s="71"/>
      <c r="DH593" s="71"/>
      <c r="DI593" s="71"/>
      <c r="DJ593" s="71"/>
      <c r="DK593" s="71"/>
      <c r="DL593" s="71"/>
      <c r="DM593" s="71"/>
      <c r="DN593" s="71"/>
      <c r="DO593" s="71"/>
      <c r="DP593" s="71"/>
      <c r="DQ593" s="71"/>
      <c r="DR593" s="71"/>
      <c r="DS593" s="71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  <c r="IJ593" s="71"/>
      <c r="IK593" s="71"/>
      <c r="IL593" s="71"/>
      <c r="IM593" s="71"/>
      <c r="IN593" s="71"/>
      <c r="IO593" s="71"/>
      <c r="IP593" s="71"/>
      <c r="IQ593" s="71"/>
      <c r="IR593" s="71"/>
      <c r="IS593" s="71"/>
      <c r="IT593" s="71"/>
      <c r="IU593" s="71"/>
      <c r="IV593" s="71"/>
      <c r="IW593" s="71"/>
    </row>
    <row r="594" customFormat="false" ht="12.75" hidden="false" customHeight="false" outlineLevel="0" collapsed="false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1"/>
      <c r="CH594" s="71"/>
      <c r="CI594" s="71"/>
      <c r="CJ594" s="71"/>
      <c r="CK594" s="71"/>
      <c r="CL594" s="71"/>
      <c r="CM594" s="71"/>
      <c r="CN594" s="71"/>
      <c r="CO594" s="71"/>
      <c r="CP594" s="71"/>
      <c r="CQ594" s="71"/>
      <c r="CR594" s="71"/>
      <c r="CS594" s="71"/>
      <c r="CT594" s="71"/>
      <c r="CU594" s="71"/>
      <c r="CV594" s="71"/>
      <c r="CW594" s="71"/>
      <c r="CX594" s="71"/>
      <c r="CY594" s="71"/>
      <c r="CZ594" s="71"/>
      <c r="DA594" s="71"/>
      <c r="DB594" s="71"/>
      <c r="DC594" s="71"/>
      <c r="DD594" s="71"/>
      <c r="DE594" s="71"/>
      <c r="DF594" s="71"/>
      <c r="DG594" s="71"/>
      <c r="DH594" s="71"/>
      <c r="DI594" s="71"/>
      <c r="DJ594" s="71"/>
      <c r="DK594" s="71"/>
      <c r="DL594" s="71"/>
      <c r="DM594" s="71"/>
      <c r="DN594" s="71"/>
      <c r="DO594" s="71"/>
      <c r="DP594" s="71"/>
      <c r="DQ594" s="71"/>
      <c r="DR594" s="71"/>
      <c r="DS594" s="71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  <c r="IJ594" s="71"/>
      <c r="IK594" s="71"/>
      <c r="IL594" s="71"/>
      <c r="IM594" s="71"/>
      <c r="IN594" s="71"/>
      <c r="IO594" s="71"/>
      <c r="IP594" s="71"/>
      <c r="IQ594" s="71"/>
      <c r="IR594" s="71"/>
      <c r="IS594" s="71"/>
      <c r="IT594" s="71"/>
      <c r="IU594" s="71"/>
      <c r="IV594" s="71"/>
      <c r="IW594" s="71"/>
    </row>
    <row r="595" customFormat="false" ht="12.75" hidden="false" customHeight="false" outlineLevel="0" collapsed="false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1"/>
      <c r="CH595" s="71"/>
      <c r="CI595" s="71"/>
      <c r="CJ595" s="71"/>
      <c r="CK595" s="71"/>
      <c r="CL595" s="71"/>
      <c r="CM595" s="71"/>
      <c r="CN595" s="71"/>
      <c r="CO595" s="71"/>
      <c r="CP595" s="71"/>
      <c r="CQ595" s="71"/>
      <c r="CR595" s="71"/>
      <c r="CS595" s="71"/>
      <c r="CT595" s="71"/>
      <c r="CU595" s="71"/>
      <c r="CV595" s="71"/>
      <c r="CW595" s="71"/>
      <c r="CX595" s="71"/>
      <c r="CY595" s="71"/>
      <c r="CZ595" s="71"/>
      <c r="DA595" s="71"/>
      <c r="DB595" s="71"/>
      <c r="DC595" s="71"/>
      <c r="DD595" s="71"/>
      <c r="DE595" s="71"/>
      <c r="DF595" s="71"/>
      <c r="DG595" s="71"/>
      <c r="DH595" s="71"/>
      <c r="DI595" s="71"/>
      <c r="DJ595" s="71"/>
      <c r="DK595" s="71"/>
      <c r="DL595" s="71"/>
      <c r="DM595" s="71"/>
      <c r="DN595" s="71"/>
      <c r="DO595" s="71"/>
      <c r="DP595" s="71"/>
      <c r="DQ595" s="71"/>
      <c r="DR595" s="71"/>
      <c r="DS595" s="71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  <c r="IJ595" s="71"/>
      <c r="IK595" s="71"/>
      <c r="IL595" s="71"/>
      <c r="IM595" s="71"/>
      <c r="IN595" s="71"/>
      <c r="IO595" s="71"/>
      <c r="IP595" s="71"/>
      <c r="IQ595" s="71"/>
      <c r="IR595" s="71"/>
      <c r="IS595" s="71"/>
      <c r="IT595" s="71"/>
      <c r="IU595" s="71"/>
      <c r="IV595" s="71"/>
      <c r="IW595" s="71"/>
    </row>
    <row r="596" customFormat="false" ht="12.75" hidden="false" customHeight="false" outlineLevel="0" collapsed="false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1"/>
      <c r="CH596" s="71"/>
      <c r="CI596" s="71"/>
      <c r="CJ596" s="71"/>
      <c r="CK596" s="71"/>
      <c r="CL596" s="71"/>
      <c r="CM596" s="71"/>
      <c r="CN596" s="71"/>
      <c r="CO596" s="71"/>
      <c r="CP596" s="71"/>
      <c r="CQ596" s="71"/>
      <c r="CR596" s="71"/>
      <c r="CS596" s="71"/>
      <c r="CT596" s="71"/>
      <c r="CU596" s="71"/>
      <c r="CV596" s="71"/>
      <c r="CW596" s="71"/>
      <c r="CX596" s="71"/>
      <c r="CY596" s="71"/>
      <c r="CZ596" s="71"/>
      <c r="DA596" s="71"/>
      <c r="DB596" s="71"/>
      <c r="DC596" s="71"/>
      <c r="DD596" s="71"/>
      <c r="DE596" s="71"/>
      <c r="DF596" s="71"/>
      <c r="DG596" s="71"/>
      <c r="DH596" s="71"/>
      <c r="DI596" s="71"/>
      <c r="DJ596" s="71"/>
      <c r="DK596" s="71"/>
      <c r="DL596" s="71"/>
      <c r="DM596" s="71"/>
      <c r="DN596" s="71"/>
      <c r="DO596" s="71"/>
      <c r="DP596" s="71"/>
      <c r="DQ596" s="71"/>
      <c r="DR596" s="71"/>
      <c r="DS596" s="71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  <c r="IJ596" s="71"/>
      <c r="IK596" s="71"/>
      <c r="IL596" s="71"/>
      <c r="IM596" s="71"/>
      <c r="IN596" s="71"/>
      <c r="IO596" s="71"/>
      <c r="IP596" s="71"/>
      <c r="IQ596" s="71"/>
      <c r="IR596" s="71"/>
      <c r="IS596" s="71"/>
      <c r="IT596" s="71"/>
      <c r="IU596" s="71"/>
      <c r="IV596" s="71"/>
      <c r="IW596" s="71"/>
    </row>
    <row r="597" customFormat="false" ht="12.75" hidden="false" customHeight="false" outlineLevel="0" collapsed="false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1"/>
      <c r="CH597" s="71"/>
      <c r="CI597" s="71"/>
      <c r="CJ597" s="71"/>
      <c r="CK597" s="71"/>
      <c r="CL597" s="71"/>
      <c r="CM597" s="71"/>
      <c r="CN597" s="71"/>
      <c r="CO597" s="71"/>
      <c r="CP597" s="71"/>
      <c r="CQ597" s="71"/>
      <c r="CR597" s="71"/>
      <c r="CS597" s="71"/>
      <c r="CT597" s="71"/>
      <c r="CU597" s="71"/>
      <c r="CV597" s="71"/>
      <c r="CW597" s="71"/>
      <c r="CX597" s="71"/>
      <c r="CY597" s="71"/>
      <c r="CZ597" s="71"/>
      <c r="DA597" s="71"/>
      <c r="DB597" s="71"/>
      <c r="DC597" s="71"/>
      <c r="DD597" s="71"/>
      <c r="DE597" s="71"/>
      <c r="DF597" s="71"/>
      <c r="DG597" s="71"/>
      <c r="DH597" s="71"/>
      <c r="DI597" s="71"/>
      <c r="DJ597" s="71"/>
      <c r="DK597" s="71"/>
      <c r="DL597" s="71"/>
      <c r="DM597" s="71"/>
      <c r="DN597" s="71"/>
      <c r="DO597" s="71"/>
      <c r="DP597" s="71"/>
      <c r="DQ597" s="71"/>
      <c r="DR597" s="71"/>
      <c r="DS597" s="71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  <c r="IJ597" s="71"/>
      <c r="IK597" s="71"/>
      <c r="IL597" s="71"/>
      <c r="IM597" s="71"/>
      <c r="IN597" s="71"/>
      <c r="IO597" s="71"/>
      <c r="IP597" s="71"/>
      <c r="IQ597" s="71"/>
      <c r="IR597" s="71"/>
      <c r="IS597" s="71"/>
      <c r="IT597" s="71"/>
      <c r="IU597" s="71"/>
      <c r="IV597" s="71"/>
      <c r="IW597" s="71"/>
    </row>
    <row r="598" customFormat="false" ht="12.75" hidden="false" customHeight="false" outlineLevel="0" collapsed="false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1"/>
      <c r="CH598" s="71"/>
      <c r="CI598" s="71"/>
      <c r="CJ598" s="71"/>
      <c r="CK598" s="71"/>
      <c r="CL598" s="71"/>
      <c r="CM598" s="71"/>
      <c r="CN598" s="71"/>
      <c r="CO598" s="71"/>
      <c r="CP598" s="71"/>
      <c r="CQ598" s="71"/>
      <c r="CR598" s="71"/>
      <c r="CS598" s="71"/>
      <c r="CT598" s="71"/>
      <c r="CU598" s="71"/>
      <c r="CV598" s="71"/>
      <c r="CW598" s="71"/>
      <c r="CX598" s="71"/>
      <c r="CY598" s="71"/>
      <c r="CZ598" s="71"/>
      <c r="DA598" s="71"/>
      <c r="DB598" s="71"/>
      <c r="DC598" s="71"/>
      <c r="DD598" s="71"/>
      <c r="DE598" s="71"/>
      <c r="DF598" s="71"/>
      <c r="DG598" s="71"/>
      <c r="DH598" s="71"/>
      <c r="DI598" s="71"/>
      <c r="DJ598" s="71"/>
      <c r="DK598" s="71"/>
      <c r="DL598" s="71"/>
      <c r="DM598" s="71"/>
      <c r="DN598" s="71"/>
      <c r="DO598" s="71"/>
      <c r="DP598" s="71"/>
      <c r="DQ598" s="71"/>
      <c r="DR598" s="71"/>
      <c r="DS598" s="71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  <c r="IJ598" s="71"/>
      <c r="IK598" s="71"/>
      <c r="IL598" s="71"/>
      <c r="IM598" s="71"/>
      <c r="IN598" s="71"/>
      <c r="IO598" s="71"/>
      <c r="IP598" s="71"/>
      <c r="IQ598" s="71"/>
      <c r="IR598" s="71"/>
      <c r="IS598" s="71"/>
      <c r="IT598" s="71"/>
      <c r="IU598" s="71"/>
      <c r="IV598" s="71"/>
      <c r="IW598" s="71"/>
    </row>
    <row r="599" customFormat="false" ht="12.75" hidden="false" customHeight="false" outlineLevel="0" collapsed="false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1"/>
      <c r="CH599" s="71"/>
      <c r="CI599" s="71"/>
      <c r="CJ599" s="71"/>
      <c r="CK599" s="71"/>
      <c r="CL599" s="71"/>
      <c r="CM599" s="71"/>
      <c r="CN599" s="71"/>
      <c r="CO599" s="71"/>
      <c r="CP599" s="71"/>
      <c r="CQ599" s="71"/>
      <c r="CR599" s="71"/>
      <c r="CS599" s="71"/>
      <c r="CT599" s="71"/>
      <c r="CU599" s="71"/>
      <c r="CV599" s="71"/>
      <c r="CW599" s="71"/>
      <c r="CX599" s="71"/>
      <c r="CY599" s="71"/>
      <c r="CZ599" s="71"/>
      <c r="DA599" s="71"/>
      <c r="DB599" s="71"/>
      <c r="DC599" s="71"/>
      <c r="DD599" s="71"/>
      <c r="DE599" s="71"/>
      <c r="DF599" s="71"/>
      <c r="DG599" s="71"/>
      <c r="DH599" s="71"/>
      <c r="DI599" s="71"/>
      <c r="DJ599" s="71"/>
      <c r="DK599" s="71"/>
      <c r="DL599" s="71"/>
      <c r="DM599" s="71"/>
      <c r="DN599" s="71"/>
      <c r="DO599" s="71"/>
      <c r="DP599" s="71"/>
      <c r="DQ599" s="71"/>
      <c r="DR599" s="71"/>
      <c r="DS599" s="71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  <c r="IJ599" s="71"/>
      <c r="IK599" s="71"/>
      <c r="IL599" s="71"/>
      <c r="IM599" s="71"/>
      <c r="IN599" s="71"/>
      <c r="IO599" s="71"/>
      <c r="IP599" s="71"/>
      <c r="IQ599" s="71"/>
      <c r="IR599" s="71"/>
      <c r="IS599" s="71"/>
      <c r="IT599" s="71"/>
      <c r="IU599" s="71"/>
      <c r="IV599" s="71"/>
      <c r="IW599" s="71"/>
    </row>
    <row r="600" customFormat="false" ht="12.75" hidden="false" customHeight="false" outlineLevel="0" collapsed="false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1"/>
      <c r="CH600" s="71"/>
      <c r="CI600" s="71"/>
      <c r="CJ600" s="71"/>
      <c r="CK600" s="71"/>
      <c r="CL600" s="71"/>
      <c r="CM600" s="71"/>
      <c r="CN600" s="71"/>
      <c r="CO600" s="71"/>
      <c r="CP600" s="71"/>
      <c r="CQ600" s="71"/>
      <c r="CR600" s="71"/>
      <c r="CS600" s="71"/>
      <c r="CT600" s="71"/>
      <c r="CU600" s="71"/>
      <c r="CV600" s="71"/>
      <c r="CW600" s="71"/>
      <c r="CX600" s="71"/>
      <c r="CY600" s="71"/>
      <c r="CZ600" s="71"/>
      <c r="DA600" s="71"/>
      <c r="DB600" s="71"/>
      <c r="DC600" s="71"/>
      <c r="DD600" s="71"/>
      <c r="DE600" s="71"/>
      <c r="DF600" s="71"/>
      <c r="DG600" s="71"/>
      <c r="DH600" s="71"/>
      <c r="DI600" s="71"/>
      <c r="DJ600" s="71"/>
      <c r="DK600" s="71"/>
      <c r="DL600" s="71"/>
      <c r="DM600" s="71"/>
      <c r="DN600" s="71"/>
      <c r="DO600" s="71"/>
      <c r="DP600" s="71"/>
      <c r="DQ600" s="71"/>
      <c r="DR600" s="71"/>
      <c r="DS600" s="71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  <c r="IJ600" s="71"/>
      <c r="IK600" s="71"/>
      <c r="IL600" s="71"/>
      <c r="IM600" s="71"/>
      <c r="IN600" s="71"/>
      <c r="IO600" s="71"/>
      <c r="IP600" s="71"/>
      <c r="IQ600" s="71"/>
      <c r="IR600" s="71"/>
      <c r="IS600" s="71"/>
      <c r="IT600" s="71"/>
      <c r="IU600" s="71"/>
      <c r="IV600" s="71"/>
      <c r="IW600" s="71"/>
    </row>
    <row r="601" customFormat="false" ht="12.75" hidden="false" customHeight="false" outlineLevel="0" collapsed="false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1"/>
      <c r="CG601" s="71"/>
      <c r="CH601" s="71"/>
      <c r="CI601" s="71"/>
      <c r="CJ601" s="71"/>
      <c r="CK601" s="71"/>
      <c r="CL601" s="71"/>
      <c r="CM601" s="71"/>
      <c r="CN601" s="71"/>
      <c r="CO601" s="71"/>
      <c r="CP601" s="71"/>
      <c r="CQ601" s="71"/>
      <c r="CR601" s="71"/>
      <c r="CS601" s="71"/>
      <c r="CT601" s="71"/>
      <c r="CU601" s="71"/>
      <c r="CV601" s="71"/>
      <c r="CW601" s="71"/>
      <c r="CX601" s="71"/>
      <c r="CY601" s="71"/>
      <c r="CZ601" s="71"/>
      <c r="DA601" s="71"/>
      <c r="DB601" s="71"/>
      <c r="DC601" s="71"/>
      <c r="DD601" s="71"/>
      <c r="DE601" s="71"/>
      <c r="DF601" s="71"/>
      <c r="DG601" s="71"/>
      <c r="DH601" s="71"/>
      <c r="DI601" s="71"/>
      <c r="DJ601" s="71"/>
      <c r="DK601" s="71"/>
      <c r="DL601" s="71"/>
      <c r="DM601" s="71"/>
      <c r="DN601" s="71"/>
      <c r="DO601" s="71"/>
      <c r="DP601" s="71"/>
      <c r="DQ601" s="71"/>
      <c r="DR601" s="71"/>
      <c r="DS601" s="71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  <c r="IJ601" s="71"/>
      <c r="IK601" s="71"/>
      <c r="IL601" s="71"/>
      <c r="IM601" s="71"/>
      <c r="IN601" s="71"/>
      <c r="IO601" s="71"/>
      <c r="IP601" s="71"/>
      <c r="IQ601" s="71"/>
      <c r="IR601" s="71"/>
      <c r="IS601" s="71"/>
      <c r="IT601" s="71"/>
      <c r="IU601" s="71"/>
      <c r="IV601" s="71"/>
      <c r="IW601" s="71"/>
    </row>
    <row r="602" customFormat="false" ht="12.75" hidden="false" customHeight="false" outlineLevel="0" collapsed="false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1"/>
      <c r="CH602" s="71"/>
      <c r="CI602" s="71"/>
      <c r="CJ602" s="71"/>
      <c r="CK602" s="71"/>
      <c r="CL602" s="71"/>
      <c r="CM602" s="71"/>
      <c r="CN602" s="71"/>
      <c r="CO602" s="71"/>
      <c r="CP602" s="71"/>
      <c r="CQ602" s="71"/>
      <c r="CR602" s="71"/>
      <c r="CS602" s="71"/>
      <c r="CT602" s="71"/>
      <c r="CU602" s="71"/>
      <c r="CV602" s="71"/>
      <c r="CW602" s="71"/>
      <c r="CX602" s="71"/>
      <c r="CY602" s="71"/>
      <c r="CZ602" s="71"/>
      <c r="DA602" s="71"/>
      <c r="DB602" s="71"/>
      <c r="DC602" s="71"/>
      <c r="DD602" s="71"/>
      <c r="DE602" s="71"/>
      <c r="DF602" s="71"/>
      <c r="DG602" s="71"/>
      <c r="DH602" s="71"/>
      <c r="DI602" s="71"/>
      <c r="DJ602" s="71"/>
      <c r="DK602" s="71"/>
      <c r="DL602" s="71"/>
      <c r="DM602" s="71"/>
      <c r="DN602" s="71"/>
      <c r="DO602" s="71"/>
      <c r="DP602" s="71"/>
      <c r="DQ602" s="71"/>
      <c r="DR602" s="71"/>
      <c r="DS602" s="71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  <c r="IJ602" s="71"/>
      <c r="IK602" s="71"/>
      <c r="IL602" s="71"/>
      <c r="IM602" s="71"/>
      <c r="IN602" s="71"/>
      <c r="IO602" s="71"/>
      <c r="IP602" s="71"/>
      <c r="IQ602" s="71"/>
      <c r="IR602" s="71"/>
      <c r="IS602" s="71"/>
      <c r="IT602" s="71"/>
      <c r="IU602" s="71"/>
      <c r="IV602" s="71"/>
      <c r="IW602" s="71"/>
    </row>
    <row r="603" customFormat="false" ht="12.75" hidden="false" customHeight="false" outlineLevel="0" collapsed="false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1"/>
      <c r="CH603" s="71"/>
      <c r="CI603" s="71"/>
      <c r="CJ603" s="71"/>
      <c r="CK603" s="71"/>
      <c r="CL603" s="71"/>
      <c r="CM603" s="71"/>
      <c r="CN603" s="71"/>
      <c r="CO603" s="71"/>
      <c r="CP603" s="71"/>
      <c r="CQ603" s="71"/>
      <c r="CR603" s="71"/>
      <c r="CS603" s="71"/>
      <c r="CT603" s="71"/>
      <c r="CU603" s="71"/>
      <c r="CV603" s="71"/>
      <c r="CW603" s="71"/>
      <c r="CX603" s="71"/>
      <c r="CY603" s="71"/>
      <c r="CZ603" s="71"/>
      <c r="DA603" s="71"/>
      <c r="DB603" s="71"/>
      <c r="DC603" s="71"/>
      <c r="DD603" s="71"/>
      <c r="DE603" s="71"/>
      <c r="DF603" s="71"/>
      <c r="DG603" s="71"/>
      <c r="DH603" s="71"/>
      <c r="DI603" s="71"/>
      <c r="DJ603" s="71"/>
      <c r="DK603" s="71"/>
      <c r="DL603" s="71"/>
      <c r="DM603" s="71"/>
      <c r="DN603" s="71"/>
      <c r="DO603" s="71"/>
      <c r="DP603" s="71"/>
      <c r="DQ603" s="71"/>
      <c r="DR603" s="71"/>
      <c r="DS603" s="71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  <c r="IJ603" s="71"/>
      <c r="IK603" s="71"/>
      <c r="IL603" s="71"/>
      <c r="IM603" s="71"/>
      <c r="IN603" s="71"/>
      <c r="IO603" s="71"/>
      <c r="IP603" s="71"/>
      <c r="IQ603" s="71"/>
      <c r="IR603" s="71"/>
      <c r="IS603" s="71"/>
      <c r="IT603" s="71"/>
      <c r="IU603" s="71"/>
      <c r="IV603" s="71"/>
      <c r="IW603" s="71"/>
    </row>
    <row r="604" customFormat="false" ht="12.75" hidden="false" customHeight="false" outlineLevel="0" collapsed="false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1"/>
      <c r="CH604" s="71"/>
      <c r="CI604" s="71"/>
      <c r="CJ604" s="71"/>
      <c r="CK604" s="71"/>
      <c r="CL604" s="71"/>
      <c r="CM604" s="71"/>
      <c r="CN604" s="71"/>
      <c r="CO604" s="71"/>
      <c r="CP604" s="71"/>
      <c r="CQ604" s="71"/>
      <c r="CR604" s="71"/>
      <c r="CS604" s="71"/>
      <c r="CT604" s="71"/>
      <c r="CU604" s="71"/>
      <c r="CV604" s="71"/>
      <c r="CW604" s="71"/>
      <c r="CX604" s="71"/>
      <c r="CY604" s="71"/>
      <c r="CZ604" s="71"/>
      <c r="DA604" s="71"/>
      <c r="DB604" s="71"/>
      <c r="DC604" s="71"/>
      <c r="DD604" s="71"/>
      <c r="DE604" s="71"/>
      <c r="DF604" s="71"/>
      <c r="DG604" s="71"/>
      <c r="DH604" s="71"/>
      <c r="DI604" s="71"/>
      <c r="DJ604" s="71"/>
      <c r="DK604" s="71"/>
      <c r="DL604" s="71"/>
      <c r="DM604" s="71"/>
      <c r="DN604" s="71"/>
      <c r="DO604" s="71"/>
      <c r="DP604" s="71"/>
      <c r="DQ604" s="71"/>
      <c r="DR604" s="71"/>
      <c r="DS604" s="71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  <c r="IJ604" s="71"/>
      <c r="IK604" s="71"/>
      <c r="IL604" s="71"/>
      <c r="IM604" s="71"/>
      <c r="IN604" s="71"/>
      <c r="IO604" s="71"/>
      <c r="IP604" s="71"/>
      <c r="IQ604" s="71"/>
      <c r="IR604" s="71"/>
      <c r="IS604" s="71"/>
      <c r="IT604" s="71"/>
      <c r="IU604" s="71"/>
      <c r="IV604" s="71"/>
      <c r="IW604" s="71"/>
    </row>
    <row r="605" customFormat="false" ht="12.75" hidden="false" customHeight="false" outlineLevel="0" collapsed="false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1"/>
      <c r="CH605" s="71"/>
      <c r="CI605" s="71"/>
      <c r="CJ605" s="71"/>
      <c r="CK605" s="71"/>
      <c r="CL605" s="71"/>
      <c r="CM605" s="71"/>
      <c r="CN605" s="71"/>
      <c r="CO605" s="71"/>
      <c r="CP605" s="71"/>
      <c r="CQ605" s="71"/>
      <c r="CR605" s="71"/>
      <c r="CS605" s="71"/>
      <c r="CT605" s="71"/>
      <c r="CU605" s="71"/>
      <c r="CV605" s="71"/>
      <c r="CW605" s="71"/>
      <c r="CX605" s="71"/>
      <c r="CY605" s="71"/>
      <c r="CZ605" s="71"/>
      <c r="DA605" s="71"/>
      <c r="DB605" s="71"/>
      <c r="DC605" s="71"/>
      <c r="DD605" s="71"/>
      <c r="DE605" s="71"/>
      <c r="DF605" s="71"/>
      <c r="DG605" s="71"/>
      <c r="DH605" s="71"/>
      <c r="DI605" s="71"/>
      <c r="DJ605" s="71"/>
      <c r="DK605" s="71"/>
      <c r="DL605" s="71"/>
      <c r="DM605" s="71"/>
      <c r="DN605" s="71"/>
      <c r="DO605" s="71"/>
      <c r="DP605" s="71"/>
      <c r="DQ605" s="71"/>
      <c r="DR605" s="71"/>
      <c r="DS605" s="71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  <c r="IJ605" s="71"/>
      <c r="IK605" s="71"/>
      <c r="IL605" s="71"/>
      <c r="IM605" s="71"/>
      <c r="IN605" s="71"/>
      <c r="IO605" s="71"/>
      <c r="IP605" s="71"/>
      <c r="IQ605" s="71"/>
      <c r="IR605" s="71"/>
      <c r="IS605" s="71"/>
      <c r="IT605" s="71"/>
      <c r="IU605" s="71"/>
      <c r="IV605" s="71"/>
      <c r="IW605" s="71"/>
    </row>
    <row r="606" customFormat="false" ht="12.75" hidden="false" customHeight="false" outlineLevel="0" collapsed="false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1"/>
      <c r="CH606" s="71"/>
      <c r="CI606" s="71"/>
      <c r="CJ606" s="71"/>
      <c r="CK606" s="71"/>
      <c r="CL606" s="71"/>
      <c r="CM606" s="71"/>
      <c r="CN606" s="71"/>
      <c r="CO606" s="71"/>
      <c r="CP606" s="71"/>
      <c r="CQ606" s="71"/>
      <c r="CR606" s="71"/>
      <c r="CS606" s="71"/>
      <c r="CT606" s="71"/>
      <c r="CU606" s="71"/>
      <c r="CV606" s="71"/>
      <c r="CW606" s="71"/>
      <c r="CX606" s="71"/>
      <c r="CY606" s="71"/>
      <c r="CZ606" s="71"/>
      <c r="DA606" s="71"/>
      <c r="DB606" s="71"/>
      <c r="DC606" s="71"/>
      <c r="DD606" s="71"/>
      <c r="DE606" s="71"/>
      <c r="DF606" s="71"/>
      <c r="DG606" s="71"/>
      <c r="DH606" s="71"/>
      <c r="DI606" s="71"/>
      <c r="DJ606" s="71"/>
      <c r="DK606" s="71"/>
      <c r="DL606" s="71"/>
      <c r="DM606" s="71"/>
      <c r="DN606" s="71"/>
      <c r="DO606" s="71"/>
      <c r="DP606" s="71"/>
      <c r="DQ606" s="71"/>
      <c r="DR606" s="71"/>
      <c r="DS606" s="71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  <c r="IJ606" s="71"/>
      <c r="IK606" s="71"/>
      <c r="IL606" s="71"/>
      <c r="IM606" s="71"/>
      <c r="IN606" s="71"/>
      <c r="IO606" s="71"/>
      <c r="IP606" s="71"/>
      <c r="IQ606" s="71"/>
      <c r="IR606" s="71"/>
      <c r="IS606" s="71"/>
      <c r="IT606" s="71"/>
      <c r="IU606" s="71"/>
      <c r="IV606" s="71"/>
      <c r="IW606" s="71"/>
    </row>
    <row r="607" customFormat="false" ht="12.75" hidden="false" customHeight="false" outlineLevel="0" collapsed="false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1"/>
      <c r="CH607" s="71"/>
      <c r="CI607" s="71"/>
      <c r="CJ607" s="71"/>
      <c r="CK607" s="71"/>
      <c r="CL607" s="71"/>
      <c r="CM607" s="71"/>
      <c r="CN607" s="71"/>
      <c r="CO607" s="71"/>
      <c r="CP607" s="71"/>
      <c r="CQ607" s="71"/>
      <c r="CR607" s="71"/>
      <c r="CS607" s="71"/>
      <c r="CT607" s="71"/>
      <c r="CU607" s="71"/>
      <c r="CV607" s="71"/>
      <c r="CW607" s="71"/>
      <c r="CX607" s="71"/>
      <c r="CY607" s="71"/>
      <c r="CZ607" s="71"/>
      <c r="DA607" s="71"/>
      <c r="DB607" s="71"/>
      <c r="DC607" s="71"/>
      <c r="DD607" s="71"/>
      <c r="DE607" s="71"/>
      <c r="DF607" s="71"/>
      <c r="DG607" s="71"/>
      <c r="DH607" s="71"/>
      <c r="DI607" s="71"/>
      <c r="DJ607" s="71"/>
      <c r="DK607" s="71"/>
      <c r="DL607" s="71"/>
      <c r="DM607" s="71"/>
      <c r="DN607" s="71"/>
      <c r="DO607" s="71"/>
      <c r="DP607" s="71"/>
      <c r="DQ607" s="71"/>
      <c r="DR607" s="71"/>
      <c r="DS607" s="71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  <c r="IJ607" s="71"/>
      <c r="IK607" s="71"/>
      <c r="IL607" s="71"/>
      <c r="IM607" s="71"/>
      <c r="IN607" s="71"/>
      <c r="IO607" s="71"/>
      <c r="IP607" s="71"/>
      <c r="IQ607" s="71"/>
      <c r="IR607" s="71"/>
      <c r="IS607" s="71"/>
      <c r="IT607" s="71"/>
      <c r="IU607" s="71"/>
      <c r="IV607" s="71"/>
      <c r="IW607" s="71"/>
    </row>
    <row r="608" customFormat="false" ht="12.75" hidden="false" customHeight="false" outlineLevel="0" collapsed="false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1"/>
      <c r="CH608" s="71"/>
      <c r="CI608" s="71"/>
      <c r="CJ608" s="71"/>
      <c r="CK608" s="71"/>
      <c r="CL608" s="71"/>
      <c r="CM608" s="71"/>
      <c r="CN608" s="71"/>
      <c r="CO608" s="71"/>
      <c r="CP608" s="71"/>
      <c r="CQ608" s="71"/>
      <c r="CR608" s="71"/>
      <c r="CS608" s="71"/>
      <c r="CT608" s="71"/>
      <c r="CU608" s="71"/>
      <c r="CV608" s="71"/>
      <c r="CW608" s="71"/>
      <c r="CX608" s="71"/>
      <c r="CY608" s="71"/>
      <c r="CZ608" s="71"/>
      <c r="DA608" s="71"/>
      <c r="DB608" s="71"/>
      <c r="DC608" s="71"/>
      <c r="DD608" s="71"/>
      <c r="DE608" s="71"/>
      <c r="DF608" s="71"/>
      <c r="DG608" s="71"/>
      <c r="DH608" s="71"/>
      <c r="DI608" s="71"/>
      <c r="DJ608" s="71"/>
      <c r="DK608" s="71"/>
      <c r="DL608" s="71"/>
      <c r="DM608" s="71"/>
      <c r="DN608" s="71"/>
      <c r="DO608" s="71"/>
      <c r="DP608" s="71"/>
      <c r="DQ608" s="71"/>
      <c r="DR608" s="71"/>
      <c r="DS608" s="71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  <c r="IJ608" s="71"/>
      <c r="IK608" s="71"/>
      <c r="IL608" s="71"/>
      <c r="IM608" s="71"/>
      <c r="IN608" s="71"/>
      <c r="IO608" s="71"/>
      <c r="IP608" s="71"/>
      <c r="IQ608" s="71"/>
      <c r="IR608" s="71"/>
      <c r="IS608" s="71"/>
      <c r="IT608" s="71"/>
      <c r="IU608" s="71"/>
      <c r="IV608" s="71"/>
      <c r="IW608" s="71"/>
    </row>
    <row r="609" customFormat="false" ht="12.75" hidden="false" customHeight="false" outlineLevel="0" collapsed="false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1"/>
      <c r="CH609" s="71"/>
      <c r="CI609" s="71"/>
      <c r="CJ609" s="71"/>
      <c r="CK609" s="71"/>
      <c r="CL609" s="71"/>
      <c r="CM609" s="71"/>
      <c r="CN609" s="71"/>
      <c r="CO609" s="71"/>
      <c r="CP609" s="71"/>
      <c r="CQ609" s="71"/>
      <c r="CR609" s="71"/>
      <c r="CS609" s="71"/>
      <c r="CT609" s="71"/>
      <c r="CU609" s="71"/>
      <c r="CV609" s="71"/>
      <c r="CW609" s="71"/>
      <c r="CX609" s="71"/>
      <c r="CY609" s="71"/>
      <c r="CZ609" s="71"/>
      <c r="DA609" s="71"/>
      <c r="DB609" s="71"/>
      <c r="DC609" s="71"/>
      <c r="DD609" s="71"/>
      <c r="DE609" s="71"/>
      <c r="DF609" s="71"/>
      <c r="DG609" s="71"/>
      <c r="DH609" s="71"/>
      <c r="DI609" s="71"/>
      <c r="DJ609" s="71"/>
      <c r="DK609" s="71"/>
      <c r="DL609" s="71"/>
      <c r="DM609" s="71"/>
      <c r="DN609" s="71"/>
      <c r="DO609" s="71"/>
      <c r="DP609" s="71"/>
      <c r="DQ609" s="71"/>
      <c r="DR609" s="71"/>
      <c r="DS609" s="71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  <c r="IJ609" s="71"/>
      <c r="IK609" s="71"/>
      <c r="IL609" s="71"/>
      <c r="IM609" s="71"/>
      <c r="IN609" s="71"/>
      <c r="IO609" s="71"/>
      <c r="IP609" s="71"/>
      <c r="IQ609" s="71"/>
      <c r="IR609" s="71"/>
      <c r="IS609" s="71"/>
      <c r="IT609" s="71"/>
      <c r="IU609" s="71"/>
      <c r="IV609" s="71"/>
      <c r="IW609" s="71"/>
    </row>
    <row r="610" customFormat="false" ht="12.75" hidden="false" customHeight="false" outlineLevel="0" collapsed="false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1"/>
      <c r="CG610" s="71"/>
      <c r="CH610" s="71"/>
      <c r="CI610" s="71"/>
      <c r="CJ610" s="71"/>
      <c r="CK610" s="71"/>
      <c r="CL610" s="71"/>
      <c r="CM610" s="71"/>
      <c r="CN610" s="71"/>
      <c r="CO610" s="71"/>
      <c r="CP610" s="71"/>
      <c r="CQ610" s="71"/>
      <c r="CR610" s="71"/>
      <c r="CS610" s="71"/>
      <c r="CT610" s="71"/>
      <c r="CU610" s="71"/>
      <c r="CV610" s="71"/>
      <c r="CW610" s="71"/>
      <c r="CX610" s="71"/>
      <c r="CY610" s="71"/>
      <c r="CZ610" s="71"/>
      <c r="DA610" s="71"/>
      <c r="DB610" s="71"/>
      <c r="DC610" s="71"/>
      <c r="DD610" s="71"/>
      <c r="DE610" s="71"/>
      <c r="DF610" s="71"/>
      <c r="DG610" s="71"/>
      <c r="DH610" s="71"/>
      <c r="DI610" s="71"/>
      <c r="DJ610" s="71"/>
      <c r="DK610" s="71"/>
      <c r="DL610" s="71"/>
      <c r="DM610" s="71"/>
      <c r="DN610" s="71"/>
      <c r="DO610" s="71"/>
      <c r="DP610" s="71"/>
      <c r="DQ610" s="71"/>
      <c r="DR610" s="71"/>
      <c r="DS610" s="71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  <c r="IJ610" s="71"/>
      <c r="IK610" s="71"/>
      <c r="IL610" s="71"/>
      <c r="IM610" s="71"/>
      <c r="IN610" s="71"/>
      <c r="IO610" s="71"/>
      <c r="IP610" s="71"/>
      <c r="IQ610" s="71"/>
      <c r="IR610" s="71"/>
      <c r="IS610" s="71"/>
      <c r="IT610" s="71"/>
      <c r="IU610" s="71"/>
      <c r="IV610" s="71"/>
      <c r="IW610" s="71"/>
    </row>
    <row r="611" customFormat="false" ht="12.75" hidden="false" customHeight="false" outlineLevel="0" collapsed="false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1"/>
      <c r="CG611" s="71"/>
      <c r="CH611" s="71"/>
      <c r="CI611" s="71"/>
      <c r="CJ611" s="71"/>
      <c r="CK611" s="71"/>
      <c r="CL611" s="71"/>
      <c r="CM611" s="71"/>
      <c r="CN611" s="71"/>
      <c r="CO611" s="71"/>
      <c r="CP611" s="71"/>
      <c r="CQ611" s="71"/>
      <c r="CR611" s="71"/>
      <c r="CS611" s="71"/>
      <c r="CT611" s="71"/>
      <c r="CU611" s="71"/>
      <c r="CV611" s="71"/>
      <c r="CW611" s="71"/>
      <c r="CX611" s="71"/>
      <c r="CY611" s="71"/>
      <c r="CZ611" s="71"/>
      <c r="DA611" s="71"/>
      <c r="DB611" s="71"/>
      <c r="DC611" s="71"/>
      <c r="DD611" s="71"/>
      <c r="DE611" s="71"/>
      <c r="DF611" s="71"/>
      <c r="DG611" s="71"/>
      <c r="DH611" s="71"/>
      <c r="DI611" s="71"/>
      <c r="DJ611" s="71"/>
      <c r="DK611" s="71"/>
      <c r="DL611" s="71"/>
      <c r="DM611" s="71"/>
      <c r="DN611" s="71"/>
      <c r="DO611" s="71"/>
      <c r="DP611" s="71"/>
      <c r="DQ611" s="71"/>
      <c r="DR611" s="71"/>
      <c r="DS611" s="71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  <c r="IJ611" s="71"/>
      <c r="IK611" s="71"/>
      <c r="IL611" s="71"/>
      <c r="IM611" s="71"/>
      <c r="IN611" s="71"/>
      <c r="IO611" s="71"/>
      <c r="IP611" s="71"/>
      <c r="IQ611" s="71"/>
      <c r="IR611" s="71"/>
      <c r="IS611" s="71"/>
      <c r="IT611" s="71"/>
      <c r="IU611" s="71"/>
      <c r="IV611" s="71"/>
      <c r="IW611" s="71"/>
    </row>
    <row r="612" customFormat="false" ht="12.75" hidden="false" customHeight="false" outlineLevel="0" collapsed="false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1"/>
      <c r="CG612" s="71"/>
      <c r="CH612" s="71"/>
      <c r="CI612" s="71"/>
      <c r="CJ612" s="71"/>
      <c r="CK612" s="71"/>
      <c r="CL612" s="71"/>
      <c r="CM612" s="71"/>
      <c r="CN612" s="71"/>
      <c r="CO612" s="71"/>
      <c r="CP612" s="71"/>
      <c r="CQ612" s="71"/>
      <c r="CR612" s="71"/>
      <c r="CS612" s="71"/>
      <c r="CT612" s="71"/>
      <c r="CU612" s="71"/>
      <c r="CV612" s="71"/>
      <c r="CW612" s="71"/>
      <c r="CX612" s="71"/>
      <c r="CY612" s="71"/>
      <c r="CZ612" s="71"/>
      <c r="DA612" s="71"/>
      <c r="DB612" s="71"/>
      <c r="DC612" s="71"/>
      <c r="DD612" s="71"/>
      <c r="DE612" s="71"/>
      <c r="DF612" s="71"/>
      <c r="DG612" s="71"/>
      <c r="DH612" s="71"/>
      <c r="DI612" s="71"/>
      <c r="DJ612" s="71"/>
      <c r="DK612" s="71"/>
      <c r="DL612" s="71"/>
      <c r="DM612" s="71"/>
      <c r="DN612" s="71"/>
      <c r="DO612" s="71"/>
      <c r="DP612" s="71"/>
      <c r="DQ612" s="71"/>
      <c r="DR612" s="71"/>
      <c r="DS612" s="71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  <c r="IJ612" s="71"/>
      <c r="IK612" s="71"/>
      <c r="IL612" s="71"/>
      <c r="IM612" s="71"/>
      <c r="IN612" s="71"/>
      <c r="IO612" s="71"/>
      <c r="IP612" s="71"/>
      <c r="IQ612" s="71"/>
      <c r="IR612" s="71"/>
      <c r="IS612" s="71"/>
      <c r="IT612" s="71"/>
      <c r="IU612" s="71"/>
      <c r="IV612" s="71"/>
      <c r="IW612" s="71"/>
    </row>
    <row r="613" customFormat="false" ht="12.75" hidden="false" customHeight="false" outlineLevel="0" collapsed="false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1"/>
      <c r="CG613" s="71"/>
      <c r="CH613" s="71"/>
      <c r="CI613" s="71"/>
      <c r="CJ613" s="71"/>
      <c r="CK613" s="71"/>
      <c r="CL613" s="71"/>
      <c r="CM613" s="71"/>
      <c r="CN613" s="71"/>
      <c r="CO613" s="71"/>
      <c r="CP613" s="71"/>
      <c r="CQ613" s="71"/>
      <c r="CR613" s="71"/>
      <c r="CS613" s="71"/>
      <c r="CT613" s="71"/>
      <c r="CU613" s="71"/>
      <c r="CV613" s="71"/>
      <c r="CW613" s="71"/>
      <c r="CX613" s="71"/>
      <c r="CY613" s="71"/>
      <c r="CZ613" s="71"/>
      <c r="DA613" s="71"/>
      <c r="DB613" s="71"/>
      <c r="DC613" s="71"/>
      <c r="DD613" s="71"/>
      <c r="DE613" s="71"/>
      <c r="DF613" s="71"/>
      <c r="DG613" s="71"/>
      <c r="DH613" s="71"/>
      <c r="DI613" s="71"/>
      <c r="DJ613" s="71"/>
      <c r="DK613" s="71"/>
      <c r="DL613" s="71"/>
      <c r="DM613" s="71"/>
      <c r="DN613" s="71"/>
      <c r="DO613" s="71"/>
      <c r="DP613" s="71"/>
      <c r="DQ613" s="71"/>
      <c r="DR613" s="71"/>
      <c r="DS613" s="71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  <c r="IJ613" s="71"/>
      <c r="IK613" s="71"/>
      <c r="IL613" s="71"/>
      <c r="IM613" s="71"/>
      <c r="IN613" s="71"/>
      <c r="IO613" s="71"/>
      <c r="IP613" s="71"/>
      <c r="IQ613" s="71"/>
      <c r="IR613" s="71"/>
      <c r="IS613" s="71"/>
      <c r="IT613" s="71"/>
      <c r="IU613" s="71"/>
      <c r="IV613" s="71"/>
      <c r="IW613" s="71"/>
    </row>
    <row r="614" customFormat="false" ht="12.75" hidden="false" customHeight="false" outlineLevel="0" collapsed="false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1"/>
      <c r="CG614" s="71"/>
      <c r="CH614" s="71"/>
      <c r="CI614" s="71"/>
      <c r="CJ614" s="71"/>
      <c r="CK614" s="71"/>
      <c r="CL614" s="71"/>
      <c r="CM614" s="71"/>
      <c r="CN614" s="71"/>
      <c r="CO614" s="71"/>
      <c r="CP614" s="71"/>
      <c r="CQ614" s="71"/>
      <c r="CR614" s="71"/>
      <c r="CS614" s="71"/>
      <c r="CT614" s="71"/>
      <c r="CU614" s="71"/>
      <c r="CV614" s="71"/>
      <c r="CW614" s="71"/>
      <c r="CX614" s="71"/>
      <c r="CY614" s="71"/>
      <c r="CZ614" s="71"/>
      <c r="DA614" s="71"/>
      <c r="DB614" s="71"/>
      <c r="DC614" s="71"/>
      <c r="DD614" s="71"/>
      <c r="DE614" s="71"/>
      <c r="DF614" s="71"/>
      <c r="DG614" s="71"/>
      <c r="DH614" s="71"/>
      <c r="DI614" s="71"/>
      <c r="DJ614" s="71"/>
      <c r="DK614" s="71"/>
      <c r="DL614" s="71"/>
      <c r="DM614" s="71"/>
      <c r="DN614" s="71"/>
      <c r="DO614" s="71"/>
      <c r="DP614" s="71"/>
      <c r="DQ614" s="71"/>
      <c r="DR614" s="71"/>
      <c r="DS614" s="71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  <c r="IJ614" s="71"/>
      <c r="IK614" s="71"/>
      <c r="IL614" s="71"/>
      <c r="IM614" s="71"/>
      <c r="IN614" s="71"/>
      <c r="IO614" s="71"/>
      <c r="IP614" s="71"/>
      <c r="IQ614" s="71"/>
      <c r="IR614" s="71"/>
      <c r="IS614" s="71"/>
      <c r="IT614" s="71"/>
      <c r="IU614" s="71"/>
      <c r="IV614" s="71"/>
      <c r="IW614" s="71"/>
    </row>
    <row r="615" customFormat="false" ht="12.75" hidden="false" customHeight="false" outlineLevel="0" collapsed="false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/>
      <c r="CF615" s="71"/>
      <c r="CG615" s="71"/>
      <c r="CH615" s="71"/>
      <c r="CI615" s="71"/>
      <c r="CJ615" s="71"/>
      <c r="CK615" s="71"/>
      <c r="CL615" s="71"/>
      <c r="CM615" s="71"/>
      <c r="CN615" s="71"/>
      <c r="CO615" s="71"/>
      <c r="CP615" s="71"/>
      <c r="CQ615" s="71"/>
      <c r="CR615" s="71"/>
      <c r="CS615" s="71"/>
      <c r="CT615" s="71"/>
      <c r="CU615" s="71"/>
      <c r="CV615" s="71"/>
      <c r="CW615" s="71"/>
      <c r="CX615" s="71"/>
      <c r="CY615" s="71"/>
      <c r="CZ615" s="71"/>
      <c r="DA615" s="71"/>
      <c r="DB615" s="71"/>
      <c r="DC615" s="71"/>
      <c r="DD615" s="71"/>
      <c r="DE615" s="71"/>
      <c r="DF615" s="71"/>
      <c r="DG615" s="71"/>
      <c r="DH615" s="71"/>
      <c r="DI615" s="71"/>
      <c r="DJ615" s="71"/>
      <c r="DK615" s="71"/>
      <c r="DL615" s="71"/>
      <c r="DM615" s="71"/>
      <c r="DN615" s="71"/>
      <c r="DO615" s="71"/>
      <c r="DP615" s="71"/>
      <c r="DQ615" s="71"/>
      <c r="DR615" s="71"/>
      <c r="DS615" s="71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  <c r="IJ615" s="71"/>
      <c r="IK615" s="71"/>
      <c r="IL615" s="71"/>
      <c r="IM615" s="71"/>
      <c r="IN615" s="71"/>
      <c r="IO615" s="71"/>
      <c r="IP615" s="71"/>
      <c r="IQ615" s="71"/>
      <c r="IR615" s="71"/>
      <c r="IS615" s="71"/>
      <c r="IT615" s="71"/>
      <c r="IU615" s="71"/>
      <c r="IV615" s="71"/>
      <c r="IW615" s="71"/>
    </row>
    <row r="616" customFormat="false" ht="12.75" hidden="false" customHeight="false" outlineLevel="0" collapsed="false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1"/>
      <c r="CH616" s="71"/>
      <c r="CI616" s="71"/>
      <c r="CJ616" s="71"/>
      <c r="CK616" s="71"/>
      <c r="CL616" s="71"/>
      <c r="CM616" s="71"/>
      <c r="CN616" s="71"/>
      <c r="CO616" s="71"/>
      <c r="CP616" s="71"/>
      <c r="CQ616" s="71"/>
      <c r="CR616" s="71"/>
      <c r="CS616" s="71"/>
      <c r="CT616" s="71"/>
      <c r="CU616" s="71"/>
      <c r="CV616" s="71"/>
      <c r="CW616" s="71"/>
      <c r="CX616" s="71"/>
      <c r="CY616" s="71"/>
      <c r="CZ616" s="71"/>
      <c r="DA616" s="71"/>
      <c r="DB616" s="71"/>
      <c r="DC616" s="71"/>
      <c r="DD616" s="71"/>
      <c r="DE616" s="71"/>
      <c r="DF616" s="71"/>
      <c r="DG616" s="71"/>
      <c r="DH616" s="71"/>
      <c r="DI616" s="71"/>
      <c r="DJ616" s="71"/>
      <c r="DK616" s="71"/>
      <c r="DL616" s="71"/>
      <c r="DM616" s="71"/>
      <c r="DN616" s="71"/>
      <c r="DO616" s="71"/>
      <c r="DP616" s="71"/>
      <c r="DQ616" s="71"/>
      <c r="DR616" s="71"/>
      <c r="DS616" s="71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  <c r="IJ616" s="71"/>
      <c r="IK616" s="71"/>
      <c r="IL616" s="71"/>
      <c r="IM616" s="71"/>
      <c r="IN616" s="71"/>
      <c r="IO616" s="71"/>
      <c r="IP616" s="71"/>
      <c r="IQ616" s="71"/>
      <c r="IR616" s="71"/>
      <c r="IS616" s="71"/>
      <c r="IT616" s="71"/>
      <c r="IU616" s="71"/>
      <c r="IV616" s="71"/>
      <c r="IW616" s="71"/>
    </row>
    <row r="617" customFormat="false" ht="12.75" hidden="false" customHeight="false" outlineLevel="0" collapsed="false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1"/>
      <c r="CG617" s="71"/>
      <c r="CH617" s="71"/>
      <c r="CI617" s="71"/>
      <c r="CJ617" s="71"/>
      <c r="CK617" s="71"/>
      <c r="CL617" s="71"/>
      <c r="CM617" s="71"/>
      <c r="CN617" s="71"/>
      <c r="CO617" s="71"/>
      <c r="CP617" s="71"/>
      <c r="CQ617" s="71"/>
      <c r="CR617" s="71"/>
      <c r="CS617" s="71"/>
      <c r="CT617" s="71"/>
      <c r="CU617" s="71"/>
      <c r="CV617" s="71"/>
      <c r="CW617" s="71"/>
      <c r="CX617" s="71"/>
      <c r="CY617" s="71"/>
      <c r="CZ617" s="71"/>
      <c r="DA617" s="71"/>
      <c r="DB617" s="71"/>
      <c r="DC617" s="71"/>
      <c r="DD617" s="71"/>
      <c r="DE617" s="71"/>
      <c r="DF617" s="71"/>
      <c r="DG617" s="71"/>
      <c r="DH617" s="71"/>
      <c r="DI617" s="71"/>
      <c r="DJ617" s="71"/>
      <c r="DK617" s="71"/>
      <c r="DL617" s="71"/>
      <c r="DM617" s="71"/>
      <c r="DN617" s="71"/>
      <c r="DO617" s="71"/>
      <c r="DP617" s="71"/>
      <c r="DQ617" s="71"/>
      <c r="DR617" s="71"/>
      <c r="DS617" s="71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  <c r="IJ617" s="71"/>
      <c r="IK617" s="71"/>
      <c r="IL617" s="71"/>
      <c r="IM617" s="71"/>
      <c r="IN617" s="71"/>
      <c r="IO617" s="71"/>
      <c r="IP617" s="71"/>
      <c r="IQ617" s="71"/>
      <c r="IR617" s="71"/>
      <c r="IS617" s="71"/>
      <c r="IT617" s="71"/>
      <c r="IU617" s="71"/>
      <c r="IV617" s="71"/>
      <c r="IW617" s="71"/>
    </row>
    <row r="618" customFormat="false" ht="12.75" hidden="false" customHeight="false" outlineLevel="0" collapsed="false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1"/>
      <c r="CG618" s="71"/>
      <c r="CH618" s="71"/>
      <c r="CI618" s="71"/>
      <c r="CJ618" s="71"/>
      <c r="CK618" s="71"/>
      <c r="CL618" s="71"/>
      <c r="CM618" s="71"/>
      <c r="CN618" s="71"/>
      <c r="CO618" s="71"/>
      <c r="CP618" s="71"/>
      <c r="CQ618" s="71"/>
      <c r="CR618" s="71"/>
      <c r="CS618" s="71"/>
      <c r="CT618" s="71"/>
      <c r="CU618" s="71"/>
      <c r="CV618" s="71"/>
      <c r="CW618" s="71"/>
      <c r="CX618" s="71"/>
      <c r="CY618" s="71"/>
      <c r="CZ618" s="71"/>
      <c r="DA618" s="71"/>
      <c r="DB618" s="71"/>
      <c r="DC618" s="71"/>
      <c r="DD618" s="71"/>
      <c r="DE618" s="71"/>
      <c r="DF618" s="71"/>
      <c r="DG618" s="71"/>
      <c r="DH618" s="71"/>
      <c r="DI618" s="71"/>
      <c r="DJ618" s="71"/>
      <c r="DK618" s="71"/>
      <c r="DL618" s="71"/>
      <c r="DM618" s="71"/>
      <c r="DN618" s="71"/>
      <c r="DO618" s="71"/>
      <c r="DP618" s="71"/>
      <c r="DQ618" s="71"/>
      <c r="DR618" s="71"/>
      <c r="DS618" s="71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  <c r="IJ618" s="71"/>
      <c r="IK618" s="71"/>
      <c r="IL618" s="71"/>
      <c r="IM618" s="71"/>
      <c r="IN618" s="71"/>
      <c r="IO618" s="71"/>
      <c r="IP618" s="71"/>
      <c r="IQ618" s="71"/>
      <c r="IR618" s="71"/>
      <c r="IS618" s="71"/>
      <c r="IT618" s="71"/>
      <c r="IU618" s="71"/>
      <c r="IV618" s="71"/>
      <c r="IW618" s="71"/>
    </row>
    <row r="619" customFormat="false" ht="12.75" hidden="false" customHeight="false" outlineLevel="0" collapsed="false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1"/>
      <c r="CG619" s="71"/>
      <c r="CH619" s="71"/>
      <c r="CI619" s="71"/>
      <c r="CJ619" s="71"/>
      <c r="CK619" s="71"/>
      <c r="CL619" s="71"/>
      <c r="CM619" s="71"/>
      <c r="CN619" s="71"/>
      <c r="CO619" s="71"/>
      <c r="CP619" s="71"/>
      <c r="CQ619" s="71"/>
      <c r="CR619" s="71"/>
      <c r="CS619" s="71"/>
      <c r="CT619" s="71"/>
      <c r="CU619" s="71"/>
      <c r="CV619" s="71"/>
      <c r="CW619" s="71"/>
      <c r="CX619" s="71"/>
      <c r="CY619" s="71"/>
      <c r="CZ619" s="71"/>
      <c r="DA619" s="71"/>
      <c r="DB619" s="71"/>
      <c r="DC619" s="71"/>
      <c r="DD619" s="71"/>
      <c r="DE619" s="71"/>
      <c r="DF619" s="71"/>
      <c r="DG619" s="71"/>
      <c r="DH619" s="71"/>
      <c r="DI619" s="71"/>
      <c r="DJ619" s="71"/>
      <c r="DK619" s="71"/>
      <c r="DL619" s="71"/>
      <c r="DM619" s="71"/>
      <c r="DN619" s="71"/>
      <c r="DO619" s="71"/>
      <c r="DP619" s="71"/>
      <c r="DQ619" s="71"/>
      <c r="DR619" s="71"/>
      <c r="DS619" s="71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  <c r="IJ619" s="71"/>
      <c r="IK619" s="71"/>
      <c r="IL619" s="71"/>
      <c r="IM619" s="71"/>
      <c r="IN619" s="71"/>
      <c r="IO619" s="71"/>
      <c r="IP619" s="71"/>
      <c r="IQ619" s="71"/>
      <c r="IR619" s="71"/>
      <c r="IS619" s="71"/>
      <c r="IT619" s="71"/>
      <c r="IU619" s="71"/>
      <c r="IV619" s="71"/>
      <c r="IW619" s="71"/>
    </row>
    <row r="620" customFormat="false" ht="12.75" hidden="false" customHeight="false" outlineLevel="0" collapsed="false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1"/>
      <c r="CG620" s="71"/>
      <c r="CH620" s="71"/>
      <c r="CI620" s="71"/>
      <c r="CJ620" s="71"/>
      <c r="CK620" s="71"/>
      <c r="CL620" s="71"/>
      <c r="CM620" s="71"/>
      <c r="CN620" s="71"/>
      <c r="CO620" s="71"/>
      <c r="CP620" s="71"/>
      <c r="CQ620" s="71"/>
      <c r="CR620" s="71"/>
      <c r="CS620" s="71"/>
      <c r="CT620" s="71"/>
      <c r="CU620" s="71"/>
      <c r="CV620" s="71"/>
      <c r="CW620" s="71"/>
      <c r="CX620" s="71"/>
      <c r="CY620" s="71"/>
      <c r="CZ620" s="71"/>
      <c r="DA620" s="71"/>
      <c r="DB620" s="71"/>
      <c r="DC620" s="71"/>
      <c r="DD620" s="71"/>
      <c r="DE620" s="71"/>
      <c r="DF620" s="71"/>
      <c r="DG620" s="71"/>
      <c r="DH620" s="71"/>
      <c r="DI620" s="71"/>
      <c r="DJ620" s="71"/>
      <c r="DK620" s="71"/>
      <c r="DL620" s="71"/>
      <c r="DM620" s="71"/>
      <c r="DN620" s="71"/>
      <c r="DO620" s="71"/>
      <c r="DP620" s="71"/>
      <c r="DQ620" s="71"/>
      <c r="DR620" s="71"/>
      <c r="DS620" s="71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  <c r="IJ620" s="71"/>
      <c r="IK620" s="71"/>
      <c r="IL620" s="71"/>
      <c r="IM620" s="71"/>
      <c r="IN620" s="71"/>
      <c r="IO620" s="71"/>
      <c r="IP620" s="71"/>
      <c r="IQ620" s="71"/>
      <c r="IR620" s="71"/>
      <c r="IS620" s="71"/>
      <c r="IT620" s="71"/>
      <c r="IU620" s="71"/>
      <c r="IV620" s="71"/>
      <c r="IW620" s="71"/>
    </row>
    <row r="621" customFormat="false" ht="12.75" hidden="false" customHeight="false" outlineLevel="0" collapsed="false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1"/>
      <c r="CG621" s="71"/>
      <c r="CH621" s="71"/>
      <c r="CI621" s="71"/>
      <c r="CJ621" s="71"/>
      <c r="CK621" s="71"/>
      <c r="CL621" s="71"/>
      <c r="CM621" s="71"/>
      <c r="CN621" s="71"/>
      <c r="CO621" s="71"/>
      <c r="CP621" s="71"/>
      <c r="CQ621" s="71"/>
      <c r="CR621" s="71"/>
      <c r="CS621" s="71"/>
      <c r="CT621" s="71"/>
      <c r="CU621" s="71"/>
      <c r="CV621" s="71"/>
      <c r="CW621" s="71"/>
      <c r="CX621" s="71"/>
      <c r="CY621" s="71"/>
      <c r="CZ621" s="71"/>
      <c r="DA621" s="71"/>
      <c r="DB621" s="71"/>
      <c r="DC621" s="71"/>
      <c r="DD621" s="71"/>
      <c r="DE621" s="71"/>
      <c r="DF621" s="71"/>
      <c r="DG621" s="71"/>
      <c r="DH621" s="71"/>
      <c r="DI621" s="71"/>
      <c r="DJ621" s="71"/>
      <c r="DK621" s="71"/>
      <c r="DL621" s="71"/>
      <c r="DM621" s="71"/>
      <c r="DN621" s="71"/>
      <c r="DO621" s="71"/>
      <c r="DP621" s="71"/>
      <c r="DQ621" s="71"/>
      <c r="DR621" s="71"/>
      <c r="DS621" s="71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  <c r="IJ621" s="71"/>
      <c r="IK621" s="71"/>
      <c r="IL621" s="71"/>
      <c r="IM621" s="71"/>
      <c r="IN621" s="71"/>
      <c r="IO621" s="71"/>
      <c r="IP621" s="71"/>
      <c r="IQ621" s="71"/>
      <c r="IR621" s="71"/>
      <c r="IS621" s="71"/>
      <c r="IT621" s="71"/>
      <c r="IU621" s="71"/>
      <c r="IV621" s="71"/>
      <c r="IW621" s="71"/>
    </row>
    <row r="622" customFormat="false" ht="12.75" hidden="false" customHeight="false" outlineLevel="0" collapsed="false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1"/>
      <c r="CH622" s="71"/>
      <c r="CI622" s="71"/>
      <c r="CJ622" s="71"/>
      <c r="CK622" s="71"/>
      <c r="CL622" s="71"/>
      <c r="CM622" s="71"/>
      <c r="CN622" s="71"/>
      <c r="CO622" s="71"/>
      <c r="CP622" s="71"/>
      <c r="CQ622" s="71"/>
      <c r="CR622" s="71"/>
      <c r="CS622" s="71"/>
      <c r="CT622" s="71"/>
      <c r="CU622" s="71"/>
      <c r="CV622" s="71"/>
      <c r="CW622" s="71"/>
      <c r="CX622" s="71"/>
      <c r="CY622" s="71"/>
      <c r="CZ622" s="71"/>
      <c r="DA622" s="71"/>
      <c r="DB622" s="71"/>
      <c r="DC622" s="71"/>
      <c r="DD622" s="71"/>
      <c r="DE622" s="71"/>
      <c r="DF622" s="71"/>
      <c r="DG622" s="71"/>
      <c r="DH622" s="71"/>
      <c r="DI622" s="71"/>
      <c r="DJ622" s="71"/>
      <c r="DK622" s="71"/>
      <c r="DL622" s="71"/>
      <c r="DM622" s="71"/>
      <c r="DN622" s="71"/>
      <c r="DO622" s="71"/>
      <c r="DP622" s="71"/>
      <c r="DQ622" s="71"/>
      <c r="DR622" s="71"/>
      <c r="DS622" s="71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  <c r="IJ622" s="71"/>
      <c r="IK622" s="71"/>
      <c r="IL622" s="71"/>
      <c r="IM622" s="71"/>
      <c r="IN622" s="71"/>
      <c r="IO622" s="71"/>
      <c r="IP622" s="71"/>
      <c r="IQ622" s="71"/>
      <c r="IR622" s="71"/>
      <c r="IS622" s="71"/>
      <c r="IT622" s="71"/>
      <c r="IU622" s="71"/>
      <c r="IV622" s="71"/>
      <c r="IW622" s="71"/>
    </row>
    <row r="623" customFormat="false" ht="12.75" hidden="false" customHeight="false" outlineLevel="0" collapsed="false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1"/>
      <c r="CG623" s="71"/>
      <c r="CH623" s="71"/>
      <c r="CI623" s="71"/>
      <c r="CJ623" s="71"/>
      <c r="CK623" s="71"/>
      <c r="CL623" s="71"/>
      <c r="CM623" s="71"/>
      <c r="CN623" s="71"/>
      <c r="CO623" s="71"/>
      <c r="CP623" s="71"/>
      <c r="CQ623" s="71"/>
      <c r="CR623" s="71"/>
      <c r="CS623" s="71"/>
      <c r="CT623" s="71"/>
      <c r="CU623" s="71"/>
      <c r="CV623" s="71"/>
      <c r="CW623" s="71"/>
      <c r="CX623" s="71"/>
      <c r="CY623" s="71"/>
      <c r="CZ623" s="71"/>
      <c r="DA623" s="71"/>
      <c r="DB623" s="71"/>
      <c r="DC623" s="71"/>
      <c r="DD623" s="71"/>
      <c r="DE623" s="71"/>
      <c r="DF623" s="71"/>
      <c r="DG623" s="71"/>
      <c r="DH623" s="71"/>
      <c r="DI623" s="71"/>
      <c r="DJ623" s="71"/>
      <c r="DK623" s="71"/>
      <c r="DL623" s="71"/>
      <c r="DM623" s="71"/>
      <c r="DN623" s="71"/>
      <c r="DO623" s="71"/>
      <c r="DP623" s="71"/>
      <c r="DQ623" s="71"/>
      <c r="DR623" s="71"/>
      <c r="DS623" s="71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  <c r="IJ623" s="71"/>
      <c r="IK623" s="71"/>
      <c r="IL623" s="71"/>
      <c r="IM623" s="71"/>
      <c r="IN623" s="71"/>
      <c r="IO623" s="71"/>
      <c r="IP623" s="71"/>
      <c r="IQ623" s="71"/>
      <c r="IR623" s="71"/>
      <c r="IS623" s="71"/>
      <c r="IT623" s="71"/>
      <c r="IU623" s="71"/>
      <c r="IV623" s="71"/>
      <c r="IW623" s="71"/>
    </row>
    <row r="624" customFormat="false" ht="12.75" hidden="false" customHeight="false" outlineLevel="0" collapsed="false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1"/>
      <c r="CG624" s="71"/>
      <c r="CH624" s="71"/>
      <c r="CI624" s="71"/>
      <c r="CJ624" s="71"/>
      <c r="CK624" s="71"/>
      <c r="CL624" s="71"/>
      <c r="CM624" s="71"/>
      <c r="CN624" s="71"/>
      <c r="CO624" s="71"/>
      <c r="CP624" s="71"/>
      <c r="CQ624" s="71"/>
      <c r="CR624" s="71"/>
      <c r="CS624" s="71"/>
      <c r="CT624" s="71"/>
      <c r="CU624" s="71"/>
      <c r="CV624" s="71"/>
      <c r="CW624" s="71"/>
      <c r="CX624" s="71"/>
      <c r="CY624" s="71"/>
      <c r="CZ624" s="71"/>
      <c r="DA624" s="71"/>
      <c r="DB624" s="71"/>
      <c r="DC624" s="71"/>
      <c r="DD624" s="71"/>
      <c r="DE624" s="71"/>
      <c r="DF624" s="71"/>
      <c r="DG624" s="71"/>
      <c r="DH624" s="71"/>
      <c r="DI624" s="71"/>
      <c r="DJ624" s="71"/>
      <c r="DK624" s="71"/>
      <c r="DL624" s="71"/>
      <c r="DM624" s="71"/>
      <c r="DN624" s="71"/>
      <c r="DO624" s="71"/>
      <c r="DP624" s="71"/>
      <c r="DQ624" s="71"/>
      <c r="DR624" s="71"/>
      <c r="DS624" s="71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  <c r="IJ624" s="71"/>
      <c r="IK624" s="71"/>
      <c r="IL624" s="71"/>
      <c r="IM624" s="71"/>
      <c r="IN624" s="71"/>
      <c r="IO624" s="71"/>
      <c r="IP624" s="71"/>
      <c r="IQ624" s="71"/>
      <c r="IR624" s="71"/>
      <c r="IS624" s="71"/>
      <c r="IT624" s="71"/>
      <c r="IU624" s="71"/>
      <c r="IV624" s="71"/>
      <c r="IW624" s="71"/>
    </row>
    <row r="625" customFormat="false" ht="12.75" hidden="false" customHeight="false" outlineLevel="0" collapsed="false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1"/>
      <c r="CH625" s="71"/>
      <c r="CI625" s="71"/>
      <c r="CJ625" s="71"/>
      <c r="CK625" s="71"/>
      <c r="CL625" s="71"/>
      <c r="CM625" s="71"/>
      <c r="CN625" s="71"/>
      <c r="CO625" s="71"/>
      <c r="CP625" s="71"/>
      <c r="CQ625" s="71"/>
      <c r="CR625" s="71"/>
      <c r="CS625" s="71"/>
      <c r="CT625" s="71"/>
      <c r="CU625" s="71"/>
      <c r="CV625" s="71"/>
      <c r="CW625" s="71"/>
      <c r="CX625" s="71"/>
      <c r="CY625" s="71"/>
      <c r="CZ625" s="71"/>
      <c r="DA625" s="71"/>
      <c r="DB625" s="71"/>
      <c r="DC625" s="71"/>
      <c r="DD625" s="71"/>
      <c r="DE625" s="71"/>
      <c r="DF625" s="71"/>
      <c r="DG625" s="71"/>
      <c r="DH625" s="71"/>
      <c r="DI625" s="71"/>
      <c r="DJ625" s="71"/>
      <c r="DK625" s="71"/>
      <c r="DL625" s="71"/>
      <c r="DM625" s="71"/>
      <c r="DN625" s="71"/>
      <c r="DO625" s="71"/>
      <c r="DP625" s="71"/>
      <c r="DQ625" s="71"/>
      <c r="DR625" s="71"/>
      <c r="DS625" s="71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  <c r="IJ625" s="71"/>
      <c r="IK625" s="71"/>
      <c r="IL625" s="71"/>
      <c r="IM625" s="71"/>
      <c r="IN625" s="71"/>
      <c r="IO625" s="71"/>
      <c r="IP625" s="71"/>
      <c r="IQ625" s="71"/>
      <c r="IR625" s="71"/>
      <c r="IS625" s="71"/>
      <c r="IT625" s="71"/>
      <c r="IU625" s="71"/>
      <c r="IV625" s="71"/>
      <c r="IW625" s="71"/>
    </row>
    <row r="626" customFormat="false" ht="12.75" hidden="false" customHeight="false" outlineLevel="0" collapsed="false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1"/>
      <c r="CH626" s="71"/>
      <c r="CI626" s="71"/>
      <c r="CJ626" s="71"/>
      <c r="CK626" s="71"/>
      <c r="CL626" s="71"/>
      <c r="CM626" s="71"/>
      <c r="CN626" s="71"/>
      <c r="CO626" s="71"/>
      <c r="CP626" s="71"/>
      <c r="CQ626" s="71"/>
      <c r="CR626" s="71"/>
      <c r="CS626" s="71"/>
      <c r="CT626" s="71"/>
      <c r="CU626" s="71"/>
      <c r="CV626" s="71"/>
      <c r="CW626" s="71"/>
      <c r="CX626" s="71"/>
      <c r="CY626" s="71"/>
      <c r="CZ626" s="71"/>
      <c r="DA626" s="71"/>
      <c r="DB626" s="71"/>
      <c r="DC626" s="71"/>
      <c r="DD626" s="71"/>
      <c r="DE626" s="71"/>
      <c r="DF626" s="71"/>
      <c r="DG626" s="71"/>
      <c r="DH626" s="71"/>
      <c r="DI626" s="71"/>
      <c r="DJ626" s="71"/>
      <c r="DK626" s="71"/>
      <c r="DL626" s="71"/>
      <c r="DM626" s="71"/>
      <c r="DN626" s="71"/>
      <c r="DO626" s="71"/>
      <c r="DP626" s="71"/>
      <c r="DQ626" s="71"/>
      <c r="DR626" s="71"/>
      <c r="DS626" s="71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  <c r="IJ626" s="71"/>
      <c r="IK626" s="71"/>
      <c r="IL626" s="71"/>
      <c r="IM626" s="71"/>
      <c r="IN626" s="71"/>
      <c r="IO626" s="71"/>
      <c r="IP626" s="71"/>
      <c r="IQ626" s="71"/>
      <c r="IR626" s="71"/>
      <c r="IS626" s="71"/>
      <c r="IT626" s="71"/>
      <c r="IU626" s="71"/>
      <c r="IV626" s="71"/>
      <c r="IW626" s="71"/>
    </row>
    <row r="627" customFormat="false" ht="12.75" hidden="false" customHeight="false" outlineLevel="0" collapsed="false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1"/>
      <c r="CG627" s="71"/>
      <c r="CH627" s="71"/>
      <c r="CI627" s="71"/>
      <c r="CJ627" s="71"/>
      <c r="CK627" s="71"/>
      <c r="CL627" s="71"/>
      <c r="CM627" s="71"/>
      <c r="CN627" s="71"/>
      <c r="CO627" s="71"/>
      <c r="CP627" s="71"/>
      <c r="CQ627" s="71"/>
      <c r="CR627" s="71"/>
      <c r="CS627" s="71"/>
      <c r="CT627" s="71"/>
      <c r="CU627" s="71"/>
      <c r="CV627" s="71"/>
      <c r="CW627" s="71"/>
      <c r="CX627" s="71"/>
      <c r="CY627" s="71"/>
      <c r="CZ627" s="71"/>
      <c r="DA627" s="71"/>
      <c r="DB627" s="71"/>
      <c r="DC627" s="71"/>
      <c r="DD627" s="71"/>
      <c r="DE627" s="71"/>
      <c r="DF627" s="71"/>
      <c r="DG627" s="71"/>
      <c r="DH627" s="71"/>
      <c r="DI627" s="71"/>
      <c r="DJ627" s="71"/>
      <c r="DK627" s="71"/>
      <c r="DL627" s="71"/>
      <c r="DM627" s="71"/>
      <c r="DN627" s="71"/>
      <c r="DO627" s="71"/>
      <c r="DP627" s="71"/>
      <c r="DQ627" s="71"/>
      <c r="DR627" s="71"/>
      <c r="DS627" s="71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  <c r="IJ627" s="71"/>
      <c r="IK627" s="71"/>
      <c r="IL627" s="71"/>
      <c r="IM627" s="71"/>
      <c r="IN627" s="71"/>
      <c r="IO627" s="71"/>
      <c r="IP627" s="71"/>
      <c r="IQ627" s="71"/>
      <c r="IR627" s="71"/>
      <c r="IS627" s="71"/>
      <c r="IT627" s="71"/>
      <c r="IU627" s="71"/>
      <c r="IV627" s="71"/>
      <c r="IW627" s="71"/>
    </row>
    <row r="628" customFormat="false" ht="12.75" hidden="false" customHeight="false" outlineLevel="0" collapsed="false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1"/>
      <c r="CG628" s="71"/>
      <c r="CH628" s="71"/>
      <c r="CI628" s="71"/>
      <c r="CJ628" s="71"/>
      <c r="CK628" s="71"/>
      <c r="CL628" s="71"/>
      <c r="CM628" s="71"/>
      <c r="CN628" s="71"/>
      <c r="CO628" s="71"/>
      <c r="CP628" s="71"/>
      <c r="CQ628" s="71"/>
      <c r="CR628" s="71"/>
      <c r="CS628" s="71"/>
      <c r="CT628" s="71"/>
      <c r="CU628" s="71"/>
      <c r="CV628" s="71"/>
      <c r="CW628" s="71"/>
      <c r="CX628" s="71"/>
      <c r="CY628" s="71"/>
      <c r="CZ628" s="71"/>
      <c r="DA628" s="71"/>
      <c r="DB628" s="71"/>
      <c r="DC628" s="71"/>
      <c r="DD628" s="71"/>
      <c r="DE628" s="71"/>
      <c r="DF628" s="71"/>
      <c r="DG628" s="71"/>
      <c r="DH628" s="71"/>
      <c r="DI628" s="71"/>
      <c r="DJ628" s="71"/>
      <c r="DK628" s="71"/>
      <c r="DL628" s="71"/>
      <c r="DM628" s="71"/>
      <c r="DN628" s="71"/>
      <c r="DO628" s="71"/>
      <c r="DP628" s="71"/>
      <c r="DQ628" s="71"/>
      <c r="DR628" s="71"/>
      <c r="DS628" s="71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  <c r="IJ628" s="71"/>
      <c r="IK628" s="71"/>
      <c r="IL628" s="71"/>
      <c r="IM628" s="71"/>
      <c r="IN628" s="71"/>
      <c r="IO628" s="71"/>
      <c r="IP628" s="71"/>
      <c r="IQ628" s="71"/>
      <c r="IR628" s="71"/>
      <c r="IS628" s="71"/>
      <c r="IT628" s="71"/>
      <c r="IU628" s="71"/>
      <c r="IV628" s="71"/>
      <c r="IW628" s="71"/>
    </row>
    <row r="629" customFormat="false" ht="12.75" hidden="false" customHeight="false" outlineLevel="0" collapsed="false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1"/>
      <c r="CG629" s="71"/>
      <c r="CH629" s="71"/>
      <c r="CI629" s="71"/>
      <c r="CJ629" s="71"/>
      <c r="CK629" s="71"/>
      <c r="CL629" s="71"/>
      <c r="CM629" s="71"/>
      <c r="CN629" s="71"/>
      <c r="CO629" s="71"/>
      <c r="CP629" s="71"/>
      <c r="CQ629" s="71"/>
      <c r="CR629" s="71"/>
      <c r="CS629" s="71"/>
      <c r="CT629" s="71"/>
      <c r="CU629" s="71"/>
      <c r="CV629" s="71"/>
      <c r="CW629" s="71"/>
      <c r="CX629" s="71"/>
      <c r="CY629" s="71"/>
      <c r="CZ629" s="71"/>
      <c r="DA629" s="71"/>
      <c r="DB629" s="71"/>
      <c r="DC629" s="71"/>
      <c r="DD629" s="71"/>
      <c r="DE629" s="71"/>
      <c r="DF629" s="71"/>
      <c r="DG629" s="71"/>
      <c r="DH629" s="71"/>
      <c r="DI629" s="71"/>
      <c r="DJ629" s="71"/>
      <c r="DK629" s="71"/>
      <c r="DL629" s="71"/>
      <c r="DM629" s="71"/>
      <c r="DN629" s="71"/>
      <c r="DO629" s="71"/>
      <c r="DP629" s="71"/>
      <c r="DQ629" s="71"/>
      <c r="DR629" s="71"/>
      <c r="DS629" s="71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  <c r="IJ629" s="71"/>
      <c r="IK629" s="71"/>
      <c r="IL629" s="71"/>
      <c r="IM629" s="71"/>
      <c r="IN629" s="71"/>
      <c r="IO629" s="71"/>
      <c r="IP629" s="71"/>
      <c r="IQ629" s="71"/>
      <c r="IR629" s="71"/>
      <c r="IS629" s="71"/>
      <c r="IT629" s="71"/>
      <c r="IU629" s="71"/>
      <c r="IV629" s="71"/>
      <c r="IW629" s="71"/>
    </row>
    <row r="630" customFormat="false" ht="12.75" hidden="false" customHeight="false" outlineLevel="0" collapsed="false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1"/>
      <c r="CH630" s="71"/>
      <c r="CI630" s="71"/>
      <c r="CJ630" s="71"/>
      <c r="CK630" s="71"/>
      <c r="CL630" s="71"/>
      <c r="CM630" s="71"/>
      <c r="CN630" s="71"/>
      <c r="CO630" s="71"/>
      <c r="CP630" s="71"/>
      <c r="CQ630" s="71"/>
      <c r="CR630" s="71"/>
      <c r="CS630" s="71"/>
      <c r="CT630" s="71"/>
      <c r="CU630" s="71"/>
      <c r="CV630" s="71"/>
      <c r="CW630" s="71"/>
      <c r="CX630" s="71"/>
      <c r="CY630" s="71"/>
      <c r="CZ630" s="71"/>
      <c r="DA630" s="71"/>
      <c r="DB630" s="71"/>
      <c r="DC630" s="71"/>
      <c r="DD630" s="71"/>
      <c r="DE630" s="71"/>
      <c r="DF630" s="71"/>
      <c r="DG630" s="71"/>
      <c r="DH630" s="71"/>
      <c r="DI630" s="71"/>
      <c r="DJ630" s="71"/>
      <c r="DK630" s="71"/>
      <c r="DL630" s="71"/>
      <c r="DM630" s="71"/>
      <c r="DN630" s="71"/>
      <c r="DO630" s="71"/>
      <c r="DP630" s="71"/>
      <c r="DQ630" s="71"/>
      <c r="DR630" s="71"/>
      <c r="DS630" s="71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  <c r="IJ630" s="71"/>
      <c r="IK630" s="71"/>
      <c r="IL630" s="71"/>
      <c r="IM630" s="71"/>
      <c r="IN630" s="71"/>
      <c r="IO630" s="71"/>
      <c r="IP630" s="71"/>
      <c r="IQ630" s="71"/>
      <c r="IR630" s="71"/>
      <c r="IS630" s="71"/>
      <c r="IT630" s="71"/>
      <c r="IU630" s="71"/>
      <c r="IV630" s="71"/>
      <c r="IW630" s="71"/>
    </row>
    <row r="631" customFormat="false" ht="12.75" hidden="false" customHeight="false" outlineLevel="0" collapsed="false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1"/>
      <c r="CH631" s="71"/>
      <c r="CI631" s="71"/>
      <c r="CJ631" s="71"/>
      <c r="CK631" s="71"/>
      <c r="CL631" s="71"/>
      <c r="CM631" s="71"/>
      <c r="CN631" s="71"/>
      <c r="CO631" s="71"/>
      <c r="CP631" s="71"/>
      <c r="CQ631" s="71"/>
      <c r="CR631" s="71"/>
      <c r="CS631" s="71"/>
      <c r="CT631" s="71"/>
      <c r="CU631" s="71"/>
      <c r="CV631" s="71"/>
      <c r="CW631" s="71"/>
      <c r="CX631" s="71"/>
      <c r="CY631" s="71"/>
      <c r="CZ631" s="71"/>
      <c r="DA631" s="71"/>
      <c r="DB631" s="71"/>
      <c r="DC631" s="71"/>
      <c r="DD631" s="71"/>
      <c r="DE631" s="71"/>
      <c r="DF631" s="71"/>
      <c r="DG631" s="71"/>
      <c r="DH631" s="71"/>
      <c r="DI631" s="71"/>
      <c r="DJ631" s="71"/>
      <c r="DK631" s="71"/>
      <c r="DL631" s="71"/>
      <c r="DM631" s="71"/>
      <c r="DN631" s="71"/>
      <c r="DO631" s="71"/>
      <c r="DP631" s="71"/>
      <c r="DQ631" s="71"/>
      <c r="DR631" s="71"/>
      <c r="DS631" s="71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  <c r="IJ631" s="71"/>
      <c r="IK631" s="71"/>
      <c r="IL631" s="71"/>
      <c r="IM631" s="71"/>
      <c r="IN631" s="71"/>
      <c r="IO631" s="71"/>
      <c r="IP631" s="71"/>
      <c r="IQ631" s="71"/>
      <c r="IR631" s="71"/>
      <c r="IS631" s="71"/>
      <c r="IT631" s="71"/>
      <c r="IU631" s="71"/>
      <c r="IV631" s="71"/>
      <c r="IW631" s="71"/>
    </row>
    <row r="632" customFormat="false" ht="12.75" hidden="false" customHeight="false" outlineLevel="0" collapsed="false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1"/>
      <c r="CH632" s="71"/>
      <c r="CI632" s="71"/>
      <c r="CJ632" s="71"/>
      <c r="CK632" s="71"/>
      <c r="CL632" s="71"/>
      <c r="CM632" s="71"/>
      <c r="CN632" s="71"/>
      <c r="CO632" s="71"/>
      <c r="CP632" s="71"/>
      <c r="CQ632" s="71"/>
      <c r="CR632" s="71"/>
      <c r="CS632" s="71"/>
      <c r="CT632" s="71"/>
      <c r="CU632" s="71"/>
      <c r="CV632" s="71"/>
      <c r="CW632" s="71"/>
      <c r="CX632" s="71"/>
      <c r="CY632" s="71"/>
      <c r="CZ632" s="71"/>
      <c r="DA632" s="71"/>
      <c r="DB632" s="71"/>
      <c r="DC632" s="71"/>
      <c r="DD632" s="71"/>
      <c r="DE632" s="71"/>
      <c r="DF632" s="71"/>
      <c r="DG632" s="71"/>
      <c r="DH632" s="71"/>
      <c r="DI632" s="71"/>
      <c r="DJ632" s="71"/>
      <c r="DK632" s="71"/>
      <c r="DL632" s="71"/>
      <c r="DM632" s="71"/>
      <c r="DN632" s="71"/>
      <c r="DO632" s="71"/>
      <c r="DP632" s="71"/>
      <c r="DQ632" s="71"/>
      <c r="DR632" s="71"/>
      <c r="DS632" s="71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  <c r="IJ632" s="71"/>
      <c r="IK632" s="71"/>
      <c r="IL632" s="71"/>
      <c r="IM632" s="71"/>
      <c r="IN632" s="71"/>
      <c r="IO632" s="71"/>
      <c r="IP632" s="71"/>
      <c r="IQ632" s="71"/>
      <c r="IR632" s="71"/>
      <c r="IS632" s="71"/>
      <c r="IT632" s="71"/>
      <c r="IU632" s="71"/>
      <c r="IV632" s="71"/>
      <c r="IW632" s="71"/>
    </row>
    <row r="633" customFormat="false" ht="12.75" hidden="false" customHeight="false" outlineLevel="0" collapsed="false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1"/>
      <c r="CG633" s="71"/>
      <c r="CH633" s="71"/>
      <c r="CI633" s="71"/>
      <c r="CJ633" s="71"/>
      <c r="CK633" s="71"/>
      <c r="CL633" s="71"/>
      <c r="CM633" s="71"/>
      <c r="CN633" s="71"/>
      <c r="CO633" s="71"/>
      <c r="CP633" s="71"/>
      <c r="CQ633" s="71"/>
      <c r="CR633" s="71"/>
      <c r="CS633" s="71"/>
      <c r="CT633" s="71"/>
      <c r="CU633" s="71"/>
      <c r="CV633" s="71"/>
      <c r="CW633" s="71"/>
      <c r="CX633" s="71"/>
      <c r="CY633" s="71"/>
      <c r="CZ633" s="71"/>
      <c r="DA633" s="71"/>
      <c r="DB633" s="71"/>
      <c r="DC633" s="71"/>
      <c r="DD633" s="71"/>
      <c r="DE633" s="71"/>
      <c r="DF633" s="71"/>
      <c r="DG633" s="71"/>
      <c r="DH633" s="71"/>
      <c r="DI633" s="71"/>
      <c r="DJ633" s="71"/>
      <c r="DK633" s="71"/>
      <c r="DL633" s="71"/>
      <c r="DM633" s="71"/>
      <c r="DN633" s="71"/>
      <c r="DO633" s="71"/>
      <c r="DP633" s="71"/>
      <c r="DQ633" s="71"/>
      <c r="DR633" s="71"/>
      <c r="DS633" s="71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  <c r="IJ633" s="71"/>
      <c r="IK633" s="71"/>
      <c r="IL633" s="71"/>
      <c r="IM633" s="71"/>
      <c r="IN633" s="71"/>
      <c r="IO633" s="71"/>
      <c r="IP633" s="71"/>
      <c r="IQ633" s="71"/>
      <c r="IR633" s="71"/>
      <c r="IS633" s="71"/>
      <c r="IT633" s="71"/>
      <c r="IU633" s="71"/>
      <c r="IV633" s="71"/>
      <c r="IW633" s="71"/>
    </row>
    <row r="634" customFormat="false" ht="12.75" hidden="false" customHeight="false" outlineLevel="0" collapsed="false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1"/>
      <c r="CH634" s="71"/>
      <c r="CI634" s="71"/>
      <c r="CJ634" s="71"/>
      <c r="CK634" s="71"/>
      <c r="CL634" s="71"/>
      <c r="CM634" s="71"/>
      <c r="CN634" s="71"/>
      <c r="CO634" s="71"/>
      <c r="CP634" s="71"/>
      <c r="CQ634" s="71"/>
      <c r="CR634" s="71"/>
      <c r="CS634" s="71"/>
      <c r="CT634" s="71"/>
      <c r="CU634" s="71"/>
      <c r="CV634" s="71"/>
      <c r="CW634" s="71"/>
      <c r="CX634" s="71"/>
      <c r="CY634" s="71"/>
      <c r="CZ634" s="71"/>
      <c r="DA634" s="71"/>
      <c r="DB634" s="71"/>
      <c r="DC634" s="71"/>
      <c r="DD634" s="71"/>
      <c r="DE634" s="71"/>
      <c r="DF634" s="71"/>
      <c r="DG634" s="71"/>
      <c r="DH634" s="71"/>
      <c r="DI634" s="71"/>
      <c r="DJ634" s="71"/>
      <c r="DK634" s="71"/>
      <c r="DL634" s="71"/>
      <c r="DM634" s="71"/>
      <c r="DN634" s="71"/>
      <c r="DO634" s="71"/>
      <c r="DP634" s="71"/>
      <c r="DQ634" s="71"/>
      <c r="DR634" s="71"/>
      <c r="DS634" s="71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  <c r="IJ634" s="71"/>
      <c r="IK634" s="71"/>
      <c r="IL634" s="71"/>
      <c r="IM634" s="71"/>
      <c r="IN634" s="71"/>
      <c r="IO634" s="71"/>
      <c r="IP634" s="71"/>
      <c r="IQ634" s="71"/>
      <c r="IR634" s="71"/>
      <c r="IS634" s="71"/>
      <c r="IT634" s="71"/>
      <c r="IU634" s="71"/>
      <c r="IV634" s="71"/>
      <c r="IW634" s="71"/>
    </row>
    <row r="635" customFormat="false" ht="12.75" hidden="false" customHeight="false" outlineLevel="0" collapsed="false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1"/>
      <c r="CF635" s="71"/>
      <c r="CG635" s="71"/>
      <c r="CH635" s="71"/>
      <c r="CI635" s="71"/>
      <c r="CJ635" s="71"/>
      <c r="CK635" s="71"/>
      <c r="CL635" s="71"/>
      <c r="CM635" s="71"/>
      <c r="CN635" s="71"/>
      <c r="CO635" s="71"/>
      <c r="CP635" s="71"/>
      <c r="CQ635" s="71"/>
      <c r="CR635" s="71"/>
      <c r="CS635" s="71"/>
      <c r="CT635" s="71"/>
      <c r="CU635" s="71"/>
      <c r="CV635" s="71"/>
      <c r="CW635" s="71"/>
      <c r="CX635" s="71"/>
      <c r="CY635" s="71"/>
      <c r="CZ635" s="71"/>
      <c r="DA635" s="71"/>
      <c r="DB635" s="71"/>
      <c r="DC635" s="71"/>
      <c r="DD635" s="71"/>
      <c r="DE635" s="71"/>
      <c r="DF635" s="71"/>
      <c r="DG635" s="71"/>
      <c r="DH635" s="71"/>
      <c r="DI635" s="71"/>
      <c r="DJ635" s="71"/>
      <c r="DK635" s="71"/>
      <c r="DL635" s="71"/>
      <c r="DM635" s="71"/>
      <c r="DN635" s="71"/>
      <c r="DO635" s="71"/>
      <c r="DP635" s="71"/>
      <c r="DQ635" s="71"/>
      <c r="DR635" s="71"/>
      <c r="DS635" s="71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  <c r="IJ635" s="71"/>
      <c r="IK635" s="71"/>
      <c r="IL635" s="71"/>
      <c r="IM635" s="71"/>
      <c r="IN635" s="71"/>
      <c r="IO635" s="71"/>
      <c r="IP635" s="71"/>
      <c r="IQ635" s="71"/>
      <c r="IR635" s="71"/>
      <c r="IS635" s="71"/>
      <c r="IT635" s="71"/>
      <c r="IU635" s="71"/>
      <c r="IV635" s="71"/>
      <c r="IW635" s="71"/>
    </row>
    <row r="636" customFormat="false" ht="12.75" hidden="false" customHeight="false" outlineLevel="0" collapsed="false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1"/>
      <c r="CG636" s="71"/>
      <c r="CH636" s="71"/>
      <c r="CI636" s="71"/>
      <c r="CJ636" s="71"/>
      <c r="CK636" s="71"/>
      <c r="CL636" s="71"/>
      <c r="CM636" s="71"/>
      <c r="CN636" s="71"/>
      <c r="CO636" s="71"/>
      <c r="CP636" s="71"/>
      <c r="CQ636" s="71"/>
      <c r="CR636" s="71"/>
      <c r="CS636" s="71"/>
      <c r="CT636" s="71"/>
      <c r="CU636" s="71"/>
      <c r="CV636" s="71"/>
      <c r="CW636" s="71"/>
      <c r="CX636" s="71"/>
      <c r="CY636" s="71"/>
      <c r="CZ636" s="71"/>
      <c r="DA636" s="71"/>
      <c r="DB636" s="71"/>
      <c r="DC636" s="71"/>
      <c r="DD636" s="71"/>
      <c r="DE636" s="71"/>
      <c r="DF636" s="71"/>
      <c r="DG636" s="71"/>
      <c r="DH636" s="71"/>
      <c r="DI636" s="71"/>
      <c r="DJ636" s="71"/>
      <c r="DK636" s="71"/>
      <c r="DL636" s="71"/>
      <c r="DM636" s="71"/>
      <c r="DN636" s="71"/>
      <c r="DO636" s="71"/>
      <c r="DP636" s="71"/>
      <c r="DQ636" s="71"/>
      <c r="DR636" s="71"/>
      <c r="DS636" s="71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  <c r="IJ636" s="71"/>
      <c r="IK636" s="71"/>
      <c r="IL636" s="71"/>
      <c r="IM636" s="71"/>
      <c r="IN636" s="71"/>
      <c r="IO636" s="71"/>
      <c r="IP636" s="71"/>
      <c r="IQ636" s="71"/>
      <c r="IR636" s="71"/>
      <c r="IS636" s="71"/>
      <c r="IT636" s="71"/>
      <c r="IU636" s="71"/>
      <c r="IV636" s="71"/>
      <c r="IW636" s="71"/>
    </row>
    <row r="637" customFormat="false" ht="12.75" hidden="false" customHeight="false" outlineLevel="0" collapsed="false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1"/>
      <c r="CG637" s="71"/>
      <c r="CH637" s="71"/>
      <c r="CI637" s="71"/>
      <c r="CJ637" s="71"/>
      <c r="CK637" s="71"/>
      <c r="CL637" s="71"/>
      <c r="CM637" s="71"/>
      <c r="CN637" s="71"/>
      <c r="CO637" s="71"/>
      <c r="CP637" s="71"/>
      <c r="CQ637" s="71"/>
      <c r="CR637" s="71"/>
      <c r="CS637" s="71"/>
      <c r="CT637" s="71"/>
      <c r="CU637" s="71"/>
      <c r="CV637" s="71"/>
      <c r="CW637" s="71"/>
      <c r="CX637" s="71"/>
      <c r="CY637" s="71"/>
      <c r="CZ637" s="71"/>
      <c r="DA637" s="71"/>
      <c r="DB637" s="71"/>
      <c r="DC637" s="71"/>
      <c r="DD637" s="71"/>
      <c r="DE637" s="71"/>
      <c r="DF637" s="71"/>
      <c r="DG637" s="71"/>
      <c r="DH637" s="71"/>
      <c r="DI637" s="71"/>
      <c r="DJ637" s="71"/>
      <c r="DK637" s="71"/>
      <c r="DL637" s="71"/>
      <c r="DM637" s="71"/>
      <c r="DN637" s="71"/>
      <c r="DO637" s="71"/>
      <c r="DP637" s="71"/>
      <c r="DQ637" s="71"/>
      <c r="DR637" s="71"/>
      <c r="DS637" s="71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  <c r="IJ637" s="71"/>
      <c r="IK637" s="71"/>
      <c r="IL637" s="71"/>
      <c r="IM637" s="71"/>
      <c r="IN637" s="71"/>
      <c r="IO637" s="71"/>
      <c r="IP637" s="71"/>
      <c r="IQ637" s="71"/>
      <c r="IR637" s="71"/>
      <c r="IS637" s="71"/>
      <c r="IT637" s="71"/>
      <c r="IU637" s="71"/>
      <c r="IV637" s="71"/>
      <c r="IW637" s="71"/>
    </row>
    <row r="638" customFormat="false" ht="12.75" hidden="false" customHeight="false" outlineLevel="0" collapsed="false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1"/>
      <c r="CG638" s="71"/>
      <c r="CH638" s="71"/>
      <c r="CI638" s="71"/>
      <c r="CJ638" s="71"/>
      <c r="CK638" s="71"/>
      <c r="CL638" s="71"/>
      <c r="CM638" s="71"/>
      <c r="CN638" s="71"/>
      <c r="CO638" s="71"/>
      <c r="CP638" s="71"/>
      <c r="CQ638" s="71"/>
      <c r="CR638" s="71"/>
      <c r="CS638" s="71"/>
      <c r="CT638" s="71"/>
      <c r="CU638" s="71"/>
      <c r="CV638" s="71"/>
      <c r="CW638" s="71"/>
      <c r="CX638" s="71"/>
      <c r="CY638" s="71"/>
      <c r="CZ638" s="71"/>
      <c r="DA638" s="71"/>
      <c r="DB638" s="71"/>
      <c r="DC638" s="71"/>
      <c r="DD638" s="71"/>
      <c r="DE638" s="71"/>
      <c r="DF638" s="71"/>
      <c r="DG638" s="71"/>
      <c r="DH638" s="71"/>
      <c r="DI638" s="71"/>
      <c r="DJ638" s="71"/>
      <c r="DK638" s="71"/>
      <c r="DL638" s="71"/>
      <c r="DM638" s="71"/>
      <c r="DN638" s="71"/>
      <c r="DO638" s="71"/>
      <c r="DP638" s="71"/>
      <c r="DQ638" s="71"/>
      <c r="DR638" s="71"/>
      <c r="DS638" s="71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  <c r="IJ638" s="71"/>
      <c r="IK638" s="71"/>
      <c r="IL638" s="71"/>
      <c r="IM638" s="71"/>
      <c r="IN638" s="71"/>
      <c r="IO638" s="71"/>
      <c r="IP638" s="71"/>
      <c r="IQ638" s="71"/>
      <c r="IR638" s="71"/>
      <c r="IS638" s="71"/>
      <c r="IT638" s="71"/>
      <c r="IU638" s="71"/>
      <c r="IV638" s="71"/>
      <c r="IW638" s="71"/>
    </row>
    <row r="639" customFormat="false" ht="12.75" hidden="false" customHeight="false" outlineLevel="0" collapsed="false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1"/>
      <c r="CG639" s="71"/>
      <c r="CH639" s="71"/>
      <c r="CI639" s="71"/>
      <c r="CJ639" s="71"/>
      <c r="CK639" s="71"/>
      <c r="CL639" s="71"/>
      <c r="CM639" s="71"/>
      <c r="CN639" s="71"/>
      <c r="CO639" s="71"/>
      <c r="CP639" s="71"/>
      <c r="CQ639" s="71"/>
      <c r="CR639" s="71"/>
      <c r="CS639" s="71"/>
      <c r="CT639" s="71"/>
      <c r="CU639" s="71"/>
      <c r="CV639" s="71"/>
      <c r="CW639" s="71"/>
      <c r="CX639" s="71"/>
      <c r="CY639" s="71"/>
      <c r="CZ639" s="71"/>
      <c r="DA639" s="71"/>
      <c r="DB639" s="71"/>
      <c r="DC639" s="71"/>
      <c r="DD639" s="71"/>
      <c r="DE639" s="71"/>
      <c r="DF639" s="71"/>
      <c r="DG639" s="71"/>
      <c r="DH639" s="71"/>
      <c r="DI639" s="71"/>
      <c r="DJ639" s="71"/>
      <c r="DK639" s="71"/>
      <c r="DL639" s="71"/>
      <c r="DM639" s="71"/>
      <c r="DN639" s="71"/>
      <c r="DO639" s="71"/>
      <c r="DP639" s="71"/>
      <c r="DQ639" s="71"/>
      <c r="DR639" s="71"/>
      <c r="DS639" s="71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  <c r="IJ639" s="71"/>
      <c r="IK639" s="71"/>
      <c r="IL639" s="71"/>
      <c r="IM639" s="71"/>
      <c r="IN639" s="71"/>
      <c r="IO639" s="71"/>
      <c r="IP639" s="71"/>
      <c r="IQ639" s="71"/>
      <c r="IR639" s="71"/>
      <c r="IS639" s="71"/>
      <c r="IT639" s="71"/>
      <c r="IU639" s="71"/>
      <c r="IV639" s="71"/>
      <c r="IW639" s="71"/>
    </row>
    <row r="640" customFormat="false" ht="12.75" hidden="false" customHeight="false" outlineLevel="0" collapsed="false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1"/>
      <c r="CG640" s="71"/>
      <c r="CH640" s="71"/>
      <c r="CI640" s="71"/>
      <c r="CJ640" s="71"/>
      <c r="CK640" s="71"/>
      <c r="CL640" s="71"/>
      <c r="CM640" s="71"/>
      <c r="CN640" s="71"/>
      <c r="CO640" s="71"/>
      <c r="CP640" s="71"/>
      <c r="CQ640" s="71"/>
      <c r="CR640" s="71"/>
      <c r="CS640" s="71"/>
      <c r="CT640" s="71"/>
      <c r="CU640" s="71"/>
      <c r="CV640" s="71"/>
      <c r="CW640" s="71"/>
      <c r="CX640" s="71"/>
      <c r="CY640" s="71"/>
      <c r="CZ640" s="71"/>
      <c r="DA640" s="71"/>
      <c r="DB640" s="71"/>
      <c r="DC640" s="71"/>
      <c r="DD640" s="71"/>
      <c r="DE640" s="71"/>
      <c r="DF640" s="71"/>
      <c r="DG640" s="71"/>
      <c r="DH640" s="71"/>
      <c r="DI640" s="71"/>
      <c r="DJ640" s="71"/>
      <c r="DK640" s="71"/>
      <c r="DL640" s="71"/>
      <c r="DM640" s="71"/>
      <c r="DN640" s="71"/>
      <c r="DO640" s="71"/>
      <c r="DP640" s="71"/>
      <c r="DQ640" s="71"/>
      <c r="DR640" s="71"/>
      <c r="DS640" s="71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  <c r="IJ640" s="71"/>
      <c r="IK640" s="71"/>
      <c r="IL640" s="71"/>
      <c r="IM640" s="71"/>
      <c r="IN640" s="71"/>
      <c r="IO640" s="71"/>
      <c r="IP640" s="71"/>
      <c r="IQ640" s="71"/>
      <c r="IR640" s="71"/>
      <c r="IS640" s="71"/>
      <c r="IT640" s="71"/>
      <c r="IU640" s="71"/>
      <c r="IV640" s="71"/>
      <c r="IW640" s="71"/>
    </row>
    <row r="641" customFormat="false" ht="12.75" hidden="false" customHeight="false" outlineLevel="0" collapsed="false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1"/>
      <c r="CG641" s="71"/>
      <c r="CH641" s="71"/>
      <c r="CI641" s="71"/>
      <c r="CJ641" s="71"/>
      <c r="CK641" s="71"/>
      <c r="CL641" s="71"/>
      <c r="CM641" s="71"/>
      <c r="CN641" s="71"/>
      <c r="CO641" s="71"/>
      <c r="CP641" s="71"/>
      <c r="CQ641" s="71"/>
      <c r="CR641" s="71"/>
      <c r="CS641" s="71"/>
      <c r="CT641" s="71"/>
      <c r="CU641" s="71"/>
      <c r="CV641" s="71"/>
      <c r="CW641" s="71"/>
      <c r="CX641" s="71"/>
      <c r="CY641" s="71"/>
      <c r="CZ641" s="71"/>
      <c r="DA641" s="71"/>
      <c r="DB641" s="71"/>
      <c r="DC641" s="71"/>
      <c r="DD641" s="71"/>
      <c r="DE641" s="71"/>
      <c r="DF641" s="71"/>
      <c r="DG641" s="71"/>
      <c r="DH641" s="71"/>
      <c r="DI641" s="71"/>
      <c r="DJ641" s="71"/>
      <c r="DK641" s="71"/>
      <c r="DL641" s="71"/>
      <c r="DM641" s="71"/>
      <c r="DN641" s="71"/>
      <c r="DO641" s="71"/>
      <c r="DP641" s="71"/>
      <c r="DQ641" s="71"/>
      <c r="DR641" s="71"/>
      <c r="DS641" s="71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  <c r="IJ641" s="71"/>
      <c r="IK641" s="71"/>
      <c r="IL641" s="71"/>
      <c r="IM641" s="71"/>
      <c r="IN641" s="71"/>
      <c r="IO641" s="71"/>
      <c r="IP641" s="71"/>
      <c r="IQ641" s="71"/>
      <c r="IR641" s="71"/>
      <c r="IS641" s="71"/>
      <c r="IT641" s="71"/>
      <c r="IU641" s="71"/>
      <c r="IV641" s="71"/>
      <c r="IW641" s="71"/>
    </row>
    <row r="642" customFormat="false" ht="12.75" hidden="false" customHeight="false" outlineLevel="0" collapsed="false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1"/>
      <c r="CG642" s="71"/>
      <c r="CH642" s="71"/>
      <c r="CI642" s="71"/>
      <c r="CJ642" s="71"/>
      <c r="CK642" s="71"/>
      <c r="CL642" s="71"/>
      <c r="CM642" s="71"/>
      <c r="CN642" s="71"/>
      <c r="CO642" s="71"/>
      <c r="CP642" s="71"/>
      <c r="CQ642" s="71"/>
      <c r="CR642" s="71"/>
      <c r="CS642" s="71"/>
      <c r="CT642" s="71"/>
      <c r="CU642" s="71"/>
      <c r="CV642" s="71"/>
      <c r="CW642" s="71"/>
      <c r="CX642" s="71"/>
      <c r="CY642" s="71"/>
      <c r="CZ642" s="71"/>
      <c r="DA642" s="71"/>
      <c r="DB642" s="71"/>
      <c r="DC642" s="71"/>
      <c r="DD642" s="71"/>
      <c r="DE642" s="71"/>
      <c r="DF642" s="71"/>
      <c r="DG642" s="71"/>
      <c r="DH642" s="71"/>
      <c r="DI642" s="71"/>
      <c r="DJ642" s="71"/>
      <c r="DK642" s="71"/>
      <c r="DL642" s="71"/>
      <c r="DM642" s="71"/>
      <c r="DN642" s="71"/>
      <c r="DO642" s="71"/>
      <c r="DP642" s="71"/>
      <c r="DQ642" s="71"/>
      <c r="DR642" s="71"/>
      <c r="DS642" s="71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  <c r="IJ642" s="71"/>
      <c r="IK642" s="71"/>
      <c r="IL642" s="71"/>
      <c r="IM642" s="71"/>
      <c r="IN642" s="71"/>
      <c r="IO642" s="71"/>
      <c r="IP642" s="71"/>
      <c r="IQ642" s="71"/>
      <c r="IR642" s="71"/>
      <c r="IS642" s="71"/>
      <c r="IT642" s="71"/>
      <c r="IU642" s="71"/>
      <c r="IV642" s="71"/>
      <c r="IW642" s="71"/>
    </row>
    <row r="643" customFormat="false" ht="12.75" hidden="false" customHeight="false" outlineLevel="0" collapsed="false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1"/>
      <c r="CG643" s="71"/>
      <c r="CH643" s="71"/>
      <c r="CI643" s="71"/>
      <c r="CJ643" s="71"/>
      <c r="CK643" s="71"/>
      <c r="CL643" s="71"/>
      <c r="CM643" s="71"/>
      <c r="CN643" s="71"/>
      <c r="CO643" s="71"/>
      <c r="CP643" s="71"/>
      <c r="CQ643" s="71"/>
      <c r="CR643" s="71"/>
      <c r="CS643" s="71"/>
      <c r="CT643" s="71"/>
      <c r="CU643" s="71"/>
      <c r="CV643" s="71"/>
      <c r="CW643" s="71"/>
      <c r="CX643" s="71"/>
      <c r="CY643" s="71"/>
      <c r="CZ643" s="71"/>
      <c r="DA643" s="71"/>
      <c r="DB643" s="71"/>
      <c r="DC643" s="71"/>
      <c r="DD643" s="71"/>
      <c r="DE643" s="71"/>
      <c r="DF643" s="71"/>
      <c r="DG643" s="71"/>
      <c r="DH643" s="71"/>
      <c r="DI643" s="71"/>
      <c r="DJ643" s="71"/>
      <c r="DK643" s="71"/>
      <c r="DL643" s="71"/>
      <c r="DM643" s="71"/>
      <c r="DN643" s="71"/>
      <c r="DO643" s="71"/>
      <c r="DP643" s="71"/>
      <c r="DQ643" s="71"/>
      <c r="DR643" s="71"/>
      <c r="DS643" s="71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  <c r="IJ643" s="71"/>
      <c r="IK643" s="71"/>
      <c r="IL643" s="71"/>
      <c r="IM643" s="71"/>
      <c r="IN643" s="71"/>
      <c r="IO643" s="71"/>
      <c r="IP643" s="71"/>
      <c r="IQ643" s="71"/>
      <c r="IR643" s="71"/>
      <c r="IS643" s="71"/>
      <c r="IT643" s="71"/>
      <c r="IU643" s="71"/>
      <c r="IV643" s="71"/>
      <c r="IW643" s="71"/>
    </row>
    <row r="644" customFormat="false" ht="12.75" hidden="false" customHeight="false" outlineLevel="0" collapsed="false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1"/>
      <c r="CG644" s="71"/>
      <c r="CH644" s="71"/>
      <c r="CI644" s="71"/>
      <c r="CJ644" s="71"/>
      <c r="CK644" s="71"/>
      <c r="CL644" s="71"/>
      <c r="CM644" s="71"/>
      <c r="CN644" s="71"/>
      <c r="CO644" s="71"/>
      <c r="CP644" s="71"/>
      <c r="CQ644" s="71"/>
      <c r="CR644" s="71"/>
      <c r="CS644" s="71"/>
      <c r="CT644" s="71"/>
      <c r="CU644" s="71"/>
      <c r="CV644" s="71"/>
      <c r="CW644" s="71"/>
      <c r="CX644" s="71"/>
      <c r="CY644" s="71"/>
      <c r="CZ644" s="71"/>
      <c r="DA644" s="71"/>
      <c r="DB644" s="71"/>
      <c r="DC644" s="71"/>
      <c r="DD644" s="71"/>
      <c r="DE644" s="71"/>
      <c r="DF644" s="71"/>
      <c r="DG644" s="71"/>
      <c r="DH644" s="71"/>
      <c r="DI644" s="71"/>
      <c r="DJ644" s="71"/>
      <c r="DK644" s="71"/>
      <c r="DL644" s="71"/>
      <c r="DM644" s="71"/>
      <c r="DN644" s="71"/>
      <c r="DO644" s="71"/>
      <c r="DP644" s="71"/>
      <c r="DQ644" s="71"/>
      <c r="DR644" s="71"/>
      <c r="DS644" s="71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  <c r="IJ644" s="71"/>
      <c r="IK644" s="71"/>
      <c r="IL644" s="71"/>
      <c r="IM644" s="71"/>
      <c r="IN644" s="71"/>
      <c r="IO644" s="71"/>
      <c r="IP644" s="71"/>
      <c r="IQ644" s="71"/>
      <c r="IR644" s="71"/>
      <c r="IS644" s="71"/>
      <c r="IT644" s="71"/>
      <c r="IU644" s="71"/>
      <c r="IV644" s="71"/>
      <c r="IW644" s="71"/>
    </row>
    <row r="645" customFormat="false" ht="12.75" hidden="false" customHeight="false" outlineLevel="0" collapsed="false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  <c r="CE645" s="71"/>
      <c r="CF645" s="71"/>
      <c r="CG645" s="71"/>
      <c r="CH645" s="71"/>
      <c r="CI645" s="71"/>
      <c r="CJ645" s="71"/>
      <c r="CK645" s="71"/>
      <c r="CL645" s="71"/>
      <c r="CM645" s="71"/>
      <c r="CN645" s="71"/>
      <c r="CO645" s="71"/>
      <c r="CP645" s="71"/>
      <c r="CQ645" s="71"/>
      <c r="CR645" s="71"/>
      <c r="CS645" s="71"/>
      <c r="CT645" s="71"/>
      <c r="CU645" s="71"/>
      <c r="CV645" s="71"/>
      <c r="CW645" s="71"/>
      <c r="CX645" s="71"/>
      <c r="CY645" s="71"/>
      <c r="CZ645" s="71"/>
      <c r="DA645" s="71"/>
      <c r="DB645" s="71"/>
      <c r="DC645" s="71"/>
      <c r="DD645" s="71"/>
      <c r="DE645" s="71"/>
      <c r="DF645" s="71"/>
      <c r="DG645" s="71"/>
      <c r="DH645" s="71"/>
      <c r="DI645" s="71"/>
      <c r="DJ645" s="71"/>
      <c r="DK645" s="71"/>
      <c r="DL645" s="71"/>
      <c r="DM645" s="71"/>
      <c r="DN645" s="71"/>
      <c r="DO645" s="71"/>
      <c r="DP645" s="71"/>
      <c r="DQ645" s="71"/>
      <c r="DR645" s="71"/>
      <c r="DS645" s="71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  <c r="IJ645" s="71"/>
      <c r="IK645" s="71"/>
      <c r="IL645" s="71"/>
      <c r="IM645" s="71"/>
      <c r="IN645" s="71"/>
      <c r="IO645" s="71"/>
      <c r="IP645" s="71"/>
      <c r="IQ645" s="71"/>
      <c r="IR645" s="71"/>
      <c r="IS645" s="71"/>
      <c r="IT645" s="71"/>
      <c r="IU645" s="71"/>
      <c r="IV645" s="71"/>
      <c r="IW645" s="71"/>
    </row>
    <row r="646" customFormat="false" ht="12.75" hidden="false" customHeight="false" outlineLevel="0" collapsed="false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  <c r="CE646" s="71"/>
      <c r="CF646" s="71"/>
      <c r="CG646" s="71"/>
      <c r="CH646" s="71"/>
      <c r="CI646" s="71"/>
      <c r="CJ646" s="71"/>
      <c r="CK646" s="71"/>
      <c r="CL646" s="71"/>
      <c r="CM646" s="71"/>
      <c r="CN646" s="71"/>
      <c r="CO646" s="71"/>
      <c r="CP646" s="71"/>
      <c r="CQ646" s="71"/>
      <c r="CR646" s="71"/>
      <c r="CS646" s="71"/>
      <c r="CT646" s="71"/>
      <c r="CU646" s="71"/>
      <c r="CV646" s="71"/>
      <c r="CW646" s="71"/>
      <c r="CX646" s="71"/>
      <c r="CY646" s="71"/>
      <c r="CZ646" s="71"/>
      <c r="DA646" s="71"/>
      <c r="DB646" s="71"/>
      <c r="DC646" s="71"/>
      <c r="DD646" s="71"/>
      <c r="DE646" s="71"/>
      <c r="DF646" s="71"/>
      <c r="DG646" s="71"/>
      <c r="DH646" s="71"/>
      <c r="DI646" s="71"/>
      <c r="DJ646" s="71"/>
      <c r="DK646" s="71"/>
      <c r="DL646" s="71"/>
      <c r="DM646" s="71"/>
      <c r="DN646" s="71"/>
      <c r="DO646" s="71"/>
      <c r="DP646" s="71"/>
      <c r="DQ646" s="71"/>
      <c r="DR646" s="71"/>
      <c r="DS646" s="71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  <c r="IJ646" s="71"/>
      <c r="IK646" s="71"/>
      <c r="IL646" s="71"/>
      <c r="IM646" s="71"/>
      <c r="IN646" s="71"/>
      <c r="IO646" s="71"/>
      <c r="IP646" s="71"/>
      <c r="IQ646" s="71"/>
      <c r="IR646" s="71"/>
      <c r="IS646" s="71"/>
      <c r="IT646" s="71"/>
      <c r="IU646" s="71"/>
      <c r="IV646" s="71"/>
      <c r="IW646" s="71"/>
    </row>
    <row r="647" customFormat="false" ht="12.75" hidden="false" customHeight="false" outlineLevel="0" collapsed="false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1"/>
      <c r="CG647" s="71"/>
      <c r="CH647" s="71"/>
      <c r="CI647" s="71"/>
      <c r="CJ647" s="71"/>
      <c r="CK647" s="71"/>
      <c r="CL647" s="71"/>
      <c r="CM647" s="71"/>
      <c r="CN647" s="71"/>
      <c r="CO647" s="71"/>
      <c r="CP647" s="71"/>
      <c r="CQ647" s="71"/>
      <c r="CR647" s="71"/>
      <c r="CS647" s="71"/>
      <c r="CT647" s="71"/>
      <c r="CU647" s="71"/>
      <c r="CV647" s="71"/>
      <c r="CW647" s="71"/>
      <c r="CX647" s="71"/>
      <c r="CY647" s="71"/>
      <c r="CZ647" s="71"/>
      <c r="DA647" s="71"/>
      <c r="DB647" s="71"/>
      <c r="DC647" s="71"/>
      <c r="DD647" s="71"/>
      <c r="DE647" s="71"/>
      <c r="DF647" s="71"/>
      <c r="DG647" s="71"/>
      <c r="DH647" s="71"/>
      <c r="DI647" s="71"/>
      <c r="DJ647" s="71"/>
      <c r="DK647" s="71"/>
      <c r="DL647" s="71"/>
      <c r="DM647" s="71"/>
      <c r="DN647" s="71"/>
      <c r="DO647" s="71"/>
      <c r="DP647" s="71"/>
      <c r="DQ647" s="71"/>
      <c r="DR647" s="71"/>
      <c r="DS647" s="71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  <c r="IJ647" s="71"/>
      <c r="IK647" s="71"/>
      <c r="IL647" s="71"/>
      <c r="IM647" s="71"/>
      <c r="IN647" s="71"/>
      <c r="IO647" s="71"/>
      <c r="IP647" s="71"/>
      <c r="IQ647" s="71"/>
      <c r="IR647" s="71"/>
      <c r="IS647" s="71"/>
      <c r="IT647" s="71"/>
      <c r="IU647" s="71"/>
      <c r="IV647" s="71"/>
      <c r="IW647" s="71"/>
    </row>
    <row r="648" customFormat="false" ht="12.75" hidden="false" customHeight="false" outlineLevel="0" collapsed="false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  <c r="CE648" s="71"/>
      <c r="CF648" s="71"/>
      <c r="CG648" s="71"/>
      <c r="CH648" s="71"/>
      <c r="CI648" s="71"/>
      <c r="CJ648" s="71"/>
      <c r="CK648" s="71"/>
      <c r="CL648" s="71"/>
      <c r="CM648" s="71"/>
      <c r="CN648" s="71"/>
      <c r="CO648" s="71"/>
      <c r="CP648" s="71"/>
      <c r="CQ648" s="71"/>
      <c r="CR648" s="71"/>
      <c r="CS648" s="71"/>
      <c r="CT648" s="71"/>
      <c r="CU648" s="71"/>
      <c r="CV648" s="71"/>
      <c r="CW648" s="71"/>
      <c r="CX648" s="71"/>
      <c r="CY648" s="71"/>
      <c r="CZ648" s="71"/>
      <c r="DA648" s="71"/>
      <c r="DB648" s="71"/>
      <c r="DC648" s="71"/>
      <c r="DD648" s="71"/>
      <c r="DE648" s="71"/>
      <c r="DF648" s="71"/>
      <c r="DG648" s="71"/>
      <c r="DH648" s="71"/>
      <c r="DI648" s="71"/>
      <c r="DJ648" s="71"/>
      <c r="DK648" s="71"/>
      <c r="DL648" s="71"/>
      <c r="DM648" s="71"/>
      <c r="DN648" s="71"/>
      <c r="DO648" s="71"/>
      <c r="DP648" s="71"/>
      <c r="DQ648" s="71"/>
      <c r="DR648" s="71"/>
      <c r="DS648" s="71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  <c r="IJ648" s="71"/>
      <c r="IK648" s="71"/>
      <c r="IL648" s="71"/>
      <c r="IM648" s="71"/>
      <c r="IN648" s="71"/>
      <c r="IO648" s="71"/>
      <c r="IP648" s="71"/>
      <c r="IQ648" s="71"/>
      <c r="IR648" s="71"/>
      <c r="IS648" s="71"/>
      <c r="IT648" s="71"/>
      <c r="IU648" s="71"/>
      <c r="IV648" s="71"/>
      <c r="IW648" s="71"/>
    </row>
    <row r="649" customFormat="false" ht="12.75" hidden="false" customHeight="false" outlineLevel="0" collapsed="false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1"/>
      <c r="CF649" s="71"/>
      <c r="CG649" s="71"/>
      <c r="CH649" s="71"/>
      <c r="CI649" s="71"/>
      <c r="CJ649" s="71"/>
      <c r="CK649" s="71"/>
      <c r="CL649" s="71"/>
      <c r="CM649" s="71"/>
      <c r="CN649" s="71"/>
      <c r="CO649" s="71"/>
      <c r="CP649" s="71"/>
      <c r="CQ649" s="71"/>
      <c r="CR649" s="71"/>
      <c r="CS649" s="71"/>
      <c r="CT649" s="71"/>
      <c r="CU649" s="71"/>
      <c r="CV649" s="71"/>
      <c r="CW649" s="71"/>
      <c r="CX649" s="71"/>
      <c r="CY649" s="71"/>
      <c r="CZ649" s="71"/>
      <c r="DA649" s="71"/>
      <c r="DB649" s="71"/>
      <c r="DC649" s="71"/>
      <c r="DD649" s="71"/>
      <c r="DE649" s="71"/>
      <c r="DF649" s="71"/>
      <c r="DG649" s="71"/>
      <c r="DH649" s="71"/>
      <c r="DI649" s="71"/>
      <c r="DJ649" s="71"/>
      <c r="DK649" s="71"/>
      <c r="DL649" s="71"/>
      <c r="DM649" s="71"/>
      <c r="DN649" s="71"/>
      <c r="DO649" s="71"/>
      <c r="DP649" s="71"/>
      <c r="DQ649" s="71"/>
      <c r="DR649" s="71"/>
      <c r="DS649" s="71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  <c r="IJ649" s="71"/>
      <c r="IK649" s="71"/>
      <c r="IL649" s="71"/>
      <c r="IM649" s="71"/>
      <c r="IN649" s="71"/>
      <c r="IO649" s="71"/>
      <c r="IP649" s="71"/>
      <c r="IQ649" s="71"/>
      <c r="IR649" s="71"/>
      <c r="IS649" s="71"/>
      <c r="IT649" s="71"/>
      <c r="IU649" s="71"/>
      <c r="IV649" s="71"/>
      <c r="IW649" s="71"/>
    </row>
    <row r="650" customFormat="false" ht="12.75" hidden="false" customHeight="false" outlineLevel="0" collapsed="false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  <c r="CE650" s="71"/>
      <c r="CF650" s="71"/>
      <c r="CG650" s="71"/>
      <c r="CH650" s="71"/>
      <c r="CI650" s="71"/>
      <c r="CJ650" s="71"/>
      <c r="CK650" s="71"/>
      <c r="CL650" s="71"/>
      <c r="CM650" s="71"/>
      <c r="CN650" s="71"/>
      <c r="CO650" s="71"/>
      <c r="CP650" s="71"/>
      <c r="CQ650" s="71"/>
      <c r="CR650" s="71"/>
      <c r="CS650" s="71"/>
      <c r="CT650" s="71"/>
      <c r="CU650" s="71"/>
      <c r="CV650" s="71"/>
      <c r="CW650" s="71"/>
      <c r="CX650" s="71"/>
      <c r="CY650" s="71"/>
      <c r="CZ650" s="71"/>
      <c r="DA650" s="71"/>
      <c r="DB650" s="71"/>
      <c r="DC650" s="71"/>
      <c r="DD650" s="71"/>
      <c r="DE650" s="71"/>
      <c r="DF650" s="71"/>
      <c r="DG650" s="71"/>
      <c r="DH650" s="71"/>
      <c r="DI650" s="71"/>
      <c r="DJ650" s="71"/>
      <c r="DK650" s="71"/>
      <c r="DL650" s="71"/>
      <c r="DM650" s="71"/>
      <c r="DN650" s="71"/>
      <c r="DO650" s="71"/>
      <c r="DP650" s="71"/>
      <c r="DQ650" s="71"/>
      <c r="DR650" s="71"/>
      <c r="DS650" s="71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  <c r="IJ650" s="71"/>
      <c r="IK650" s="71"/>
      <c r="IL650" s="71"/>
      <c r="IM650" s="71"/>
      <c r="IN650" s="71"/>
      <c r="IO650" s="71"/>
      <c r="IP650" s="71"/>
      <c r="IQ650" s="71"/>
      <c r="IR650" s="71"/>
      <c r="IS650" s="71"/>
      <c r="IT650" s="71"/>
      <c r="IU650" s="71"/>
      <c r="IV650" s="71"/>
      <c r="IW650" s="71"/>
    </row>
    <row r="651" customFormat="false" ht="12.75" hidden="false" customHeight="false" outlineLevel="0" collapsed="false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  <c r="CE651" s="71"/>
      <c r="CF651" s="71"/>
      <c r="CG651" s="71"/>
      <c r="CH651" s="71"/>
      <c r="CI651" s="71"/>
      <c r="CJ651" s="71"/>
      <c r="CK651" s="71"/>
      <c r="CL651" s="71"/>
      <c r="CM651" s="71"/>
      <c r="CN651" s="71"/>
      <c r="CO651" s="71"/>
      <c r="CP651" s="71"/>
      <c r="CQ651" s="71"/>
      <c r="CR651" s="71"/>
      <c r="CS651" s="71"/>
      <c r="CT651" s="71"/>
      <c r="CU651" s="71"/>
      <c r="CV651" s="71"/>
      <c r="CW651" s="71"/>
      <c r="CX651" s="71"/>
      <c r="CY651" s="71"/>
      <c r="CZ651" s="71"/>
      <c r="DA651" s="71"/>
      <c r="DB651" s="71"/>
      <c r="DC651" s="71"/>
      <c r="DD651" s="71"/>
      <c r="DE651" s="71"/>
      <c r="DF651" s="71"/>
      <c r="DG651" s="71"/>
      <c r="DH651" s="71"/>
      <c r="DI651" s="71"/>
      <c r="DJ651" s="71"/>
      <c r="DK651" s="71"/>
      <c r="DL651" s="71"/>
      <c r="DM651" s="71"/>
      <c r="DN651" s="71"/>
      <c r="DO651" s="71"/>
      <c r="DP651" s="71"/>
      <c r="DQ651" s="71"/>
      <c r="DR651" s="71"/>
      <c r="DS651" s="71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  <c r="IJ651" s="71"/>
      <c r="IK651" s="71"/>
      <c r="IL651" s="71"/>
      <c r="IM651" s="71"/>
      <c r="IN651" s="71"/>
      <c r="IO651" s="71"/>
      <c r="IP651" s="71"/>
      <c r="IQ651" s="71"/>
      <c r="IR651" s="71"/>
      <c r="IS651" s="71"/>
      <c r="IT651" s="71"/>
      <c r="IU651" s="71"/>
      <c r="IV651" s="71"/>
      <c r="IW651" s="71"/>
    </row>
    <row r="652" customFormat="false" ht="12.75" hidden="false" customHeight="false" outlineLevel="0" collapsed="false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  <c r="CE652" s="71"/>
      <c r="CF652" s="71"/>
      <c r="CG652" s="71"/>
      <c r="CH652" s="71"/>
      <c r="CI652" s="71"/>
      <c r="CJ652" s="71"/>
      <c r="CK652" s="71"/>
      <c r="CL652" s="71"/>
      <c r="CM652" s="71"/>
      <c r="CN652" s="71"/>
      <c r="CO652" s="71"/>
      <c r="CP652" s="71"/>
      <c r="CQ652" s="71"/>
      <c r="CR652" s="71"/>
      <c r="CS652" s="71"/>
      <c r="CT652" s="71"/>
      <c r="CU652" s="71"/>
      <c r="CV652" s="71"/>
      <c r="CW652" s="71"/>
      <c r="CX652" s="71"/>
      <c r="CY652" s="71"/>
      <c r="CZ652" s="71"/>
      <c r="DA652" s="71"/>
      <c r="DB652" s="71"/>
      <c r="DC652" s="71"/>
      <c r="DD652" s="71"/>
      <c r="DE652" s="71"/>
      <c r="DF652" s="71"/>
      <c r="DG652" s="71"/>
      <c r="DH652" s="71"/>
      <c r="DI652" s="71"/>
      <c r="DJ652" s="71"/>
      <c r="DK652" s="71"/>
      <c r="DL652" s="71"/>
      <c r="DM652" s="71"/>
      <c r="DN652" s="71"/>
      <c r="DO652" s="71"/>
      <c r="DP652" s="71"/>
      <c r="DQ652" s="71"/>
      <c r="DR652" s="71"/>
      <c r="DS652" s="71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  <c r="IJ652" s="71"/>
      <c r="IK652" s="71"/>
      <c r="IL652" s="71"/>
      <c r="IM652" s="71"/>
      <c r="IN652" s="71"/>
      <c r="IO652" s="71"/>
      <c r="IP652" s="71"/>
      <c r="IQ652" s="71"/>
      <c r="IR652" s="71"/>
      <c r="IS652" s="71"/>
      <c r="IT652" s="71"/>
      <c r="IU652" s="71"/>
      <c r="IV652" s="71"/>
      <c r="IW652" s="71"/>
    </row>
    <row r="653" customFormat="false" ht="12.75" hidden="false" customHeight="false" outlineLevel="0" collapsed="false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1"/>
      <c r="CF653" s="71"/>
      <c r="CG653" s="71"/>
      <c r="CH653" s="71"/>
      <c r="CI653" s="71"/>
      <c r="CJ653" s="71"/>
      <c r="CK653" s="71"/>
      <c r="CL653" s="71"/>
      <c r="CM653" s="71"/>
      <c r="CN653" s="71"/>
      <c r="CO653" s="71"/>
      <c r="CP653" s="71"/>
      <c r="CQ653" s="71"/>
      <c r="CR653" s="71"/>
      <c r="CS653" s="71"/>
      <c r="CT653" s="71"/>
      <c r="CU653" s="71"/>
      <c r="CV653" s="71"/>
      <c r="CW653" s="71"/>
      <c r="CX653" s="71"/>
      <c r="CY653" s="71"/>
      <c r="CZ653" s="71"/>
      <c r="DA653" s="71"/>
      <c r="DB653" s="71"/>
      <c r="DC653" s="71"/>
      <c r="DD653" s="71"/>
      <c r="DE653" s="71"/>
      <c r="DF653" s="71"/>
      <c r="DG653" s="71"/>
      <c r="DH653" s="71"/>
      <c r="DI653" s="71"/>
      <c r="DJ653" s="71"/>
      <c r="DK653" s="71"/>
      <c r="DL653" s="71"/>
      <c r="DM653" s="71"/>
      <c r="DN653" s="71"/>
      <c r="DO653" s="71"/>
      <c r="DP653" s="71"/>
      <c r="DQ653" s="71"/>
      <c r="DR653" s="71"/>
      <c r="DS653" s="71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  <c r="IJ653" s="71"/>
      <c r="IK653" s="71"/>
      <c r="IL653" s="71"/>
      <c r="IM653" s="71"/>
      <c r="IN653" s="71"/>
      <c r="IO653" s="71"/>
      <c r="IP653" s="71"/>
      <c r="IQ653" s="71"/>
      <c r="IR653" s="71"/>
      <c r="IS653" s="71"/>
      <c r="IT653" s="71"/>
      <c r="IU653" s="71"/>
      <c r="IV653" s="71"/>
      <c r="IW653" s="71"/>
    </row>
    <row r="654" customFormat="false" ht="12.75" hidden="false" customHeight="false" outlineLevel="0" collapsed="false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1"/>
      <c r="CH654" s="71"/>
      <c r="CI654" s="71"/>
      <c r="CJ654" s="71"/>
      <c r="CK654" s="71"/>
      <c r="CL654" s="71"/>
      <c r="CM654" s="71"/>
      <c r="CN654" s="71"/>
      <c r="CO654" s="71"/>
      <c r="CP654" s="71"/>
      <c r="CQ654" s="71"/>
      <c r="CR654" s="71"/>
      <c r="CS654" s="71"/>
      <c r="CT654" s="71"/>
      <c r="CU654" s="71"/>
      <c r="CV654" s="71"/>
      <c r="CW654" s="71"/>
      <c r="CX654" s="71"/>
      <c r="CY654" s="71"/>
      <c r="CZ654" s="71"/>
      <c r="DA654" s="71"/>
      <c r="DB654" s="71"/>
      <c r="DC654" s="71"/>
      <c r="DD654" s="71"/>
      <c r="DE654" s="71"/>
      <c r="DF654" s="71"/>
      <c r="DG654" s="71"/>
      <c r="DH654" s="71"/>
      <c r="DI654" s="71"/>
      <c r="DJ654" s="71"/>
      <c r="DK654" s="71"/>
      <c r="DL654" s="71"/>
      <c r="DM654" s="71"/>
      <c r="DN654" s="71"/>
      <c r="DO654" s="71"/>
      <c r="DP654" s="71"/>
      <c r="DQ654" s="71"/>
      <c r="DR654" s="71"/>
      <c r="DS654" s="71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  <c r="IJ654" s="71"/>
      <c r="IK654" s="71"/>
      <c r="IL654" s="71"/>
      <c r="IM654" s="71"/>
      <c r="IN654" s="71"/>
      <c r="IO654" s="71"/>
      <c r="IP654" s="71"/>
      <c r="IQ654" s="71"/>
      <c r="IR654" s="71"/>
      <c r="IS654" s="71"/>
      <c r="IT654" s="71"/>
      <c r="IU654" s="71"/>
      <c r="IV654" s="71"/>
      <c r="IW654" s="71"/>
    </row>
    <row r="655" customFormat="false" ht="12.75" hidden="false" customHeight="false" outlineLevel="0" collapsed="false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1"/>
      <c r="CG655" s="71"/>
      <c r="CH655" s="71"/>
      <c r="CI655" s="71"/>
      <c r="CJ655" s="71"/>
      <c r="CK655" s="71"/>
      <c r="CL655" s="71"/>
      <c r="CM655" s="71"/>
      <c r="CN655" s="71"/>
      <c r="CO655" s="71"/>
      <c r="CP655" s="71"/>
      <c r="CQ655" s="71"/>
      <c r="CR655" s="71"/>
      <c r="CS655" s="71"/>
      <c r="CT655" s="71"/>
      <c r="CU655" s="71"/>
      <c r="CV655" s="71"/>
      <c r="CW655" s="71"/>
      <c r="CX655" s="71"/>
      <c r="CY655" s="71"/>
      <c r="CZ655" s="71"/>
      <c r="DA655" s="71"/>
      <c r="DB655" s="71"/>
      <c r="DC655" s="71"/>
      <c r="DD655" s="71"/>
      <c r="DE655" s="71"/>
      <c r="DF655" s="71"/>
      <c r="DG655" s="71"/>
      <c r="DH655" s="71"/>
      <c r="DI655" s="71"/>
      <c r="DJ655" s="71"/>
      <c r="DK655" s="71"/>
      <c r="DL655" s="71"/>
      <c r="DM655" s="71"/>
      <c r="DN655" s="71"/>
      <c r="DO655" s="71"/>
      <c r="DP655" s="71"/>
      <c r="DQ655" s="71"/>
      <c r="DR655" s="71"/>
      <c r="DS655" s="71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  <c r="IJ655" s="71"/>
      <c r="IK655" s="71"/>
      <c r="IL655" s="71"/>
      <c r="IM655" s="71"/>
      <c r="IN655" s="71"/>
      <c r="IO655" s="71"/>
      <c r="IP655" s="71"/>
      <c r="IQ655" s="71"/>
      <c r="IR655" s="71"/>
      <c r="IS655" s="71"/>
      <c r="IT655" s="71"/>
      <c r="IU655" s="71"/>
      <c r="IV655" s="71"/>
      <c r="IW655" s="71"/>
    </row>
    <row r="656" customFormat="false" ht="12.75" hidden="false" customHeight="false" outlineLevel="0" collapsed="false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1"/>
      <c r="CG656" s="71"/>
      <c r="CH656" s="71"/>
      <c r="CI656" s="71"/>
      <c r="CJ656" s="71"/>
      <c r="CK656" s="71"/>
      <c r="CL656" s="71"/>
      <c r="CM656" s="71"/>
      <c r="CN656" s="71"/>
      <c r="CO656" s="71"/>
      <c r="CP656" s="71"/>
      <c r="CQ656" s="71"/>
      <c r="CR656" s="71"/>
      <c r="CS656" s="71"/>
      <c r="CT656" s="71"/>
      <c r="CU656" s="71"/>
      <c r="CV656" s="71"/>
      <c r="CW656" s="71"/>
      <c r="CX656" s="71"/>
      <c r="CY656" s="71"/>
      <c r="CZ656" s="71"/>
      <c r="DA656" s="71"/>
      <c r="DB656" s="71"/>
      <c r="DC656" s="71"/>
      <c r="DD656" s="71"/>
      <c r="DE656" s="71"/>
      <c r="DF656" s="71"/>
      <c r="DG656" s="71"/>
      <c r="DH656" s="71"/>
      <c r="DI656" s="71"/>
      <c r="DJ656" s="71"/>
      <c r="DK656" s="71"/>
      <c r="DL656" s="71"/>
      <c r="DM656" s="71"/>
      <c r="DN656" s="71"/>
      <c r="DO656" s="71"/>
      <c r="DP656" s="71"/>
      <c r="DQ656" s="71"/>
      <c r="DR656" s="71"/>
      <c r="DS656" s="71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  <c r="IJ656" s="71"/>
      <c r="IK656" s="71"/>
      <c r="IL656" s="71"/>
      <c r="IM656" s="71"/>
      <c r="IN656" s="71"/>
      <c r="IO656" s="71"/>
      <c r="IP656" s="71"/>
      <c r="IQ656" s="71"/>
      <c r="IR656" s="71"/>
      <c r="IS656" s="71"/>
      <c r="IT656" s="71"/>
      <c r="IU656" s="71"/>
      <c r="IV656" s="71"/>
      <c r="IW656" s="71"/>
    </row>
    <row r="657" customFormat="false" ht="12.75" hidden="false" customHeight="false" outlineLevel="0" collapsed="false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1"/>
      <c r="CF657" s="71"/>
      <c r="CG657" s="71"/>
      <c r="CH657" s="71"/>
      <c r="CI657" s="71"/>
      <c r="CJ657" s="71"/>
      <c r="CK657" s="71"/>
      <c r="CL657" s="71"/>
      <c r="CM657" s="71"/>
      <c r="CN657" s="71"/>
      <c r="CO657" s="71"/>
      <c r="CP657" s="71"/>
      <c r="CQ657" s="71"/>
      <c r="CR657" s="71"/>
      <c r="CS657" s="71"/>
      <c r="CT657" s="71"/>
      <c r="CU657" s="71"/>
      <c r="CV657" s="71"/>
      <c r="CW657" s="71"/>
      <c r="CX657" s="71"/>
      <c r="CY657" s="71"/>
      <c r="CZ657" s="71"/>
      <c r="DA657" s="71"/>
      <c r="DB657" s="71"/>
      <c r="DC657" s="71"/>
      <c r="DD657" s="71"/>
      <c r="DE657" s="71"/>
      <c r="DF657" s="71"/>
      <c r="DG657" s="71"/>
      <c r="DH657" s="71"/>
      <c r="DI657" s="71"/>
      <c r="DJ657" s="71"/>
      <c r="DK657" s="71"/>
      <c r="DL657" s="71"/>
      <c r="DM657" s="71"/>
      <c r="DN657" s="71"/>
      <c r="DO657" s="71"/>
      <c r="DP657" s="71"/>
      <c r="DQ657" s="71"/>
      <c r="DR657" s="71"/>
      <c r="DS657" s="71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  <c r="IJ657" s="71"/>
      <c r="IK657" s="71"/>
      <c r="IL657" s="71"/>
      <c r="IM657" s="71"/>
      <c r="IN657" s="71"/>
      <c r="IO657" s="71"/>
      <c r="IP657" s="71"/>
      <c r="IQ657" s="71"/>
      <c r="IR657" s="71"/>
      <c r="IS657" s="71"/>
      <c r="IT657" s="71"/>
      <c r="IU657" s="71"/>
      <c r="IV657" s="71"/>
      <c r="IW657" s="71"/>
    </row>
    <row r="658" customFormat="false" ht="12.75" hidden="false" customHeight="false" outlineLevel="0" collapsed="false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1"/>
      <c r="CF658" s="71"/>
      <c r="CG658" s="71"/>
      <c r="CH658" s="71"/>
      <c r="CI658" s="71"/>
      <c r="CJ658" s="71"/>
      <c r="CK658" s="71"/>
      <c r="CL658" s="71"/>
      <c r="CM658" s="71"/>
      <c r="CN658" s="71"/>
      <c r="CO658" s="71"/>
      <c r="CP658" s="71"/>
      <c r="CQ658" s="71"/>
      <c r="CR658" s="71"/>
      <c r="CS658" s="71"/>
      <c r="CT658" s="71"/>
      <c r="CU658" s="71"/>
      <c r="CV658" s="71"/>
      <c r="CW658" s="71"/>
      <c r="CX658" s="71"/>
      <c r="CY658" s="71"/>
      <c r="CZ658" s="71"/>
      <c r="DA658" s="71"/>
      <c r="DB658" s="71"/>
      <c r="DC658" s="71"/>
      <c r="DD658" s="71"/>
      <c r="DE658" s="71"/>
      <c r="DF658" s="71"/>
      <c r="DG658" s="71"/>
      <c r="DH658" s="71"/>
      <c r="DI658" s="71"/>
      <c r="DJ658" s="71"/>
      <c r="DK658" s="71"/>
      <c r="DL658" s="71"/>
      <c r="DM658" s="71"/>
      <c r="DN658" s="71"/>
      <c r="DO658" s="71"/>
      <c r="DP658" s="71"/>
      <c r="DQ658" s="71"/>
      <c r="DR658" s="71"/>
      <c r="DS658" s="71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  <c r="IJ658" s="71"/>
      <c r="IK658" s="71"/>
      <c r="IL658" s="71"/>
      <c r="IM658" s="71"/>
      <c r="IN658" s="71"/>
      <c r="IO658" s="71"/>
      <c r="IP658" s="71"/>
      <c r="IQ658" s="71"/>
      <c r="IR658" s="71"/>
      <c r="IS658" s="71"/>
      <c r="IT658" s="71"/>
      <c r="IU658" s="71"/>
      <c r="IV658" s="71"/>
      <c r="IW658" s="71"/>
    </row>
    <row r="659" customFormat="false" ht="12.75" hidden="false" customHeight="false" outlineLevel="0" collapsed="false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1"/>
      <c r="CF659" s="71"/>
      <c r="CG659" s="71"/>
      <c r="CH659" s="71"/>
      <c r="CI659" s="71"/>
      <c r="CJ659" s="71"/>
      <c r="CK659" s="71"/>
      <c r="CL659" s="71"/>
      <c r="CM659" s="71"/>
      <c r="CN659" s="71"/>
      <c r="CO659" s="71"/>
      <c r="CP659" s="71"/>
      <c r="CQ659" s="71"/>
      <c r="CR659" s="71"/>
      <c r="CS659" s="71"/>
      <c r="CT659" s="71"/>
      <c r="CU659" s="71"/>
      <c r="CV659" s="71"/>
      <c r="CW659" s="71"/>
      <c r="CX659" s="71"/>
      <c r="CY659" s="71"/>
      <c r="CZ659" s="71"/>
      <c r="DA659" s="71"/>
      <c r="DB659" s="71"/>
      <c r="DC659" s="71"/>
      <c r="DD659" s="71"/>
      <c r="DE659" s="71"/>
      <c r="DF659" s="71"/>
      <c r="DG659" s="71"/>
      <c r="DH659" s="71"/>
      <c r="DI659" s="71"/>
      <c r="DJ659" s="71"/>
      <c r="DK659" s="71"/>
      <c r="DL659" s="71"/>
      <c r="DM659" s="71"/>
      <c r="DN659" s="71"/>
      <c r="DO659" s="71"/>
      <c r="DP659" s="71"/>
      <c r="DQ659" s="71"/>
      <c r="DR659" s="71"/>
      <c r="DS659" s="71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  <c r="IJ659" s="71"/>
      <c r="IK659" s="71"/>
      <c r="IL659" s="71"/>
      <c r="IM659" s="71"/>
      <c r="IN659" s="71"/>
      <c r="IO659" s="71"/>
      <c r="IP659" s="71"/>
      <c r="IQ659" s="71"/>
      <c r="IR659" s="71"/>
      <c r="IS659" s="71"/>
      <c r="IT659" s="71"/>
      <c r="IU659" s="71"/>
      <c r="IV659" s="71"/>
      <c r="IW659" s="71"/>
    </row>
    <row r="660" customFormat="false" ht="12.75" hidden="false" customHeight="false" outlineLevel="0" collapsed="false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1"/>
      <c r="CG660" s="71"/>
      <c r="CH660" s="71"/>
      <c r="CI660" s="71"/>
      <c r="CJ660" s="71"/>
      <c r="CK660" s="71"/>
      <c r="CL660" s="71"/>
      <c r="CM660" s="71"/>
      <c r="CN660" s="71"/>
      <c r="CO660" s="71"/>
      <c r="CP660" s="71"/>
      <c r="CQ660" s="71"/>
      <c r="CR660" s="71"/>
      <c r="CS660" s="71"/>
      <c r="CT660" s="71"/>
      <c r="CU660" s="71"/>
      <c r="CV660" s="71"/>
      <c r="CW660" s="71"/>
      <c r="CX660" s="71"/>
      <c r="CY660" s="71"/>
      <c r="CZ660" s="71"/>
      <c r="DA660" s="71"/>
      <c r="DB660" s="71"/>
      <c r="DC660" s="71"/>
      <c r="DD660" s="71"/>
      <c r="DE660" s="71"/>
      <c r="DF660" s="71"/>
      <c r="DG660" s="71"/>
      <c r="DH660" s="71"/>
      <c r="DI660" s="71"/>
      <c r="DJ660" s="71"/>
      <c r="DK660" s="71"/>
      <c r="DL660" s="71"/>
      <c r="DM660" s="71"/>
      <c r="DN660" s="71"/>
      <c r="DO660" s="71"/>
      <c r="DP660" s="71"/>
      <c r="DQ660" s="71"/>
      <c r="DR660" s="71"/>
      <c r="DS660" s="71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  <c r="IJ660" s="71"/>
      <c r="IK660" s="71"/>
      <c r="IL660" s="71"/>
      <c r="IM660" s="71"/>
      <c r="IN660" s="71"/>
      <c r="IO660" s="71"/>
      <c r="IP660" s="71"/>
      <c r="IQ660" s="71"/>
      <c r="IR660" s="71"/>
      <c r="IS660" s="71"/>
      <c r="IT660" s="71"/>
      <c r="IU660" s="71"/>
      <c r="IV660" s="71"/>
      <c r="IW660" s="71"/>
    </row>
    <row r="661" customFormat="false" ht="12.75" hidden="false" customHeight="false" outlineLevel="0" collapsed="false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1"/>
      <c r="CG661" s="71"/>
      <c r="CH661" s="71"/>
      <c r="CI661" s="71"/>
      <c r="CJ661" s="71"/>
      <c r="CK661" s="71"/>
      <c r="CL661" s="71"/>
      <c r="CM661" s="71"/>
      <c r="CN661" s="71"/>
      <c r="CO661" s="71"/>
      <c r="CP661" s="71"/>
      <c r="CQ661" s="71"/>
      <c r="CR661" s="71"/>
      <c r="CS661" s="71"/>
      <c r="CT661" s="71"/>
      <c r="CU661" s="71"/>
      <c r="CV661" s="71"/>
      <c r="CW661" s="71"/>
      <c r="CX661" s="71"/>
      <c r="CY661" s="71"/>
      <c r="CZ661" s="71"/>
      <c r="DA661" s="71"/>
      <c r="DB661" s="71"/>
      <c r="DC661" s="71"/>
      <c r="DD661" s="71"/>
      <c r="DE661" s="71"/>
      <c r="DF661" s="71"/>
      <c r="DG661" s="71"/>
      <c r="DH661" s="71"/>
      <c r="DI661" s="71"/>
      <c r="DJ661" s="71"/>
      <c r="DK661" s="71"/>
      <c r="DL661" s="71"/>
      <c r="DM661" s="71"/>
      <c r="DN661" s="71"/>
      <c r="DO661" s="71"/>
      <c r="DP661" s="71"/>
      <c r="DQ661" s="71"/>
      <c r="DR661" s="71"/>
      <c r="DS661" s="71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  <c r="IJ661" s="71"/>
      <c r="IK661" s="71"/>
      <c r="IL661" s="71"/>
      <c r="IM661" s="71"/>
      <c r="IN661" s="71"/>
      <c r="IO661" s="71"/>
      <c r="IP661" s="71"/>
      <c r="IQ661" s="71"/>
      <c r="IR661" s="71"/>
      <c r="IS661" s="71"/>
      <c r="IT661" s="71"/>
      <c r="IU661" s="71"/>
      <c r="IV661" s="71"/>
      <c r="IW661" s="71"/>
    </row>
    <row r="662" customFormat="false" ht="12.75" hidden="false" customHeight="false" outlineLevel="0" collapsed="false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1"/>
      <c r="CG662" s="71"/>
      <c r="CH662" s="71"/>
      <c r="CI662" s="71"/>
      <c r="CJ662" s="71"/>
      <c r="CK662" s="71"/>
      <c r="CL662" s="71"/>
      <c r="CM662" s="71"/>
      <c r="CN662" s="71"/>
      <c r="CO662" s="71"/>
      <c r="CP662" s="71"/>
      <c r="CQ662" s="71"/>
      <c r="CR662" s="71"/>
      <c r="CS662" s="71"/>
      <c r="CT662" s="71"/>
      <c r="CU662" s="71"/>
      <c r="CV662" s="71"/>
      <c r="CW662" s="71"/>
      <c r="CX662" s="71"/>
      <c r="CY662" s="71"/>
      <c r="CZ662" s="71"/>
      <c r="DA662" s="71"/>
      <c r="DB662" s="71"/>
      <c r="DC662" s="71"/>
      <c r="DD662" s="71"/>
      <c r="DE662" s="71"/>
      <c r="DF662" s="71"/>
      <c r="DG662" s="71"/>
      <c r="DH662" s="71"/>
      <c r="DI662" s="71"/>
      <c r="DJ662" s="71"/>
      <c r="DK662" s="71"/>
      <c r="DL662" s="71"/>
      <c r="DM662" s="71"/>
      <c r="DN662" s="71"/>
      <c r="DO662" s="71"/>
      <c r="DP662" s="71"/>
      <c r="DQ662" s="71"/>
      <c r="DR662" s="71"/>
      <c r="DS662" s="71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  <c r="IJ662" s="71"/>
      <c r="IK662" s="71"/>
      <c r="IL662" s="71"/>
      <c r="IM662" s="71"/>
      <c r="IN662" s="71"/>
      <c r="IO662" s="71"/>
      <c r="IP662" s="71"/>
      <c r="IQ662" s="71"/>
      <c r="IR662" s="71"/>
      <c r="IS662" s="71"/>
      <c r="IT662" s="71"/>
      <c r="IU662" s="71"/>
      <c r="IV662" s="71"/>
      <c r="IW662" s="71"/>
    </row>
    <row r="663" customFormat="false" ht="12.75" hidden="false" customHeight="false" outlineLevel="0" collapsed="false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1"/>
      <c r="CG663" s="71"/>
      <c r="CH663" s="71"/>
      <c r="CI663" s="71"/>
      <c r="CJ663" s="71"/>
      <c r="CK663" s="71"/>
      <c r="CL663" s="71"/>
      <c r="CM663" s="71"/>
      <c r="CN663" s="71"/>
      <c r="CO663" s="71"/>
      <c r="CP663" s="71"/>
      <c r="CQ663" s="71"/>
      <c r="CR663" s="71"/>
      <c r="CS663" s="71"/>
      <c r="CT663" s="71"/>
      <c r="CU663" s="71"/>
      <c r="CV663" s="71"/>
      <c r="CW663" s="71"/>
      <c r="CX663" s="71"/>
      <c r="CY663" s="71"/>
      <c r="CZ663" s="71"/>
      <c r="DA663" s="71"/>
      <c r="DB663" s="71"/>
      <c r="DC663" s="71"/>
      <c r="DD663" s="71"/>
      <c r="DE663" s="71"/>
      <c r="DF663" s="71"/>
      <c r="DG663" s="71"/>
      <c r="DH663" s="71"/>
      <c r="DI663" s="71"/>
      <c r="DJ663" s="71"/>
      <c r="DK663" s="71"/>
      <c r="DL663" s="71"/>
      <c r="DM663" s="71"/>
      <c r="DN663" s="71"/>
      <c r="DO663" s="71"/>
      <c r="DP663" s="71"/>
      <c r="DQ663" s="71"/>
      <c r="DR663" s="71"/>
      <c r="DS663" s="71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  <c r="IJ663" s="71"/>
      <c r="IK663" s="71"/>
      <c r="IL663" s="71"/>
      <c r="IM663" s="71"/>
      <c r="IN663" s="71"/>
      <c r="IO663" s="71"/>
      <c r="IP663" s="71"/>
      <c r="IQ663" s="71"/>
      <c r="IR663" s="71"/>
      <c r="IS663" s="71"/>
      <c r="IT663" s="71"/>
      <c r="IU663" s="71"/>
      <c r="IV663" s="71"/>
      <c r="IW663" s="71"/>
    </row>
    <row r="664" customFormat="false" ht="12.75" hidden="false" customHeight="false" outlineLevel="0" collapsed="false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1"/>
      <c r="CG664" s="71"/>
      <c r="CH664" s="71"/>
      <c r="CI664" s="71"/>
      <c r="CJ664" s="71"/>
      <c r="CK664" s="71"/>
      <c r="CL664" s="71"/>
      <c r="CM664" s="71"/>
      <c r="CN664" s="71"/>
      <c r="CO664" s="71"/>
      <c r="CP664" s="71"/>
      <c r="CQ664" s="71"/>
      <c r="CR664" s="71"/>
      <c r="CS664" s="71"/>
      <c r="CT664" s="71"/>
      <c r="CU664" s="71"/>
      <c r="CV664" s="71"/>
      <c r="CW664" s="71"/>
      <c r="CX664" s="71"/>
      <c r="CY664" s="71"/>
      <c r="CZ664" s="71"/>
      <c r="DA664" s="71"/>
      <c r="DB664" s="71"/>
      <c r="DC664" s="71"/>
      <c r="DD664" s="71"/>
      <c r="DE664" s="71"/>
      <c r="DF664" s="71"/>
      <c r="DG664" s="71"/>
      <c r="DH664" s="71"/>
      <c r="DI664" s="71"/>
      <c r="DJ664" s="71"/>
      <c r="DK664" s="71"/>
      <c r="DL664" s="71"/>
      <c r="DM664" s="71"/>
      <c r="DN664" s="71"/>
      <c r="DO664" s="71"/>
      <c r="DP664" s="71"/>
      <c r="DQ664" s="71"/>
      <c r="DR664" s="71"/>
      <c r="DS664" s="71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  <c r="IJ664" s="71"/>
      <c r="IK664" s="71"/>
      <c r="IL664" s="71"/>
      <c r="IM664" s="71"/>
      <c r="IN664" s="71"/>
      <c r="IO664" s="71"/>
      <c r="IP664" s="71"/>
      <c r="IQ664" s="71"/>
      <c r="IR664" s="71"/>
      <c r="IS664" s="71"/>
      <c r="IT664" s="71"/>
      <c r="IU664" s="71"/>
      <c r="IV664" s="71"/>
      <c r="IW664" s="71"/>
    </row>
    <row r="665" customFormat="false" ht="12.75" hidden="false" customHeight="false" outlineLevel="0" collapsed="false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1"/>
      <c r="CG665" s="71"/>
      <c r="CH665" s="71"/>
      <c r="CI665" s="71"/>
      <c r="CJ665" s="71"/>
      <c r="CK665" s="71"/>
      <c r="CL665" s="71"/>
      <c r="CM665" s="71"/>
      <c r="CN665" s="71"/>
      <c r="CO665" s="71"/>
      <c r="CP665" s="71"/>
      <c r="CQ665" s="71"/>
      <c r="CR665" s="71"/>
      <c r="CS665" s="71"/>
      <c r="CT665" s="71"/>
      <c r="CU665" s="71"/>
      <c r="CV665" s="71"/>
      <c r="CW665" s="71"/>
      <c r="CX665" s="71"/>
      <c r="CY665" s="71"/>
      <c r="CZ665" s="71"/>
      <c r="DA665" s="71"/>
      <c r="DB665" s="71"/>
      <c r="DC665" s="71"/>
      <c r="DD665" s="71"/>
      <c r="DE665" s="71"/>
      <c r="DF665" s="71"/>
      <c r="DG665" s="71"/>
      <c r="DH665" s="71"/>
      <c r="DI665" s="71"/>
      <c r="DJ665" s="71"/>
      <c r="DK665" s="71"/>
      <c r="DL665" s="71"/>
      <c r="DM665" s="71"/>
      <c r="DN665" s="71"/>
      <c r="DO665" s="71"/>
      <c r="DP665" s="71"/>
      <c r="DQ665" s="71"/>
      <c r="DR665" s="71"/>
      <c r="DS665" s="71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  <c r="IJ665" s="71"/>
      <c r="IK665" s="71"/>
      <c r="IL665" s="71"/>
      <c r="IM665" s="71"/>
      <c r="IN665" s="71"/>
      <c r="IO665" s="71"/>
      <c r="IP665" s="71"/>
      <c r="IQ665" s="71"/>
      <c r="IR665" s="71"/>
      <c r="IS665" s="71"/>
      <c r="IT665" s="71"/>
      <c r="IU665" s="71"/>
      <c r="IV665" s="71"/>
      <c r="IW665" s="71"/>
    </row>
    <row r="666" customFormat="false" ht="12.75" hidden="false" customHeight="false" outlineLevel="0" collapsed="false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1"/>
      <c r="CG666" s="71"/>
      <c r="CH666" s="71"/>
      <c r="CI666" s="71"/>
      <c r="CJ666" s="71"/>
      <c r="CK666" s="71"/>
      <c r="CL666" s="71"/>
      <c r="CM666" s="71"/>
      <c r="CN666" s="71"/>
      <c r="CO666" s="71"/>
      <c r="CP666" s="71"/>
      <c r="CQ666" s="71"/>
      <c r="CR666" s="71"/>
      <c r="CS666" s="71"/>
      <c r="CT666" s="71"/>
      <c r="CU666" s="71"/>
      <c r="CV666" s="71"/>
      <c r="CW666" s="71"/>
      <c r="CX666" s="71"/>
      <c r="CY666" s="71"/>
      <c r="CZ666" s="71"/>
      <c r="DA666" s="71"/>
      <c r="DB666" s="71"/>
      <c r="DC666" s="71"/>
      <c r="DD666" s="71"/>
      <c r="DE666" s="71"/>
      <c r="DF666" s="71"/>
      <c r="DG666" s="71"/>
      <c r="DH666" s="71"/>
      <c r="DI666" s="71"/>
      <c r="DJ666" s="71"/>
      <c r="DK666" s="71"/>
      <c r="DL666" s="71"/>
      <c r="DM666" s="71"/>
      <c r="DN666" s="71"/>
      <c r="DO666" s="71"/>
      <c r="DP666" s="71"/>
      <c r="DQ666" s="71"/>
      <c r="DR666" s="71"/>
      <c r="DS666" s="71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  <c r="IJ666" s="71"/>
      <c r="IK666" s="71"/>
      <c r="IL666" s="71"/>
      <c r="IM666" s="71"/>
      <c r="IN666" s="71"/>
      <c r="IO666" s="71"/>
      <c r="IP666" s="71"/>
      <c r="IQ666" s="71"/>
      <c r="IR666" s="71"/>
      <c r="IS666" s="71"/>
      <c r="IT666" s="71"/>
      <c r="IU666" s="71"/>
      <c r="IV666" s="71"/>
      <c r="IW666" s="71"/>
    </row>
    <row r="667" customFormat="false" ht="12.75" hidden="false" customHeight="false" outlineLevel="0" collapsed="false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1"/>
      <c r="CH667" s="71"/>
      <c r="CI667" s="71"/>
      <c r="CJ667" s="71"/>
      <c r="CK667" s="71"/>
      <c r="CL667" s="71"/>
      <c r="CM667" s="71"/>
      <c r="CN667" s="71"/>
      <c r="CO667" s="71"/>
      <c r="CP667" s="71"/>
      <c r="CQ667" s="71"/>
      <c r="CR667" s="71"/>
      <c r="CS667" s="71"/>
      <c r="CT667" s="71"/>
      <c r="CU667" s="71"/>
      <c r="CV667" s="71"/>
      <c r="CW667" s="71"/>
      <c r="CX667" s="71"/>
      <c r="CY667" s="71"/>
      <c r="CZ667" s="71"/>
      <c r="DA667" s="71"/>
      <c r="DB667" s="71"/>
      <c r="DC667" s="71"/>
      <c r="DD667" s="71"/>
      <c r="DE667" s="71"/>
      <c r="DF667" s="71"/>
      <c r="DG667" s="71"/>
      <c r="DH667" s="71"/>
      <c r="DI667" s="71"/>
      <c r="DJ667" s="71"/>
      <c r="DK667" s="71"/>
      <c r="DL667" s="71"/>
      <c r="DM667" s="71"/>
      <c r="DN667" s="71"/>
      <c r="DO667" s="71"/>
      <c r="DP667" s="71"/>
      <c r="DQ667" s="71"/>
      <c r="DR667" s="71"/>
      <c r="DS667" s="71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  <c r="IJ667" s="71"/>
      <c r="IK667" s="71"/>
      <c r="IL667" s="71"/>
      <c r="IM667" s="71"/>
      <c r="IN667" s="71"/>
      <c r="IO667" s="71"/>
      <c r="IP667" s="71"/>
      <c r="IQ667" s="71"/>
      <c r="IR667" s="71"/>
      <c r="IS667" s="71"/>
      <c r="IT667" s="71"/>
      <c r="IU667" s="71"/>
      <c r="IV667" s="71"/>
      <c r="IW667" s="71"/>
    </row>
    <row r="668" customFormat="false" ht="12.75" hidden="false" customHeight="false" outlineLevel="0" collapsed="false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1"/>
      <c r="CG668" s="71"/>
      <c r="CH668" s="71"/>
      <c r="CI668" s="71"/>
      <c r="CJ668" s="71"/>
      <c r="CK668" s="71"/>
      <c r="CL668" s="71"/>
      <c r="CM668" s="71"/>
      <c r="CN668" s="71"/>
      <c r="CO668" s="71"/>
      <c r="CP668" s="71"/>
      <c r="CQ668" s="71"/>
      <c r="CR668" s="71"/>
      <c r="CS668" s="71"/>
      <c r="CT668" s="71"/>
      <c r="CU668" s="71"/>
      <c r="CV668" s="71"/>
      <c r="CW668" s="71"/>
      <c r="CX668" s="71"/>
      <c r="CY668" s="71"/>
      <c r="CZ668" s="71"/>
      <c r="DA668" s="71"/>
      <c r="DB668" s="71"/>
      <c r="DC668" s="71"/>
      <c r="DD668" s="71"/>
      <c r="DE668" s="71"/>
      <c r="DF668" s="71"/>
      <c r="DG668" s="71"/>
      <c r="DH668" s="71"/>
      <c r="DI668" s="71"/>
      <c r="DJ668" s="71"/>
      <c r="DK668" s="71"/>
      <c r="DL668" s="71"/>
      <c r="DM668" s="71"/>
      <c r="DN668" s="71"/>
      <c r="DO668" s="71"/>
      <c r="DP668" s="71"/>
      <c r="DQ668" s="71"/>
      <c r="DR668" s="71"/>
      <c r="DS668" s="71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  <c r="IJ668" s="71"/>
      <c r="IK668" s="71"/>
      <c r="IL668" s="71"/>
      <c r="IM668" s="71"/>
      <c r="IN668" s="71"/>
      <c r="IO668" s="71"/>
      <c r="IP668" s="71"/>
      <c r="IQ668" s="71"/>
      <c r="IR668" s="71"/>
      <c r="IS668" s="71"/>
      <c r="IT668" s="71"/>
      <c r="IU668" s="71"/>
      <c r="IV668" s="71"/>
      <c r="IW668" s="71"/>
    </row>
    <row r="669" customFormat="false" ht="12.75" hidden="false" customHeight="false" outlineLevel="0" collapsed="false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1"/>
      <c r="CF669" s="71"/>
      <c r="CG669" s="71"/>
      <c r="CH669" s="71"/>
      <c r="CI669" s="71"/>
      <c r="CJ669" s="71"/>
      <c r="CK669" s="71"/>
      <c r="CL669" s="71"/>
      <c r="CM669" s="71"/>
      <c r="CN669" s="71"/>
      <c r="CO669" s="71"/>
      <c r="CP669" s="71"/>
      <c r="CQ669" s="71"/>
      <c r="CR669" s="71"/>
      <c r="CS669" s="71"/>
      <c r="CT669" s="71"/>
      <c r="CU669" s="71"/>
      <c r="CV669" s="71"/>
      <c r="CW669" s="71"/>
      <c r="CX669" s="71"/>
      <c r="CY669" s="71"/>
      <c r="CZ669" s="71"/>
      <c r="DA669" s="71"/>
      <c r="DB669" s="71"/>
      <c r="DC669" s="71"/>
      <c r="DD669" s="71"/>
      <c r="DE669" s="71"/>
      <c r="DF669" s="71"/>
      <c r="DG669" s="71"/>
      <c r="DH669" s="71"/>
      <c r="DI669" s="71"/>
      <c r="DJ669" s="71"/>
      <c r="DK669" s="71"/>
      <c r="DL669" s="71"/>
      <c r="DM669" s="71"/>
      <c r="DN669" s="71"/>
      <c r="DO669" s="71"/>
      <c r="DP669" s="71"/>
      <c r="DQ669" s="71"/>
      <c r="DR669" s="71"/>
      <c r="DS669" s="71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  <c r="IJ669" s="71"/>
      <c r="IK669" s="71"/>
      <c r="IL669" s="71"/>
      <c r="IM669" s="71"/>
      <c r="IN669" s="71"/>
      <c r="IO669" s="71"/>
      <c r="IP669" s="71"/>
      <c r="IQ669" s="71"/>
      <c r="IR669" s="71"/>
      <c r="IS669" s="71"/>
      <c r="IT669" s="71"/>
      <c r="IU669" s="71"/>
      <c r="IV669" s="71"/>
      <c r="IW669" s="71"/>
    </row>
    <row r="670" customFormat="false" ht="12.75" hidden="false" customHeight="false" outlineLevel="0" collapsed="false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1"/>
      <c r="CF670" s="71"/>
      <c r="CG670" s="71"/>
      <c r="CH670" s="71"/>
      <c r="CI670" s="71"/>
      <c r="CJ670" s="71"/>
      <c r="CK670" s="71"/>
      <c r="CL670" s="71"/>
      <c r="CM670" s="71"/>
      <c r="CN670" s="71"/>
      <c r="CO670" s="71"/>
      <c r="CP670" s="71"/>
      <c r="CQ670" s="71"/>
      <c r="CR670" s="71"/>
      <c r="CS670" s="71"/>
      <c r="CT670" s="71"/>
      <c r="CU670" s="71"/>
      <c r="CV670" s="71"/>
      <c r="CW670" s="71"/>
      <c r="CX670" s="71"/>
      <c r="CY670" s="71"/>
      <c r="CZ670" s="71"/>
      <c r="DA670" s="71"/>
      <c r="DB670" s="71"/>
      <c r="DC670" s="71"/>
      <c r="DD670" s="71"/>
      <c r="DE670" s="71"/>
      <c r="DF670" s="71"/>
      <c r="DG670" s="71"/>
      <c r="DH670" s="71"/>
      <c r="DI670" s="71"/>
      <c r="DJ670" s="71"/>
      <c r="DK670" s="71"/>
      <c r="DL670" s="71"/>
      <c r="DM670" s="71"/>
      <c r="DN670" s="71"/>
      <c r="DO670" s="71"/>
      <c r="DP670" s="71"/>
      <c r="DQ670" s="71"/>
      <c r="DR670" s="71"/>
      <c r="DS670" s="71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  <c r="IJ670" s="71"/>
      <c r="IK670" s="71"/>
      <c r="IL670" s="71"/>
      <c r="IM670" s="71"/>
      <c r="IN670" s="71"/>
      <c r="IO670" s="71"/>
      <c r="IP670" s="71"/>
      <c r="IQ670" s="71"/>
      <c r="IR670" s="71"/>
      <c r="IS670" s="71"/>
      <c r="IT670" s="71"/>
      <c r="IU670" s="71"/>
      <c r="IV670" s="71"/>
      <c r="IW670" s="71"/>
    </row>
    <row r="671" customFormat="false" ht="12.75" hidden="false" customHeight="false" outlineLevel="0" collapsed="false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1"/>
      <c r="CG671" s="71"/>
      <c r="CH671" s="71"/>
      <c r="CI671" s="71"/>
      <c r="CJ671" s="71"/>
      <c r="CK671" s="71"/>
      <c r="CL671" s="71"/>
      <c r="CM671" s="71"/>
      <c r="CN671" s="71"/>
      <c r="CO671" s="71"/>
      <c r="CP671" s="71"/>
      <c r="CQ671" s="71"/>
      <c r="CR671" s="71"/>
      <c r="CS671" s="71"/>
      <c r="CT671" s="71"/>
      <c r="CU671" s="71"/>
      <c r="CV671" s="71"/>
      <c r="CW671" s="71"/>
      <c r="CX671" s="71"/>
      <c r="CY671" s="71"/>
      <c r="CZ671" s="71"/>
      <c r="DA671" s="71"/>
      <c r="DB671" s="71"/>
      <c r="DC671" s="71"/>
      <c r="DD671" s="71"/>
      <c r="DE671" s="71"/>
      <c r="DF671" s="71"/>
      <c r="DG671" s="71"/>
      <c r="DH671" s="71"/>
      <c r="DI671" s="71"/>
      <c r="DJ671" s="71"/>
      <c r="DK671" s="71"/>
      <c r="DL671" s="71"/>
      <c r="DM671" s="71"/>
      <c r="DN671" s="71"/>
      <c r="DO671" s="71"/>
      <c r="DP671" s="71"/>
      <c r="DQ671" s="71"/>
      <c r="DR671" s="71"/>
      <c r="DS671" s="71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  <c r="IJ671" s="71"/>
      <c r="IK671" s="71"/>
      <c r="IL671" s="71"/>
      <c r="IM671" s="71"/>
      <c r="IN671" s="71"/>
      <c r="IO671" s="71"/>
      <c r="IP671" s="71"/>
      <c r="IQ671" s="71"/>
      <c r="IR671" s="71"/>
      <c r="IS671" s="71"/>
      <c r="IT671" s="71"/>
      <c r="IU671" s="71"/>
      <c r="IV671" s="71"/>
      <c r="IW671" s="71"/>
    </row>
    <row r="672" customFormat="false" ht="12.75" hidden="false" customHeight="false" outlineLevel="0" collapsed="false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1"/>
      <c r="CG672" s="71"/>
      <c r="CH672" s="71"/>
      <c r="CI672" s="71"/>
      <c r="CJ672" s="71"/>
      <c r="CK672" s="71"/>
      <c r="CL672" s="71"/>
      <c r="CM672" s="71"/>
      <c r="CN672" s="71"/>
      <c r="CO672" s="71"/>
      <c r="CP672" s="71"/>
      <c r="CQ672" s="71"/>
      <c r="CR672" s="71"/>
      <c r="CS672" s="71"/>
      <c r="CT672" s="71"/>
      <c r="CU672" s="71"/>
      <c r="CV672" s="71"/>
      <c r="CW672" s="71"/>
      <c r="CX672" s="71"/>
      <c r="CY672" s="71"/>
      <c r="CZ672" s="71"/>
      <c r="DA672" s="71"/>
      <c r="DB672" s="71"/>
      <c r="DC672" s="71"/>
      <c r="DD672" s="71"/>
      <c r="DE672" s="71"/>
      <c r="DF672" s="71"/>
      <c r="DG672" s="71"/>
      <c r="DH672" s="71"/>
      <c r="DI672" s="71"/>
      <c r="DJ672" s="71"/>
      <c r="DK672" s="71"/>
      <c r="DL672" s="71"/>
      <c r="DM672" s="71"/>
      <c r="DN672" s="71"/>
      <c r="DO672" s="71"/>
      <c r="DP672" s="71"/>
      <c r="DQ672" s="71"/>
      <c r="DR672" s="71"/>
      <c r="DS672" s="71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  <c r="IJ672" s="71"/>
      <c r="IK672" s="71"/>
      <c r="IL672" s="71"/>
      <c r="IM672" s="71"/>
      <c r="IN672" s="71"/>
      <c r="IO672" s="71"/>
      <c r="IP672" s="71"/>
      <c r="IQ672" s="71"/>
      <c r="IR672" s="71"/>
      <c r="IS672" s="71"/>
      <c r="IT672" s="71"/>
      <c r="IU672" s="71"/>
      <c r="IV672" s="71"/>
      <c r="IW672" s="71"/>
    </row>
    <row r="673" customFormat="false" ht="12.75" hidden="false" customHeight="false" outlineLevel="0" collapsed="false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1"/>
      <c r="CG673" s="71"/>
      <c r="CH673" s="71"/>
      <c r="CI673" s="71"/>
      <c r="CJ673" s="71"/>
      <c r="CK673" s="71"/>
      <c r="CL673" s="71"/>
      <c r="CM673" s="71"/>
      <c r="CN673" s="71"/>
      <c r="CO673" s="71"/>
      <c r="CP673" s="71"/>
      <c r="CQ673" s="71"/>
      <c r="CR673" s="71"/>
      <c r="CS673" s="71"/>
      <c r="CT673" s="71"/>
      <c r="CU673" s="71"/>
      <c r="CV673" s="71"/>
      <c r="CW673" s="71"/>
      <c r="CX673" s="71"/>
      <c r="CY673" s="71"/>
      <c r="CZ673" s="71"/>
      <c r="DA673" s="71"/>
      <c r="DB673" s="71"/>
      <c r="DC673" s="71"/>
      <c r="DD673" s="71"/>
      <c r="DE673" s="71"/>
      <c r="DF673" s="71"/>
      <c r="DG673" s="71"/>
      <c r="DH673" s="71"/>
      <c r="DI673" s="71"/>
      <c r="DJ673" s="71"/>
      <c r="DK673" s="71"/>
      <c r="DL673" s="71"/>
      <c r="DM673" s="71"/>
      <c r="DN673" s="71"/>
      <c r="DO673" s="71"/>
      <c r="DP673" s="71"/>
      <c r="DQ673" s="71"/>
      <c r="DR673" s="71"/>
      <c r="DS673" s="71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  <c r="IJ673" s="71"/>
      <c r="IK673" s="71"/>
      <c r="IL673" s="71"/>
      <c r="IM673" s="71"/>
      <c r="IN673" s="71"/>
      <c r="IO673" s="71"/>
      <c r="IP673" s="71"/>
      <c r="IQ673" s="71"/>
      <c r="IR673" s="71"/>
      <c r="IS673" s="71"/>
      <c r="IT673" s="71"/>
      <c r="IU673" s="71"/>
      <c r="IV673" s="71"/>
      <c r="IW673" s="71"/>
    </row>
    <row r="674" customFormat="false" ht="12.75" hidden="false" customHeight="false" outlineLevel="0" collapsed="false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1"/>
      <c r="CG674" s="71"/>
      <c r="CH674" s="71"/>
      <c r="CI674" s="71"/>
      <c r="CJ674" s="71"/>
      <c r="CK674" s="71"/>
      <c r="CL674" s="71"/>
      <c r="CM674" s="71"/>
      <c r="CN674" s="71"/>
      <c r="CO674" s="71"/>
      <c r="CP674" s="71"/>
      <c r="CQ674" s="71"/>
      <c r="CR674" s="71"/>
      <c r="CS674" s="71"/>
      <c r="CT674" s="71"/>
      <c r="CU674" s="71"/>
      <c r="CV674" s="71"/>
      <c r="CW674" s="71"/>
      <c r="CX674" s="71"/>
      <c r="CY674" s="71"/>
      <c r="CZ674" s="71"/>
      <c r="DA674" s="71"/>
      <c r="DB674" s="71"/>
      <c r="DC674" s="71"/>
      <c r="DD674" s="71"/>
      <c r="DE674" s="71"/>
      <c r="DF674" s="71"/>
      <c r="DG674" s="71"/>
      <c r="DH674" s="71"/>
      <c r="DI674" s="71"/>
      <c r="DJ674" s="71"/>
      <c r="DK674" s="71"/>
      <c r="DL674" s="71"/>
      <c r="DM674" s="71"/>
      <c r="DN674" s="71"/>
      <c r="DO674" s="71"/>
      <c r="DP674" s="71"/>
      <c r="DQ674" s="71"/>
      <c r="DR674" s="71"/>
      <c r="DS674" s="71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  <c r="IJ674" s="71"/>
      <c r="IK674" s="71"/>
      <c r="IL674" s="71"/>
      <c r="IM674" s="71"/>
      <c r="IN674" s="71"/>
      <c r="IO674" s="71"/>
      <c r="IP674" s="71"/>
      <c r="IQ674" s="71"/>
      <c r="IR674" s="71"/>
      <c r="IS674" s="71"/>
      <c r="IT674" s="71"/>
      <c r="IU674" s="71"/>
      <c r="IV674" s="71"/>
      <c r="IW674" s="71"/>
    </row>
    <row r="675" customFormat="false" ht="12.75" hidden="false" customHeight="false" outlineLevel="0" collapsed="false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/>
      <c r="CF675" s="71"/>
      <c r="CG675" s="71"/>
      <c r="CH675" s="71"/>
      <c r="CI675" s="71"/>
      <c r="CJ675" s="71"/>
      <c r="CK675" s="71"/>
      <c r="CL675" s="71"/>
      <c r="CM675" s="71"/>
      <c r="CN675" s="71"/>
      <c r="CO675" s="71"/>
      <c r="CP675" s="71"/>
      <c r="CQ675" s="71"/>
      <c r="CR675" s="71"/>
      <c r="CS675" s="71"/>
      <c r="CT675" s="71"/>
      <c r="CU675" s="71"/>
      <c r="CV675" s="71"/>
      <c r="CW675" s="71"/>
      <c r="CX675" s="71"/>
      <c r="CY675" s="71"/>
      <c r="CZ675" s="71"/>
      <c r="DA675" s="71"/>
      <c r="DB675" s="71"/>
      <c r="DC675" s="71"/>
      <c r="DD675" s="71"/>
      <c r="DE675" s="71"/>
      <c r="DF675" s="71"/>
      <c r="DG675" s="71"/>
      <c r="DH675" s="71"/>
      <c r="DI675" s="71"/>
      <c r="DJ675" s="71"/>
      <c r="DK675" s="71"/>
      <c r="DL675" s="71"/>
      <c r="DM675" s="71"/>
      <c r="DN675" s="71"/>
      <c r="DO675" s="71"/>
      <c r="DP675" s="71"/>
      <c r="DQ675" s="71"/>
      <c r="DR675" s="71"/>
      <c r="DS675" s="71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  <c r="IJ675" s="71"/>
      <c r="IK675" s="71"/>
      <c r="IL675" s="71"/>
      <c r="IM675" s="71"/>
      <c r="IN675" s="71"/>
      <c r="IO675" s="71"/>
      <c r="IP675" s="71"/>
      <c r="IQ675" s="71"/>
      <c r="IR675" s="71"/>
      <c r="IS675" s="71"/>
      <c r="IT675" s="71"/>
      <c r="IU675" s="71"/>
      <c r="IV675" s="71"/>
      <c r="IW675" s="71"/>
    </row>
    <row r="676" customFormat="false" ht="12.75" hidden="false" customHeight="false" outlineLevel="0" collapsed="false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1"/>
      <c r="CG676" s="71"/>
      <c r="CH676" s="71"/>
      <c r="CI676" s="71"/>
      <c r="CJ676" s="71"/>
      <c r="CK676" s="71"/>
      <c r="CL676" s="71"/>
      <c r="CM676" s="71"/>
      <c r="CN676" s="71"/>
      <c r="CO676" s="71"/>
      <c r="CP676" s="71"/>
      <c r="CQ676" s="71"/>
      <c r="CR676" s="71"/>
      <c r="CS676" s="71"/>
      <c r="CT676" s="71"/>
      <c r="CU676" s="71"/>
      <c r="CV676" s="71"/>
      <c r="CW676" s="71"/>
      <c r="CX676" s="71"/>
      <c r="CY676" s="71"/>
      <c r="CZ676" s="71"/>
      <c r="DA676" s="71"/>
      <c r="DB676" s="71"/>
      <c r="DC676" s="71"/>
      <c r="DD676" s="71"/>
      <c r="DE676" s="71"/>
      <c r="DF676" s="71"/>
      <c r="DG676" s="71"/>
      <c r="DH676" s="71"/>
      <c r="DI676" s="71"/>
      <c r="DJ676" s="71"/>
      <c r="DK676" s="71"/>
      <c r="DL676" s="71"/>
      <c r="DM676" s="71"/>
      <c r="DN676" s="71"/>
      <c r="DO676" s="71"/>
      <c r="DP676" s="71"/>
      <c r="DQ676" s="71"/>
      <c r="DR676" s="71"/>
      <c r="DS676" s="71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  <c r="IJ676" s="71"/>
      <c r="IK676" s="71"/>
      <c r="IL676" s="71"/>
      <c r="IM676" s="71"/>
      <c r="IN676" s="71"/>
      <c r="IO676" s="71"/>
      <c r="IP676" s="71"/>
      <c r="IQ676" s="71"/>
      <c r="IR676" s="71"/>
      <c r="IS676" s="71"/>
      <c r="IT676" s="71"/>
      <c r="IU676" s="71"/>
      <c r="IV676" s="71"/>
      <c r="IW676" s="71"/>
    </row>
    <row r="677" customFormat="false" ht="12.75" hidden="false" customHeight="false" outlineLevel="0" collapsed="false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1"/>
      <c r="CG677" s="71"/>
      <c r="CH677" s="71"/>
      <c r="CI677" s="71"/>
      <c r="CJ677" s="71"/>
      <c r="CK677" s="71"/>
      <c r="CL677" s="71"/>
      <c r="CM677" s="71"/>
      <c r="CN677" s="71"/>
      <c r="CO677" s="71"/>
      <c r="CP677" s="71"/>
      <c r="CQ677" s="71"/>
      <c r="CR677" s="71"/>
      <c r="CS677" s="71"/>
      <c r="CT677" s="71"/>
      <c r="CU677" s="71"/>
      <c r="CV677" s="71"/>
      <c r="CW677" s="71"/>
      <c r="CX677" s="71"/>
      <c r="CY677" s="71"/>
      <c r="CZ677" s="71"/>
      <c r="DA677" s="71"/>
      <c r="DB677" s="71"/>
      <c r="DC677" s="71"/>
      <c r="DD677" s="71"/>
      <c r="DE677" s="71"/>
      <c r="DF677" s="71"/>
      <c r="DG677" s="71"/>
      <c r="DH677" s="71"/>
      <c r="DI677" s="71"/>
      <c r="DJ677" s="71"/>
      <c r="DK677" s="71"/>
      <c r="DL677" s="71"/>
      <c r="DM677" s="71"/>
      <c r="DN677" s="71"/>
      <c r="DO677" s="71"/>
      <c r="DP677" s="71"/>
      <c r="DQ677" s="71"/>
      <c r="DR677" s="71"/>
      <c r="DS677" s="71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  <c r="IJ677" s="71"/>
      <c r="IK677" s="71"/>
      <c r="IL677" s="71"/>
      <c r="IM677" s="71"/>
      <c r="IN677" s="71"/>
      <c r="IO677" s="71"/>
      <c r="IP677" s="71"/>
      <c r="IQ677" s="71"/>
      <c r="IR677" s="71"/>
      <c r="IS677" s="71"/>
      <c r="IT677" s="71"/>
      <c r="IU677" s="71"/>
      <c r="IV677" s="71"/>
      <c r="IW677" s="71"/>
    </row>
    <row r="678" customFormat="false" ht="12.75" hidden="false" customHeight="false" outlineLevel="0" collapsed="false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1"/>
      <c r="CG678" s="71"/>
      <c r="CH678" s="71"/>
      <c r="CI678" s="71"/>
      <c r="CJ678" s="71"/>
      <c r="CK678" s="71"/>
      <c r="CL678" s="71"/>
      <c r="CM678" s="71"/>
      <c r="CN678" s="71"/>
      <c r="CO678" s="71"/>
      <c r="CP678" s="71"/>
      <c r="CQ678" s="71"/>
      <c r="CR678" s="71"/>
      <c r="CS678" s="71"/>
      <c r="CT678" s="71"/>
      <c r="CU678" s="71"/>
      <c r="CV678" s="71"/>
      <c r="CW678" s="71"/>
      <c r="CX678" s="71"/>
      <c r="CY678" s="71"/>
      <c r="CZ678" s="71"/>
      <c r="DA678" s="71"/>
      <c r="DB678" s="71"/>
      <c r="DC678" s="71"/>
      <c r="DD678" s="71"/>
      <c r="DE678" s="71"/>
      <c r="DF678" s="71"/>
      <c r="DG678" s="71"/>
      <c r="DH678" s="71"/>
      <c r="DI678" s="71"/>
      <c r="DJ678" s="71"/>
      <c r="DK678" s="71"/>
      <c r="DL678" s="71"/>
      <c r="DM678" s="71"/>
      <c r="DN678" s="71"/>
      <c r="DO678" s="71"/>
      <c r="DP678" s="71"/>
      <c r="DQ678" s="71"/>
      <c r="DR678" s="71"/>
      <c r="DS678" s="71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  <c r="IJ678" s="71"/>
      <c r="IK678" s="71"/>
      <c r="IL678" s="71"/>
      <c r="IM678" s="71"/>
      <c r="IN678" s="71"/>
      <c r="IO678" s="71"/>
      <c r="IP678" s="71"/>
      <c r="IQ678" s="71"/>
      <c r="IR678" s="71"/>
      <c r="IS678" s="71"/>
      <c r="IT678" s="71"/>
      <c r="IU678" s="71"/>
      <c r="IV678" s="71"/>
      <c r="IW678" s="71"/>
    </row>
    <row r="679" customFormat="false" ht="12.75" hidden="false" customHeight="false" outlineLevel="0" collapsed="false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1"/>
      <c r="CG679" s="71"/>
      <c r="CH679" s="71"/>
      <c r="CI679" s="71"/>
      <c r="CJ679" s="71"/>
      <c r="CK679" s="71"/>
      <c r="CL679" s="71"/>
      <c r="CM679" s="71"/>
      <c r="CN679" s="71"/>
      <c r="CO679" s="71"/>
      <c r="CP679" s="71"/>
      <c r="CQ679" s="71"/>
      <c r="CR679" s="71"/>
      <c r="CS679" s="71"/>
      <c r="CT679" s="71"/>
      <c r="CU679" s="71"/>
      <c r="CV679" s="71"/>
      <c r="CW679" s="71"/>
      <c r="CX679" s="71"/>
      <c r="CY679" s="71"/>
      <c r="CZ679" s="71"/>
      <c r="DA679" s="71"/>
      <c r="DB679" s="71"/>
      <c r="DC679" s="71"/>
      <c r="DD679" s="71"/>
      <c r="DE679" s="71"/>
      <c r="DF679" s="71"/>
      <c r="DG679" s="71"/>
      <c r="DH679" s="71"/>
      <c r="DI679" s="71"/>
      <c r="DJ679" s="71"/>
      <c r="DK679" s="71"/>
      <c r="DL679" s="71"/>
      <c r="DM679" s="71"/>
      <c r="DN679" s="71"/>
      <c r="DO679" s="71"/>
      <c r="DP679" s="71"/>
      <c r="DQ679" s="71"/>
      <c r="DR679" s="71"/>
      <c r="DS679" s="71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  <c r="IJ679" s="71"/>
      <c r="IK679" s="71"/>
      <c r="IL679" s="71"/>
      <c r="IM679" s="71"/>
      <c r="IN679" s="71"/>
      <c r="IO679" s="71"/>
      <c r="IP679" s="71"/>
      <c r="IQ679" s="71"/>
      <c r="IR679" s="71"/>
      <c r="IS679" s="71"/>
      <c r="IT679" s="71"/>
      <c r="IU679" s="71"/>
      <c r="IV679" s="71"/>
      <c r="IW679" s="71"/>
    </row>
    <row r="680" customFormat="false" ht="12.75" hidden="false" customHeight="false" outlineLevel="0" collapsed="false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1"/>
      <c r="CG680" s="71"/>
      <c r="CH680" s="71"/>
      <c r="CI680" s="71"/>
      <c r="CJ680" s="71"/>
      <c r="CK680" s="71"/>
      <c r="CL680" s="71"/>
      <c r="CM680" s="71"/>
      <c r="CN680" s="71"/>
      <c r="CO680" s="71"/>
      <c r="CP680" s="71"/>
      <c r="CQ680" s="71"/>
      <c r="CR680" s="71"/>
      <c r="CS680" s="71"/>
      <c r="CT680" s="71"/>
      <c r="CU680" s="71"/>
      <c r="CV680" s="71"/>
      <c r="CW680" s="71"/>
      <c r="CX680" s="71"/>
      <c r="CY680" s="71"/>
      <c r="CZ680" s="71"/>
      <c r="DA680" s="71"/>
      <c r="DB680" s="71"/>
      <c r="DC680" s="71"/>
      <c r="DD680" s="71"/>
      <c r="DE680" s="71"/>
      <c r="DF680" s="71"/>
      <c r="DG680" s="71"/>
      <c r="DH680" s="71"/>
      <c r="DI680" s="71"/>
      <c r="DJ680" s="71"/>
      <c r="DK680" s="71"/>
      <c r="DL680" s="71"/>
      <c r="DM680" s="71"/>
      <c r="DN680" s="71"/>
      <c r="DO680" s="71"/>
      <c r="DP680" s="71"/>
      <c r="DQ680" s="71"/>
      <c r="DR680" s="71"/>
      <c r="DS680" s="71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  <c r="IJ680" s="71"/>
      <c r="IK680" s="71"/>
      <c r="IL680" s="71"/>
      <c r="IM680" s="71"/>
      <c r="IN680" s="71"/>
      <c r="IO680" s="71"/>
      <c r="IP680" s="71"/>
      <c r="IQ680" s="71"/>
      <c r="IR680" s="71"/>
      <c r="IS680" s="71"/>
      <c r="IT680" s="71"/>
      <c r="IU680" s="71"/>
      <c r="IV680" s="71"/>
      <c r="IW680" s="71"/>
    </row>
    <row r="681" customFormat="false" ht="12.75" hidden="false" customHeight="false" outlineLevel="0" collapsed="false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1"/>
      <c r="CG681" s="71"/>
      <c r="CH681" s="71"/>
      <c r="CI681" s="71"/>
      <c r="CJ681" s="71"/>
      <c r="CK681" s="71"/>
      <c r="CL681" s="71"/>
      <c r="CM681" s="71"/>
      <c r="CN681" s="71"/>
      <c r="CO681" s="71"/>
      <c r="CP681" s="71"/>
      <c r="CQ681" s="71"/>
      <c r="CR681" s="71"/>
      <c r="CS681" s="71"/>
      <c r="CT681" s="71"/>
      <c r="CU681" s="71"/>
      <c r="CV681" s="71"/>
      <c r="CW681" s="71"/>
      <c r="CX681" s="71"/>
      <c r="CY681" s="71"/>
      <c r="CZ681" s="71"/>
      <c r="DA681" s="71"/>
      <c r="DB681" s="71"/>
      <c r="DC681" s="71"/>
      <c r="DD681" s="71"/>
      <c r="DE681" s="71"/>
      <c r="DF681" s="71"/>
      <c r="DG681" s="71"/>
      <c r="DH681" s="71"/>
      <c r="DI681" s="71"/>
      <c r="DJ681" s="71"/>
      <c r="DK681" s="71"/>
      <c r="DL681" s="71"/>
      <c r="DM681" s="71"/>
      <c r="DN681" s="71"/>
      <c r="DO681" s="71"/>
      <c r="DP681" s="71"/>
      <c r="DQ681" s="71"/>
      <c r="DR681" s="71"/>
      <c r="DS681" s="71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  <c r="IJ681" s="71"/>
      <c r="IK681" s="71"/>
      <c r="IL681" s="71"/>
      <c r="IM681" s="71"/>
      <c r="IN681" s="71"/>
      <c r="IO681" s="71"/>
      <c r="IP681" s="71"/>
      <c r="IQ681" s="71"/>
      <c r="IR681" s="71"/>
      <c r="IS681" s="71"/>
      <c r="IT681" s="71"/>
      <c r="IU681" s="71"/>
      <c r="IV681" s="71"/>
      <c r="IW681" s="71"/>
    </row>
    <row r="682" customFormat="false" ht="12.75" hidden="false" customHeight="false" outlineLevel="0" collapsed="false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1"/>
      <c r="CG682" s="71"/>
      <c r="CH682" s="71"/>
      <c r="CI682" s="71"/>
      <c r="CJ682" s="71"/>
      <c r="CK682" s="71"/>
      <c r="CL682" s="71"/>
      <c r="CM682" s="71"/>
      <c r="CN682" s="71"/>
      <c r="CO682" s="71"/>
      <c r="CP682" s="71"/>
      <c r="CQ682" s="71"/>
      <c r="CR682" s="71"/>
      <c r="CS682" s="71"/>
      <c r="CT682" s="71"/>
      <c r="CU682" s="71"/>
      <c r="CV682" s="71"/>
      <c r="CW682" s="71"/>
      <c r="CX682" s="71"/>
      <c r="CY682" s="71"/>
      <c r="CZ682" s="71"/>
      <c r="DA682" s="71"/>
      <c r="DB682" s="71"/>
      <c r="DC682" s="71"/>
      <c r="DD682" s="71"/>
      <c r="DE682" s="71"/>
      <c r="DF682" s="71"/>
      <c r="DG682" s="71"/>
      <c r="DH682" s="71"/>
      <c r="DI682" s="71"/>
      <c r="DJ682" s="71"/>
      <c r="DK682" s="71"/>
      <c r="DL682" s="71"/>
      <c r="DM682" s="71"/>
      <c r="DN682" s="71"/>
      <c r="DO682" s="71"/>
      <c r="DP682" s="71"/>
      <c r="DQ682" s="71"/>
      <c r="DR682" s="71"/>
      <c r="DS682" s="71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  <c r="IJ682" s="71"/>
      <c r="IK682" s="71"/>
      <c r="IL682" s="71"/>
      <c r="IM682" s="71"/>
      <c r="IN682" s="71"/>
      <c r="IO682" s="71"/>
      <c r="IP682" s="71"/>
      <c r="IQ682" s="71"/>
      <c r="IR682" s="71"/>
      <c r="IS682" s="71"/>
      <c r="IT682" s="71"/>
      <c r="IU682" s="71"/>
      <c r="IV682" s="71"/>
      <c r="IW682" s="71"/>
    </row>
    <row r="683" customFormat="false" ht="12.75" hidden="false" customHeight="false" outlineLevel="0" collapsed="false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1"/>
      <c r="CG683" s="71"/>
      <c r="CH683" s="71"/>
      <c r="CI683" s="71"/>
      <c r="CJ683" s="71"/>
      <c r="CK683" s="71"/>
      <c r="CL683" s="71"/>
      <c r="CM683" s="71"/>
      <c r="CN683" s="71"/>
      <c r="CO683" s="71"/>
      <c r="CP683" s="71"/>
      <c r="CQ683" s="71"/>
      <c r="CR683" s="71"/>
      <c r="CS683" s="71"/>
      <c r="CT683" s="71"/>
      <c r="CU683" s="71"/>
      <c r="CV683" s="71"/>
      <c r="CW683" s="71"/>
      <c r="CX683" s="71"/>
      <c r="CY683" s="71"/>
      <c r="CZ683" s="71"/>
      <c r="DA683" s="71"/>
      <c r="DB683" s="71"/>
      <c r="DC683" s="71"/>
      <c r="DD683" s="71"/>
      <c r="DE683" s="71"/>
      <c r="DF683" s="71"/>
      <c r="DG683" s="71"/>
      <c r="DH683" s="71"/>
      <c r="DI683" s="71"/>
      <c r="DJ683" s="71"/>
      <c r="DK683" s="71"/>
      <c r="DL683" s="71"/>
      <c r="DM683" s="71"/>
      <c r="DN683" s="71"/>
      <c r="DO683" s="71"/>
      <c r="DP683" s="71"/>
      <c r="DQ683" s="71"/>
      <c r="DR683" s="71"/>
      <c r="DS683" s="71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  <c r="IJ683" s="71"/>
      <c r="IK683" s="71"/>
      <c r="IL683" s="71"/>
      <c r="IM683" s="71"/>
      <c r="IN683" s="71"/>
      <c r="IO683" s="71"/>
      <c r="IP683" s="71"/>
      <c r="IQ683" s="71"/>
      <c r="IR683" s="71"/>
      <c r="IS683" s="71"/>
      <c r="IT683" s="71"/>
      <c r="IU683" s="71"/>
      <c r="IV683" s="71"/>
      <c r="IW683" s="71"/>
    </row>
    <row r="684" customFormat="false" ht="12.75" hidden="false" customHeight="false" outlineLevel="0" collapsed="false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1"/>
      <c r="CG684" s="71"/>
      <c r="CH684" s="71"/>
      <c r="CI684" s="71"/>
      <c r="CJ684" s="71"/>
      <c r="CK684" s="71"/>
      <c r="CL684" s="71"/>
      <c r="CM684" s="71"/>
      <c r="CN684" s="71"/>
      <c r="CO684" s="71"/>
      <c r="CP684" s="71"/>
      <c r="CQ684" s="71"/>
      <c r="CR684" s="71"/>
      <c r="CS684" s="71"/>
      <c r="CT684" s="71"/>
      <c r="CU684" s="71"/>
      <c r="CV684" s="71"/>
      <c r="CW684" s="71"/>
      <c r="CX684" s="71"/>
      <c r="CY684" s="71"/>
      <c r="CZ684" s="71"/>
      <c r="DA684" s="71"/>
      <c r="DB684" s="71"/>
      <c r="DC684" s="71"/>
      <c r="DD684" s="71"/>
      <c r="DE684" s="71"/>
      <c r="DF684" s="71"/>
      <c r="DG684" s="71"/>
      <c r="DH684" s="71"/>
      <c r="DI684" s="71"/>
      <c r="DJ684" s="71"/>
      <c r="DK684" s="71"/>
      <c r="DL684" s="71"/>
      <c r="DM684" s="71"/>
      <c r="DN684" s="71"/>
      <c r="DO684" s="71"/>
      <c r="DP684" s="71"/>
      <c r="DQ684" s="71"/>
      <c r="DR684" s="71"/>
      <c r="DS684" s="71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  <c r="IJ684" s="71"/>
      <c r="IK684" s="71"/>
      <c r="IL684" s="71"/>
      <c r="IM684" s="71"/>
      <c r="IN684" s="71"/>
      <c r="IO684" s="71"/>
      <c r="IP684" s="71"/>
      <c r="IQ684" s="71"/>
      <c r="IR684" s="71"/>
      <c r="IS684" s="71"/>
      <c r="IT684" s="71"/>
      <c r="IU684" s="71"/>
      <c r="IV684" s="71"/>
      <c r="IW684" s="71"/>
    </row>
    <row r="685" customFormat="false" ht="12.75" hidden="false" customHeight="false" outlineLevel="0" collapsed="false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1"/>
      <c r="CH685" s="71"/>
      <c r="CI685" s="71"/>
      <c r="CJ685" s="71"/>
      <c r="CK685" s="71"/>
      <c r="CL685" s="71"/>
      <c r="CM685" s="71"/>
      <c r="CN685" s="71"/>
      <c r="CO685" s="71"/>
      <c r="CP685" s="71"/>
      <c r="CQ685" s="71"/>
      <c r="CR685" s="71"/>
      <c r="CS685" s="71"/>
      <c r="CT685" s="71"/>
      <c r="CU685" s="71"/>
      <c r="CV685" s="71"/>
      <c r="CW685" s="71"/>
      <c r="CX685" s="71"/>
      <c r="CY685" s="71"/>
      <c r="CZ685" s="71"/>
      <c r="DA685" s="71"/>
      <c r="DB685" s="71"/>
      <c r="DC685" s="71"/>
      <c r="DD685" s="71"/>
      <c r="DE685" s="71"/>
      <c r="DF685" s="71"/>
      <c r="DG685" s="71"/>
      <c r="DH685" s="71"/>
      <c r="DI685" s="71"/>
      <c r="DJ685" s="71"/>
      <c r="DK685" s="71"/>
      <c r="DL685" s="71"/>
      <c r="DM685" s="71"/>
      <c r="DN685" s="71"/>
      <c r="DO685" s="71"/>
      <c r="DP685" s="71"/>
      <c r="DQ685" s="71"/>
      <c r="DR685" s="71"/>
      <c r="DS685" s="71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  <c r="IJ685" s="71"/>
      <c r="IK685" s="71"/>
      <c r="IL685" s="71"/>
      <c r="IM685" s="71"/>
      <c r="IN685" s="71"/>
      <c r="IO685" s="71"/>
      <c r="IP685" s="71"/>
      <c r="IQ685" s="71"/>
      <c r="IR685" s="71"/>
      <c r="IS685" s="71"/>
      <c r="IT685" s="71"/>
      <c r="IU685" s="71"/>
      <c r="IV685" s="71"/>
      <c r="IW685" s="71"/>
    </row>
    <row r="686" customFormat="false" ht="12.75" hidden="false" customHeight="false" outlineLevel="0" collapsed="false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  <c r="CE686" s="71"/>
      <c r="CF686" s="71"/>
      <c r="CG686" s="71"/>
      <c r="CH686" s="71"/>
      <c r="CI686" s="71"/>
      <c r="CJ686" s="71"/>
      <c r="CK686" s="71"/>
      <c r="CL686" s="71"/>
      <c r="CM686" s="71"/>
      <c r="CN686" s="71"/>
      <c r="CO686" s="71"/>
      <c r="CP686" s="71"/>
      <c r="CQ686" s="71"/>
      <c r="CR686" s="71"/>
      <c r="CS686" s="71"/>
      <c r="CT686" s="71"/>
      <c r="CU686" s="71"/>
      <c r="CV686" s="71"/>
      <c r="CW686" s="71"/>
      <c r="CX686" s="71"/>
      <c r="CY686" s="71"/>
      <c r="CZ686" s="71"/>
      <c r="DA686" s="71"/>
      <c r="DB686" s="71"/>
      <c r="DC686" s="71"/>
      <c r="DD686" s="71"/>
      <c r="DE686" s="71"/>
      <c r="DF686" s="71"/>
      <c r="DG686" s="71"/>
      <c r="DH686" s="71"/>
      <c r="DI686" s="71"/>
      <c r="DJ686" s="71"/>
      <c r="DK686" s="71"/>
      <c r="DL686" s="71"/>
      <c r="DM686" s="71"/>
      <c r="DN686" s="71"/>
      <c r="DO686" s="71"/>
      <c r="DP686" s="71"/>
      <c r="DQ686" s="71"/>
      <c r="DR686" s="71"/>
      <c r="DS686" s="71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  <c r="IJ686" s="71"/>
      <c r="IK686" s="71"/>
      <c r="IL686" s="71"/>
      <c r="IM686" s="71"/>
      <c r="IN686" s="71"/>
      <c r="IO686" s="71"/>
      <c r="IP686" s="71"/>
      <c r="IQ686" s="71"/>
      <c r="IR686" s="71"/>
      <c r="IS686" s="71"/>
      <c r="IT686" s="71"/>
      <c r="IU686" s="71"/>
      <c r="IV686" s="71"/>
      <c r="IW686" s="71"/>
    </row>
    <row r="687" customFormat="false" ht="12.75" hidden="false" customHeight="false" outlineLevel="0" collapsed="false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1"/>
      <c r="CF687" s="71"/>
      <c r="CG687" s="71"/>
      <c r="CH687" s="71"/>
      <c r="CI687" s="71"/>
      <c r="CJ687" s="71"/>
      <c r="CK687" s="71"/>
      <c r="CL687" s="71"/>
      <c r="CM687" s="71"/>
      <c r="CN687" s="71"/>
      <c r="CO687" s="71"/>
      <c r="CP687" s="71"/>
      <c r="CQ687" s="71"/>
      <c r="CR687" s="71"/>
      <c r="CS687" s="71"/>
      <c r="CT687" s="71"/>
      <c r="CU687" s="71"/>
      <c r="CV687" s="71"/>
      <c r="CW687" s="71"/>
      <c r="CX687" s="71"/>
      <c r="CY687" s="71"/>
      <c r="CZ687" s="71"/>
      <c r="DA687" s="71"/>
      <c r="DB687" s="71"/>
      <c r="DC687" s="71"/>
      <c r="DD687" s="71"/>
      <c r="DE687" s="71"/>
      <c r="DF687" s="71"/>
      <c r="DG687" s="71"/>
      <c r="DH687" s="71"/>
      <c r="DI687" s="71"/>
      <c r="DJ687" s="71"/>
      <c r="DK687" s="71"/>
      <c r="DL687" s="71"/>
      <c r="DM687" s="71"/>
      <c r="DN687" s="71"/>
      <c r="DO687" s="71"/>
      <c r="DP687" s="71"/>
      <c r="DQ687" s="71"/>
      <c r="DR687" s="71"/>
      <c r="DS687" s="71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  <c r="IJ687" s="71"/>
      <c r="IK687" s="71"/>
      <c r="IL687" s="71"/>
      <c r="IM687" s="71"/>
      <c r="IN687" s="71"/>
      <c r="IO687" s="71"/>
      <c r="IP687" s="71"/>
      <c r="IQ687" s="71"/>
      <c r="IR687" s="71"/>
      <c r="IS687" s="71"/>
      <c r="IT687" s="71"/>
      <c r="IU687" s="71"/>
      <c r="IV687" s="71"/>
      <c r="IW687" s="71"/>
    </row>
    <row r="688" customFormat="false" ht="12.75" hidden="false" customHeight="false" outlineLevel="0" collapsed="false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  <c r="CE688" s="71"/>
      <c r="CF688" s="71"/>
      <c r="CG688" s="71"/>
      <c r="CH688" s="71"/>
      <c r="CI688" s="71"/>
      <c r="CJ688" s="71"/>
      <c r="CK688" s="71"/>
      <c r="CL688" s="71"/>
      <c r="CM688" s="71"/>
      <c r="CN688" s="71"/>
      <c r="CO688" s="71"/>
      <c r="CP688" s="71"/>
      <c r="CQ688" s="71"/>
      <c r="CR688" s="71"/>
      <c r="CS688" s="71"/>
      <c r="CT688" s="71"/>
      <c r="CU688" s="71"/>
      <c r="CV688" s="71"/>
      <c r="CW688" s="71"/>
      <c r="CX688" s="71"/>
      <c r="CY688" s="71"/>
      <c r="CZ688" s="71"/>
      <c r="DA688" s="71"/>
      <c r="DB688" s="71"/>
      <c r="DC688" s="71"/>
      <c r="DD688" s="71"/>
      <c r="DE688" s="71"/>
      <c r="DF688" s="71"/>
      <c r="DG688" s="71"/>
      <c r="DH688" s="71"/>
      <c r="DI688" s="71"/>
      <c r="DJ688" s="71"/>
      <c r="DK688" s="71"/>
      <c r="DL688" s="71"/>
      <c r="DM688" s="71"/>
      <c r="DN688" s="71"/>
      <c r="DO688" s="71"/>
      <c r="DP688" s="71"/>
      <c r="DQ688" s="71"/>
      <c r="DR688" s="71"/>
      <c r="DS688" s="71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  <c r="IJ688" s="71"/>
      <c r="IK688" s="71"/>
      <c r="IL688" s="71"/>
      <c r="IM688" s="71"/>
      <c r="IN688" s="71"/>
      <c r="IO688" s="71"/>
      <c r="IP688" s="71"/>
      <c r="IQ688" s="71"/>
      <c r="IR688" s="71"/>
      <c r="IS688" s="71"/>
      <c r="IT688" s="71"/>
      <c r="IU688" s="71"/>
      <c r="IV688" s="71"/>
      <c r="IW688" s="71"/>
    </row>
    <row r="689" customFormat="false" ht="12.75" hidden="false" customHeight="false" outlineLevel="0" collapsed="false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1"/>
      <c r="CD689" s="71"/>
      <c r="CE689" s="71"/>
      <c r="CF689" s="71"/>
      <c r="CG689" s="71"/>
      <c r="CH689" s="71"/>
      <c r="CI689" s="71"/>
      <c r="CJ689" s="71"/>
      <c r="CK689" s="71"/>
      <c r="CL689" s="71"/>
      <c r="CM689" s="71"/>
      <c r="CN689" s="71"/>
      <c r="CO689" s="71"/>
      <c r="CP689" s="71"/>
      <c r="CQ689" s="71"/>
      <c r="CR689" s="71"/>
      <c r="CS689" s="71"/>
      <c r="CT689" s="71"/>
      <c r="CU689" s="71"/>
      <c r="CV689" s="71"/>
      <c r="CW689" s="71"/>
      <c r="CX689" s="71"/>
      <c r="CY689" s="71"/>
      <c r="CZ689" s="71"/>
      <c r="DA689" s="71"/>
      <c r="DB689" s="71"/>
      <c r="DC689" s="71"/>
      <c r="DD689" s="71"/>
      <c r="DE689" s="71"/>
      <c r="DF689" s="71"/>
      <c r="DG689" s="71"/>
      <c r="DH689" s="71"/>
      <c r="DI689" s="71"/>
      <c r="DJ689" s="71"/>
      <c r="DK689" s="71"/>
      <c r="DL689" s="71"/>
      <c r="DM689" s="71"/>
      <c r="DN689" s="71"/>
      <c r="DO689" s="71"/>
      <c r="DP689" s="71"/>
      <c r="DQ689" s="71"/>
      <c r="DR689" s="71"/>
      <c r="DS689" s="71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  <c r="IJ689" s="71"/>
      <c r="IK689" s="71"/>
      <c r="IL689" s="71"/>
      <c r="IM689" s="71"/>
      <c r="IN689" s="71"/>
      <c r="IO689" s="71"/>
      <c r="IP689" s="71"/>
      <c r="IQ689" s="71"/>
      <c r="IR689" s="71"/>
      <c r="IS689" s="71"/>
      <c r="IT689" s="71"/>
      <c r="IU689" s="71"/>
      <c r="IV689" s="71"/>
      <c r="IW689" s="71"/>
    </row>
    <row r="690" customFormat="false" ht="12.75" hidden="false" customHeight="false" outlineLevel="0" collapsed="false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1"/>
      <c r="CG690" s="71"/>
      <c r="CH690" s="71"/>
      <c r="CI690" s="71"/>
      <c r="CJ690" s="71"/>
      <c r="CK690" s="71"/>
      <c r="CL690" s="71"/>
      <c r="CM690" s="71"/>
      <c r="CN690" s="71"/>
      <c r="CO690" s="71"/>
      <c r="CP690" s="71"/>
      <c r="CQ690" s="71"/>
      <c r="CR690" s="71"/>
      <c r="CS690" s="71"/>
      <c r="CT690" s="71"/>
      <c r="CU690" s="71"/>
      <c r="CV690" s="71"/>
      <c r="CW690" s="71"/>
      <c r="CX690" s="71"/>
      <c r="CY690" s="71"/>
      <c r="CZ690" s="71"/>
      <c r="DA690" s="71"/>
      <c r="DB690" s="71"/>
      <c r="DC690" s="71"/>
      <c r="DD690" s="71"/>
      <c r="DE690" s="71"/>
      <c r="DF690" s="71"/>
      <c r="DG690" s="71"/>
      <c r="DH690" s="71"/>
      <c r="DI690" s="71"/>
      <c r="DJ690" s="71"/>
      <c r="DK690" s="71"/>
      <c r="DL690" s="71"/>
      <c r="DM690" s="71"/>
      <c r="DN690" s="71"/>
      <c r="DO690" s="71"/>
      <c r="DP690" s="71"/>
      <c r="DQ690" s="71"/>
      <c r="DR690" s="71"/>
      <c r="DS690" s="71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  <c r="IJ690" s="71"/>
      <c r="IK690" s="71"/>
      <c r="IL690" s="71"/>
      <c r="IM690" s="71"/>
      <c r="IN690" s="71"/>
      <c r="IO690" s="71"/>
      <c r="IP690" s="71"/>
      <c r="IQ690" s="71"/>
      <c r="IR690" s="71"/>
      <c r="IS690" s="71"/>
      <c r="IT690" s="71"/>
      <c r="IU690" s="71"/>
      <c r="IV690" s="71"/>
      <c r="IW690" s="71"/>
    </row>
    <row r="691" customFormat="false" ht="12.75" hidden="false" customHeight="false" outlineLevel="0" collapsed="false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1"/>
      <c r="CD691" s="71"/>
      <c r="CE691" s="71"/>
      <c r="CF691" s="71"/>
      <c r="CG691" s="71"/>
      <c r="CH691" s="71"/>
      <c r="CI691" s="71"/>
      <c r="CJ691" s="71"/>
      <c r="CK691" s="71"/>
      <c r="CL691" s="71"/>
      <c r="CM691" s="71"/>
      <c r="CN691" s="71"/>
      <c r="CO691" s="71"/>
      <c r="CP691" s="71"/>
      <c r="CQ691" s="71"/>
      <c r="CR691" s="71"/>
      <c r="CS691" s="71"/>
      <c r="CT691" s="71"/>
      <c r="CU691" s="71"/>
      <c r="CV691" s="71"/>
      <c r="CW691" s="71"/>
      <c r="CX691" s="71"/>
      <c r="CY691" s="71"/>
      <c r="CZ691" s="71"/>
      <c r="DA691" s="71"/>
      <c r="DB691" s="71"/>
      <c r="DC691" s="71"/>
      <c r="DD691" s="71"/>
      <c r="DE691" s="71"/>
      <c r="DF691" s="71"/>
      <c r="DG691" s="71"/>
      <c r="DH691" s="71"/>
      <c r="DI691" s="71"/>
      <c r="DJ691" s="71"/>
      <c r="DK691" s="71"/>
      <c r="DL691" s="71"/>
      <c r="DM691" s="71"/>
      <c r="DN691" s="71"/>
      <c r="DO691" s="71"/>
      <c r="DP691" s="71"/>
      <c r="DQ691" s="71"/>
      <c r="DR691" s="71"/>
      <c r="DS691" s="71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  <c r="IJ691" s="71"/>
      <c r="IK691" s="71"/>
      <c r="IL691" s="71"/>
      <c r="IM691" s="71"/>
      <c r="IN691" s="71"/>
      <c r="IO691" s="71"/>
      <c r="IP691" s="71"/>
      <c r="IQ691" s="71"/>
      <c r="IR691" s="71"/>
      <c r="IS691" s="71"/>
      <c r="IT691" s="71"/>
      <c r="IU691" s="71"/>
      <c r="IV691" s="71"/>
      <c r="IW691" s="71"/>
    </row>
    <row r="692" customFormat="false" ht="12.75" hidden="false" customHeight="false" outlineLevel="0" collapsed="false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1"/>
      <c r="CF692" s="71"/>
      <c r="CG692" s="71"/>
      <c r="CH692" s="71"/>
      <c r="CI692" s="71"/>
      <c r="CJ692" s="71"/>
      <c r="CK692" s="71"/>
      <c r="CL692" s="71"/>
      <c r="CM692" s="71"/>
      <c r="CN692" s="71"/>
      <c r="CO692" s="71"/>
      <c r="CP692" s="71"/>
      <c r="CQ692" s="71"/>
      <c r="CR692" s="71"/>
      <c r="CS692" s="71"/>
      <c r="CT692" s="71"/>
      <c r="CU692" s="71"/>
      <c r="CV692" s="71"/>
      <c r="CW692" s="71"/>
      <c r="CX692" s="71"/>
      <c r="CY692" s="71"/>
      <c r="CZ692" s="71"/>
      <c r="DA692" s="71"/>
      <c r="DB692" s="71"/>
      <c r="DC692" s="71"/>
      <c r="DD692" s="71"/>
      <c r="DE692" s="71"/>
      <c r="DF692" s="71"/>
      <c r="DG692" s="71"/>
      <c r="DH692" s="71"/>
      <c r="DI692" s="71"/>
      <c r="DJ692" s="71"/>
      <c r="DK692" s="71"/>
      <c r="DL692" s="71"/>
      <c r="DM692" s="71"/>
      <c r="DN692" s="71"/>
      <c r="DO692" s="71"/>
      <c r="DP692" s="71"/>
      <c r="DQ692" s="71"/>
      <c r="DR692" s="71"/>
      <c r="DS692" s="71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  <c r="IJ692" s="71"/>
      <c r="IK692" s="71"/>
      <c r="IL692" s="71"/>
      <c r="IM692" s="71"/>
      <c r="IN692" s="71"/>
      <c r="IO692" s="71"/>
      <c r="IP692" s="71"/>
      <c r="IQ692" s="71"/>
      <c r="IR692" s="71"/>
      <c r="IS692" s="71"/>
      <c r="IT692" s="71"/>
      <c r="IU692" s="71"/>
      <c r="IV692" s="71"/>
      <c r="IW692" s="71"/>
    </row>
    <row r="693" customFormat="false" ht="12.75" hidden="false" customHeight="false" outlineLevel="0" collapsed="false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1"/>
      <c r="CG693" s="71"/>
      <c r="CH693" s="71"/>
      <c r="CI693" s="71"/>
      <c r="CJ693" s="71"/>
      <c r="CK693" s="71"/>
      <c r="CL693" s="71"/>
      <c r="CM693" s="71"/>
      <c r="CN693" s="71"/>
      <c r="CO693" s="71"/>
      <c r="CP693" s="71"/>
      <c r="CQ693" s="71"/>
      <c r="CR693" s="71"/>
      <c r="CS693" s="71"/>
      <c r="CT693" s="71"/>
      <c r="CU693" s="71"/>
      <c r="CV693" s="71"/>
      <c r="CW693" s="71"/>
      <c r="CX693" s="71"/>
      <c r="CY693" s="71"/>
      <c r="CZ693" s="71"/>
      <c r="DA693" s="71"/>
      <c r="DB693" s="71"/>
      <c r="DC693" s="71"/>
      <c r="DD693" s="71"/>
      <c r="DE693" s="71"/>
      <c r="DF693" s="71"/>
      <c r="DG693" s="71"/>
      <c r="DH693" s="71"/>
      <c r="DI693" s="71"/>
      <c r="DJ693" s="71"/>
      <c r="DK693" s="71"/>
      <c r="DL693" s="71"/>
      <c r="DM693" s="71"/>
      <c r="DN693" s="71"/>
      <c r="DO693" s="71"/>
      <c r="DP693" s="71"/>
      <c r="DQ693" s="71"/>
      <c r="DR693" s="71"/>
      <c r="DS693" s="71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  <c r="IJ693" s="71"/>
      <c r="IK693" s="71"/>
      <c r="IL693" s="71"/>
      <c r="IM693" s="71"/>
      <c r="IN693" s="71"/>
      <c r="IO693" s="71"/>
      <c r="IP693" s="71"/>
      <c r="IQ693" s="71"/>
      <c r="IR693" s="71"/>
      <c r="IS693" s="71"/>
      <c r="IT693" s="71"/>
      <c r="IU693" s="71"/>
      <c r="IV693" s="71"/>
      <c r="IW693" s="71"/>
    </row>
    <row r="694" customFormat="false" ht="12.75" hidden="false" customHeight="false" outlineLevel="0" collapsed="false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71"/>
      <c r="CN694" s="71"/>
      <c r="CO694" s="71"/>
      <c r="CP694" s="71"/>
      <c r="CQ694" s="71"/>
      <c r="CR694" s="71"/>
      <c r="CS694" s="71"/>
      <c r="CT694" s="71"/>
      <c r="CU694" s="71"/>
      <c r="CV694" s="71"/>
      <c r="CW694" s="71"/>
      <c r="CX694" s="71"/>
      <c r="CY694" s="71"/>
      <c r="CZ694" s="71"/>
      <c r="DA694" s="71"/>
      <c r="DB694" s="71"/>
      <c r="DC694" s="71"/>
      <c r="DD694" s="71"/>
      <c r="DE694" s="71"/>
      <c r="DF694" s="71"/>
      <c r="DG694" s="71"/>
      <c r="DH694" s="71"/>
      <c r="DI694" s="71"/>
      <c r="DJ694" s="71"/>
      <c r="DK694" s="71"/>
      <c r="DL694" s="71"/>
      <c r="DM694" s="71"/>
      <c r="DN694" s="71"/>
      <c r="DO694" s="71"/>
      <c r="DP694" s="71"/>
      <c r="DQ694" s="71"/>
      <c r="DR694" s="71"/>
      <c r="DS694" s="71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  <c r="IJ694" s="71"/>
      <c r="IK694" s="71"/>
      <c r="IL694" s="71"/>
      <c r="IM694" s="71"/>
      <c r="IN694" s="71"/>
      <c r="IO694" s="71"/>
      <c r="IP694" s="71"/>
      <c r="IQ694" s="71"/>
      <c r="IR694" s="71"/>
      <c r="IS694" s="71"/>
      <c r="IT694" s="71"/>
      <c r="IU694" s="71"/>
      <c r="IV694" s="71"/>
      <c r="IW694" s="71"/>
    </row>
    <row r="695" customFormat="false" ht="12.75" hidden="false" customHeight="false" outlineLevel="0" collapsed="false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1"/>
      <c r="CG695" s="71"/>
      <c r="CH695" s="71"/>
      <c r="CI695" s="71"/>
      <c r="CJ695" s="71"/>
      <c r="CK695" s="71"/>
      <c r="CL695" s="71"/>
      <c r="CM695" s="71"/>
      <c r="CN695" s="71"/>
      <c r="CO695" s="71"/>
      <c r="CP695" s="71"/>
      <c r="CQ695" s="71"/>
      <c r="CR695" s="71"/>
      <c r="CS695" s="71"/>
      <c r="CT695" s="71"/>
      <c r="CU695" s="71"/>
      <c r="CV695" s="71"/>
      <c r="CW695" s="71"/>
      <c r="CX695" s="71"/>
      <c r="CY695" s="71"/>
      <c r="CZ695" s="71"/>
      <c r="DA695" s="71"/>
      <c r="DB695" s="71"/>
      <c r="DC695" s="71"/>
      <c r="DD695" s="71"/>
      <c r="DE695" s="71"/>
      <c r="DF695" s="71"/>
      <c r="DG695" s="71"/>
      <c r="DH695" s="71"/>
      <c r="DI695" s="71"/>
      <c r="DJ695" s="71"/>
      <c r="DK695" s="71"/>
      <c r="DL695" s="71"/>
      <c r="DM695" s="71"/>
      <c r="DN695" s="71"/>
      <c r="DO695" s="71"/>
      <c r="DP695" s="71"/>
      <c r="DQ695" s="71"/>
      <c r="DR695" s="71"/>
      <c r="DS695" s="71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  <c r="IJ695" s="71"/>
      <c r="IK695" s="71"/>
      <c r="IL695" s="71"/>
      <c r="IM695" s="71"/>
      <c r="IN695" s="71"/>
      <c r="IO695" s="71"/>
      <c r="IP695" s="71"/>
      <c r="IQ695" s="71"/>
      <c r="IR695" s="71"/>
      <c r="IS695" s="71"/>
      <c r="IT695" s="71"/>
      <c r="IU695" s="71"/>
      <c r="IV695" s="71"/>
      <c r="IW695" s="71"/>
    </row>
    <row r="696" customFormat="false" ht="12.75" hidden="false" customHeight="false" outlineLevel="0" collapsed="false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71"/>
      <c r="CN696" s="71"/>
      <c r="CO696" s="71"/>
      <c r="CP696" s="71"/>
      <c r="CQ696" s="71"/>
      <c r="CR696" s="71"/>
      <c r="CS696" s="71"/>
      <c r="CT696" s="71"/>
      <c r="CU696" s="71"/>
      <c r="CV696" s="71"/>
      <c r="CW696" s="71"/>
      <c r="CX696" s="71"/>
      <c r="CY696" s="71"/>
      <c r="CZ696" s="71"/>
      <c r="DA696" s="71"/>
      <c r="DB696" s="71"/>
      <c r="DC696" s="71"/>
      <c r="DD696" s="71"/>
      <c r="DE696" s="71"/>
      <c r="DF696" s="71"/>
      <c r="DG696" s="71"/>
      <c r="DH696" s="71"/>
      <c r="DI696" s="71"/>
      <c r="DJ696" s="71"/>
      <c r="DK696" s="71"/>
      <c r="DL696" s="71"/>
      <c r="DM696" s="71"/>
      <c r="DN696" s="71"/>
      <c r="DO696" s="71"/>
      <c r="DP696" s="71"/>
      <c r="DQ696" s="71"/>
      <c r="DR696" s="71"/>
      <c r="DS696" s="71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  <c r="IJ696" s="71"/>
      <c r="IK696" s="71"/>
      <c r="IL696" s="71"/>
      <c r="IM696" s="71"/>
      <c r="IN696" s="71"/>
      <c r="IO696" s="71"/>
      <c r="IP696" s="71"/>
      <c r="IQ696" s="71"/>
      <c r="IR696" s="71"/>
      <c r="IS696" s="71"/>
      <c r="IT696" s="71"/>
      <c r="IU696" s="71"/>
      <c r="IV696" s="71"/>
      <c r="IW696" s="71"/>
    </row>
    <row r="697" customFormat="false" ht="12.75" hidden="false" customHeight="false" outlineLevel="0" collapsed="false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1"/>
      <c r="CG697" s="71"/>
      <c r="CH697" s="71"/>
      <c r="CI697" s="71"/>
      <c r="CJ697" s="71"/>
      <c r="CK697" s="71"/>
      <c r="CL697" s="71"/>
      <c r="CM697" s="71"/>
      <c r="CN697" s="71"/>
      <c r="CO697" s="71"/>
      <c r="CP697" s="71"/>
      <c r="CQ697" s="71"/>
      <c r="CR697" s="71"/>
      <c r="CS697" s="71"/>
      <c r="CT697" s="71"/>
      <c r="CU697" s="71"/>
      <c r="CV697" s="71"/>
      <c r="CW697" s="71"/>
      <c r="CX697" s="71"/>
      <c r="CY697" s="71"/>
      <c r="CZ697" s="71"/>
      <c r="DA697" s="71"/>
      <c r="DB697" s="71"/>
      <c r="DC697" s="71"/>
      <c r="DD697" s="71"/>
      <c r="DE697" s="71"/>
      <c r="DF697" s="71"/>
      <c r="DG697" s="71"/>
      <c r="DH697" s="71"/>
      <c r="DI697" s="71"/>
      <c r="DJ697" s="71"/>
      <c r="DK697" s="71"/>
      <c r="DL697" s="71"/>
      <c r="DM697" s="71"/>
      <c r="DN697" s="71"/>
      <c r="DO697" s="71"/>
      <c r="DP697" s="71"/>
      <c r="DQ697" s="71"/>
      <c r="DR697" s="71"/>
      <c r="DS697" s="71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  <c r="IJ697" s="71"/>
      <c r="IK697" s="71"/>
      <c r="IL697" s="71"/>
      <c r="IM697" s="71"/>
      <c r="IN697" s="71"/>
      <c r="IO697" s="71"/>
      <c r="IP697" s="71"/>
      <c r="IQ697" s="71"/>
      <c r="IR697" s="71"/>
      <c r="IS697" s="71"/>
      <c r="IT697" s="71"/>
      <c r="IU697" s="71"/>
      <c r="IV697" s="71"/>
      <c r="IW697" s="71"/>
    </row>
    <row r="698" customFormat="false" ht="12.75" hidden="false" customHeight="false" outlineLevel="0" collapsed="false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71"/>
      <c r="CN698" s="71"/>
      <c r="CO698" s="71"/>
      <c r="CP698" s="71"/>
      <c r="CQ698" s="71"/>
      <c r="CR698" s="71"/>
      <c r="CS698" s="71"/>
      <c r="CT698" s="71"/>
      <c r="CU698" s="71"/>
      <c r="CV698" s="71"/>
      <c r="CW698" s="71"/>
      <c r="CX698" s="71"/>
      <c r="CY698" s="71"/>
      <c r="CZ698" s="71"/>
      <c r="DA698" s="71"/>
      <c r="DB698" s="71"/>
      <c r="DC698" s="71"/>
      <c r="DD698" s="71"/>
      <c r="DE698" s="71"/>
      <c r="DF698" s="71"/>
      <c r="DG698" s="71"/>
      <c r="DH698" s="71"/>
      <c r="DI698" s="71"/>
      <c r="DJ698" s="71"/>
      <c r="DK698" s="71"/>
      <c r="DL698" s="71"/>
      <c r="DM698" s="71"/>
      <c r="DN698" s="71"/>
      <c r="DO698" s="71"/>
      <c r="DP698" s="71"/>
      <c r="DQ698" s="71"/>
      <c r="DR698" s="71"/>
      <c r="DS698" s="71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  <c r="IJ698" s="71"/>
      <c r="IK698" s="71"/>
      <c r="IL698" s="71"/>
      <c r="IM698" s="71"/>
      <c r="IN698" s="71"/>
      <c r="IO698" s="71"/>
      <c r="IP698" s="71"/>
      <c r="IQ698" s="71"/>
      <c r="IR698" s="71"/>
      <c r="IS698" s="71"/>
      <c r="IT698" s="71"/>
      <c r="IU698" s="71"/>
      <c r="IV698" s="71"/>
      <c r="IW698" s="71"/>
    </row>
    <row r="699" customFormat="false" ht="12.75" hidden="false" customHeight="false" outlineLevel="0" collapsed="false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  <c r="CE699" s="71"/>
      <c r="CF699" s="71"/>
      <c r="CG699" s="71"/>
      <c r="CH699" s="71"/>
      <c r="CI699" s="71"/>
      <c r="CJ699" s="71"/>
      <c r="CK699" s="71"/>
      <c r="CL699" s="71"/>
      <c r="CM699" s="71"/>
      <c r="CN699" s="71"/>
      <c r="CO699" s="71"/>
      <c r="CP699" s="71"/>
      <c r="CQ699" s="71"/>
      <c r="CR699" s="71"/>
      <c r="CS699" s="71"/>
      <c r="CT699" s="71"/>
      <c r="CU699" s="71"/>
      <c r="CV699" s="71"/>
      <c r="CW699" s="71"/>
      <c r="CX699" s="71"/>
      <c r="CY699" s="71"/>
      <c r="CZ699" s="71"/>
      <c r="DA699" s="71"/>
      <c r="DB699" s="71"/>
      <c r="DC699" s="71"/>
      <c r="DD699" s="71"/>
      <c r="DE699" s="71"/>
      <c r="DF699" s="71"/>
      <c r="DG699" s="71"/>
      <c r="DH699" s="71"/>
      <c r="DI699" s="71"/>
      <c r="DJ699" s="71"/>
      <c r="DK699" s="71"/>
      <c r="DL699" s="71"/>
      <c r="DM699" s="71"/>
      <c r="DN699" s="71"/>
      <c r="DO699" s="71"/>
      <c r="DP699" s="71"/>
      <c r="DQ699" s="71"/>
      <c r="DR699" s="71"/>
      <c r="DS699" s="71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  <c r="IJ699" s="71"/>
      <c r="IK699" s="71"/>
      <c r="IL699" s="71"/>
      <c r="IM699" s="71"/>
      <c r="IN699" s="71"/>
      <c r="IO699" s="71"/>
      <c r="IP699" s="71"/>
      <c r="IQ699" s="71"/>
      <c r="IR699" s="71"/>
      <c r="IS699" s="71"/>
      <c r="IT699" s="71"/>
      <c r="IU699" s="71"/>
      <c r="IV699" s="71"/>
      <c r="IW699" s="71"/>
    </row>
    <row r="700" customFormat="false" ht="12.75" hidden="false" customHeight="false" outlineLevel="0" collapsed="false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/>
      <c r="CA700" s="71"/>
      <c r="CB700" s="71"/>
      <c r="CC700" s="71"/>
      <c r="CD700" s="71"/>
      <c r="CE700" s="71"/>
      <c r="CF700" s="71"/>
      <c r="CG700" s="71"/>
      <c r="CH700" s="71"/>
      <c r="CI700" s="71"/>
      <c r="CJ700" s="71"/>
      <c r="CK700" s="71"/>
      <c r="CL700" s="71"/>
      <c r="CM700" s="71"/>
      <c r="CN700" s="71"/>
      <c r="CO700" s="71"/>
      <c r="CP700" s="71"/>
      <c r="CQ700" s="71"/>
      <c r="CR700" s="71"/>
      <c r="CS700" s="71"/>
      <c r="CT700" s="71"/>
      <c r="CU700" s="71"/>
      <c r="CV700" s="71"/>
      <c r="CW700" s="71"/>
      <c r="CX700" s="71"/>
      <c r="CY700" s="71"/>
      <c r="CZ700" s="71"/>
      <c r="DA700" s="71"/>
      <c r="DB700" s="71"/>
      <c r="DC700" s="71"/>
      <c r="DD700" s="71"/>
      <c r="DE700" s="71"/>
      <c r="DF700" s="71"/>
      <c r="DG700" s="71"/>
      <c r="DH700" s="71"/>
      <c r="DI700" s="71"/>
      <c r="DJ700" s="71"/>
      <c r="DK700" s="71"/>
      <c r="DL700" s="71"/>
      <c r="DM700" s="71"/>
      <c r="DN700" s="71"/>
      <c r="DO700" s="71"/>
      <c r="DP700" s="71"/>
      <c r="DQ700" s="71"/>
      <c r="DR700" s="71"/>
      <c r="DS700" s="71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  <c r="IJ700" s="71"/>
      <c r="IK700" s="71"/>
      <c r="IL700" s="71"/>
      <c r="IM700" s="71"/>
      <c r="IN700" s="71"/>
      <c r="IO700" s="71"/>
      <c r="IP700" s="71"/>
      <c r="IQ700" s="71"/>
      <c r="IR700" s="71"/>
      <c r="IS700" s="71"/>
      <c r="IT700" s="71"/>
      <c r="IU700" s="71"/>
      <c r="IV700" s="71"/>
      <c r="IW700" s="71"/>
    </row>
    <row r="701" customFormat="false" ht="12.75" hidden="false" customHeight="false" outlineLevel="0" collapsed="false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1"/>
      <c r="CF701" s="71"/>
      <c r="CG701" s="71"/>
      <c r="CH701" s="71"/>
      <c r="CI701" s="71"/>
      <c r="CJ701" s="71"/>
      <c r="CK701" s="71"/>
      <c r="CL701" s="71"/>
      <c r="CM701" s="71"/>
      <c r="CN701" s="71"/>
      <c r="CO701" s="71"/>
      <c r="CP701" s="71"/>
      <c r="CQ701" s="71"/>
      <c r="CR701" s="71"/>
      <c r="CS701" s="71"/>
      <c r="CT701" s="71"/>
      <c r="CU701" s="71"/>
      <c r="CV701" s="71"/>
      <c r="CW701" s="71"/>
      <c r="CX701" s="71"/>
      <c r="CY701" s="71"/>
      <c r="CZ701" s="71"/>
      <c r="DA701" s="71"/>
      <c r="DB701" s="71"/>
      <c r="DC701" s="71"/>
      <c r="DD701" s="71"/>
      <c r="DE701" s="71"/>
      <c r="DF701" s="71"/>
      <c r="DG701" s="71"/>
      <c r="DH701" s="71"/>
      <c r="DI701" s="71"/>
      <c r="DJ701" s="71"/>
      <c r="DK701" s="71"/>
      <c r="DL701" s="71"/>
      <c r="DM701" s="71"/>
      <c r="DN701" s="71"/>
      <c r="DO701" s="71"/>
      <c r="DP701" s="71"/>
      <c r="DQ701" s="71"/>
      <c r="DR701" s="71"/>
      <c r="DS701" s="71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  <c r="IJ701" s="71"/>
      <c r="IK701" s="71"/>
      <c r="IL701" s="71"/>
      <c r="IM701" s="71"/>
      <c r="IN701" s="71"/>
      <c r="IO701" s="71"/>
      <c r="IP701" s="71"/>
      <c r="IQ701" s="71"/>
      <c r="IR701" s="71"/>
      <c r="IS701" s="71"/>
      <c r="IT701" s="71"/>
      <c r="IU701" s="71"/>
      <c r="IV701" s="71"/>
      <c r="IW701" s="71"/>
    </row>
    <row r="702" customFormat="false" ht="12.75" hidden="false" customHeight="false" outlineLevel="0" collapsed="false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1"/>
      <c r="CF702" s="71"/>
      <c r="CG702" s="71"/>
      <c r="CH702" s="71"/>
      <c r="CI702" s="71"/>
      <c r="CJ702" s="71"/>
      <c r="CK702" s="71"/>
      <c r="CL702" s="71"/>
      <c r="CM702" s="71"/>
      <c r="CN702" s="71"/>
      <c r="CO702" s="71"/>
      <c r="CP702" s="71"/>
      <c r="CQ702" s="71"/>
      <c r="CR702" s="71"/>
      <c r="CS702" s="71"/>
      <c r="CT702" s="71"/>
      <c r="CU702" s="71"/>
      <c r="CV702" s="71"/>
      <c r="CW702" s="71"/>
      <c r="CX702" s="71"/>
      <c r="CY702" s="71"/>
      <c r="CZ702" s="71"/>
      <c r="DA702" s="71"/>
      <c r="DB702" s="71"/>
      <c r="DC702" s="71"/>
      <c r="DD702" s="71"/>
      <c r="DE702" s="71"/>
      <c r="DF702" s="71"/>
      <c r="DG702" s="71"/>
      <c r="DH702" s="71"/>
      <c r="DI702" s="71"/>
      <c r="DJ702" s="71"/>
      <c r="DK702" s="71"/>
      <c r="DL702" s="71"/>
      <c r="DM702" s="71"/>
      <c r="DN702" s="71"/>
      <c r="DO702" s="71"/>
      <c r="DP702" s="71"/>
      <c r="DQ702" s="71"/>
      <c r="DR702" s="71"/>
      <c r="DS702" s="71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  <c r="IJ702" s="71"/>
      <c r="IK702" s="71"/>
      <c r="IL702" s="71"/>
      <c r="IM702" s="71"/>
      <c r="IN702" s="71"/>
      <c r="IO702" s="71"/>
      <c r="IP702" s="71"/>
      <c r="IQ702" s="71"/>
      <c r="IR702" s="71"/>
      <c r="IS702" s="71"/>
      <c r="IT702" s="71"/>
      <c r="IU702" s="71"/>
      <c r="IV702" s="71"/>
      <c r="IW702" s="71"/>
    </row>
    <row r="703" customFormat="false" ht="12.75" hidden="false" customHeight="false" outlineLevel="0" collapsed="false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1"/>
      <c r="CF703" s="71"/>
      <c r="CG703" s="71"/>
      <c r="CH703" s="71"/>
      <c r="CI703" s="71"/>
      <c r="CJ703" s="71"/>
      <c r="CK703" s="71"/>
      <c r="CL703" s="71"/>
      <c r="CM703" s="71"/>
      <c r="CN703" s="71"/>
      <c r="CO703" s="71"/>
      <c r="CP703" s="71"/>
      <c r="CQ703" s="71"/>
      <c r="CR703" s="71"/>
      <c r="CS703" s="71"/>
      <c r="CT703" s="71"/>
      <c r="CU703" s="71"/>
      <c r="CV703" s="71"/>
      <c r="CW703" s="71"/>
      <c r="CX703" s="71"/>
      <c r="CY703" s="71"/>
      <c r="CZ703" s="71"/>
      <c r="DA703" s="71"/>
      <c r="DB703" s="71"/>
      <c r="DC703" s="71"/>
      <c r="DD703" s="71"/>
      <c r="DE703" s="71"/>
      <c r="DF703" s="71"/>
      <c r="DG703" s="71"/>
      <c r="DH703" s="71"/>
      <c r="DI703" s="71"/>
      <c r="DJ703" s="71"/>
      <c r="DK703" s="71"/>
      <c r="DL703" s="71"/>
      <c r="DM703" s="71"/>
      <c r="DN703" s="71"/>
      <c r="DO703" s="71"/>
      <c r="DP703" s="71"/>
      <c r="DQ703" s="71"/>
      <c r="DR703" s="71"/>
      <c r="DS703" s="71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  <c r="IJ703" s="71"/>
      <c r="IK703" s="71"/>
      <c r="IL703" s="71"/>
      <c r="IM703" s="71"/>
      <c r="IN703" s="71"/>
      <c r="IO703" s="71"/>
      <c r="IP703" s="71"/>
      <c r="IQ703" s="71"/>
      <c r="IR703" s="71"/>
      <c r="IS703" s="71"/>
      <c r="IT703" s="71"/>
      <c r="IU703" s="71"/>
      <c r="IV703" s="71"/>
      <c r="IW703" s="71"/>
    </row>
    <row r="704" customFormat="false" ht="12.75" hidden="false" customHeight="false" outlineLevel="0" collapsed="false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/>
      <c r="CO704" s="71"/>
      <c r="CP704" s="71"/>
      <c r="CQ704" s="71"/>
      <c r="CR704" s="71"/>
      <c r="CS704" s="71"/>
      <c r="CT704" s="71"/>
      <c r="CU704" s="71"/>
      <c r="CV704" s="71"/>
      <c r="CW704" s="71"/>
      <c r="CX704" s="71"/>
      <c r="CY704" s="71"/>
      <c r="CZ704" s="71"/>
      <c r="DA704" s="71"/>
      <c r="DB704" s="71"/>
      <c r="DC704" s="71"/>
      <c r="DD704" s="71"/>
      <c r="DE704" s="71"/>
      <c r="DF704" s="71"/>
      <c r="DG704" s="71"/>
      <c r="DH704" s="71"/>
      <c r="DI704" s="71"/>
      <c r="DJ704" s="71"/>
      <c r="DK704" s="71"/>
      <c r="DL704" s="71"/>
      <c r="DM704" s="71"/>
      <c r="DN704" s="71"/>
      <c r="DO704" s="71"/>
      <c r="DP704" s="71"/>
      <c r="DQ704" s="71"/>
      <c r="DR704" s="71"/>
      <c r="DS704" s="71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  <c r="IJ704" s="71"/>
      <c r="IK704" s="71"/>
      <c r="IL704" s="71"/>
      <c r="IM704" s="71"/>
      <c r="IN704" s="71"/>
      <c r="IO704" s="71"/>
      <c r="IP704" s="71"/>
      <c r="IQ704" s="71"/>
      <c r="IR704" s="71"/>
      <c r="IS704" s="71"/>
      <c r="IT704" s="71"/>
      <c r="IU704" s="71"/>
      <c r="IV704" s="71"/>
      <c r="IW704" s="71"/>
    </row>
    <row r="705" customFormat="false" ht="12.75" hidden="false" customHeight="false" outlineLevel="0" collapsed="false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1"/>
      <c r="CG705" s="71"/>
      <c r="CH705" s="71"/>
      <c r="CI705" s="71"/>
      <c r="CJ705" s="71"/>
      <c r="CK705" s="71"/>
      <c r="CL705" s="71"/>
      <c r="CM705" s="71"/>
      <c r="CN705" s="71"/>
      <c r="CO705" s="71"/>
      <c r="CP705" s="71"/>
      <c r="CQ705" s="71"/>
      <c r="CR705" s="71"/>
      <c r="CS705" s="71"/>
      <c r="CT705" s="71"/>
      <c r="CU705" s="71"/>
      <c r="CV705" s="71"/>
      <c r="CW705" s="71"/>
      <c r="CX705" s="71"/>
      <c r="CY705" s="71"/>
      <c r="CZ705" s="71"/>
      <c r="DA705" s="71"/>
      <c r="DB705" s="71"/>
      <c r="DC705" s="71"/>
      <c r="DD705" s="71"/>
      <c r="DE705" s="71"/>
      <c r="DF705" s="71"/>
      <c r="DG705" s="71"/>
      <c r="DH705" s="71"/>
      <c r="DI705" s="71"/>
      <c r="DJ705" s="71"/>
      <c r="DK705" s="71"/>
      <c r="DL705" s="71"/>
      <c r="DM705" s="71"/>
      <c r="DN705" s="71"/>
      <c r="DO705" s="71"/>
      <c r="DP705" s="71"/>
      <c r="DQ705" s="71"/>
      <c r="DR705" s="71"/>
      <c r="DS705" s="71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  <c r="IJ705" s="71"/>
      <c r="IK705" s="71"/>
      <c r="IL705" s="71"/>
      <c r="IM705" s="71"/>
      <c r="IN705" s="71"/>
      <c r="IO705" s="71"/>
      <c r="IP705" s="71"/>
      <c r="IQ705" s="71"/>
      <c r="IR705" s="71"/>
      <c r="IS705" s="71"/>
      <c r="IT705" s="71"/>
      <c r="IU705" s="71"/>
      <c r="IV705" s="71"/>
      <c r="IW705" s="71"/>
    </row>
    <row r="706" customFormat="false" ht="12.75" hidden="false" customHeight="false" outlineLevel="0" collapsed="false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1"/>
      <c r="CG706" s="71"/>
      <c r="CH706" s="71"/>
      <c r="CI706" s="71"/>
      <c r="CJ706" s="71"/>
      <c r="CK706" s="71"/>
      <c r="CL706" s="71"/>
      <c r="CM706" s="71"/>
      <c r="CN706" s="71"/>
      <c r="CO706" s="71"/>
      <c r="CP706" s="71"/>
      <c r="CQ706" s="71"/>
      <c r="CR706" s="71"/>
      <c r="CS706" s="71"/>
      <c r="CT706" s="71"/>
      <c r="CU706" s="71"/>
      <c r="CV706" s="71"/>
      <c r="CW706" s="71"/>
      <c r="CX706" s="71"/>
      <c r="CY706" s="71"/>
      <c r="CZ706" s="71"/>
      <c r="DA706" s="71"/>
      <c r="DB706" s="71"/>
      <c r="DC706" s="71"/>
      <c r="DD706" s="71"/>
      <c r="DE706" s="71"/>
      <c r="DF706" s="71"/>
      <c r="DG706" s="71"/>
      <c r="DH706" s="71"/>
      <c r="DI706" s="71"/>
      <c r="DJ706" s="71"/>
      <c r="DK706" s="71"/>
      <c r="DL706" s="71"/>
      <c r="DM706" s="71"/>
      <c r="DN706" s="71"/>
      <c r="DO706" s="71"/>
      <c r="DP706" s="71"/>
      <c r="DQ706" s="71"/>
      <c r="DR706" s="71"/>
      <c r="DS706" s="71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  <c r="IJ706" s="71"/>
      <c r="IK706" s="71"/>
      <c r="IL706" s="71"/>
      <c r="IM706" s="71"/>
      <c r="IN706" s="71"/>
      <c r="IO706" s="71"/>
      <c r="IP706" s="71"/>
      <c r="IQ706" s="71"/>
      <c r="IR706" s="71"/>
      <c r="IS706" s="71"/>
      <c r="IT706" s="71"/>
      <c r="IU706" s="71"/>
      <c r="IV706" s="71"/>
      <c r="IW706" s="71"/>
    </row>
    <row r="707" customFormat="false" ht="12.75" hidden="false" customHeight="false" outlineLevel="0" collapsed="false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  <c r="CE707" s="71"/>
      <c r="CF707" s="71"/>
      <c r="CG707" s="71"/>
      <c r="CH707" s="71"/>
      <c r="CI707" s="71"/>
      <c r="CJ707" s="71"/>
      <c r="CK707" s="71"/>
      <c r="CL707" s="71"/>
      <c r="CM707" s="71"/>
      <c r="CN707" s="71"/>
      <c r="CO707" s="71"/>
      <c r="CP707" s="71"/>
      <c r="CQ707" s="71"/>
      <c r="CR707" s="71"/>
      <c r="CS707" s="71"/>
      <c r="CT707" s="71"/>
      <c r="CU707" s="71"/>
      <c r="CV707" s="71"/>
      <c r="CW707" s="71"/>
      <c r="CX707" s="71"/>
      <c r="CY707" s="71"/>
      <c r="CZ707" s="71"/>
      <c r="DA707" s="71"/>
      <c r="DB707" s="71"/>
      <c r="DC707" s="71"/>
      <c r="DD707" s="71"/>
      <c r="DE707" s="71"/>
      <c r="DF707" s="71"/>
      <c r="DG707" s="71"/>
      <c r="DH707" s="71"/>
      <c r="DI707" s="71"/>
      <c r="DJ707" s="71"/>
      <c r="DK707" s="71"/>
      <c r="DL707" s="71"/>
      <c r="DM707" s="71"/>
      <c r="DN707" s="71"/>
      <c r="DO707" s="71"/>
      <c r="DP707" s="71"/>
      <c r="DQ707" s="71"/>
      <c r="DR707" s="71"/>
      <c r="DS707" s="71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  <c r="IJ707" s="71"/>
      <c r="IK707" s="71"/>
      <c r="IL707" s="71"/>
      <c r="IM707" s="71"/>
      <c r="IN707" s="71"/>
      <c r="IO707" s="71"/>
      <c r="IP707" s="71"/>
      <c r="IQ707" s="71"/>
      <c r="IR707" s="71"/>
      <c r="IS707" s="71"/>
      <c r="IT707" s="71"/>
      <c r="IU707" s="71"/>
      <c r="IV707" s="71"/>
      <c r="IW707" s="71"/>
    </row>
    <row r="708" customFormat="false" ht="12.75" hidden="false" customHeight="false" outlineLevel="0" collapsed="false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1"/>
      <c r="CF708" s="71"/>
      <c r="CG708" s="71"/>
      <c r="CH708" s="71"/>
      <c r="CI708" s="71"/>
      <c r="CJ708" s="71"/>
      <c r="CK708" s="71"/>
      <c r="CL708" s="71"/>
      <c r="CM708" s="71"/>
      <c r="CN708" s="71"/>
      <c r="CO708" s="71"/>
      <c r="CP708" s="71"/>
      <c r="CQ708" s="71"/>
      <c r="CR708" s="71"/>
      <c r="CS708" s="71"/>
      <c r="CT708" s="71"/>
      <c r="CU708" s="71"/>
      <c r="CV708" s="71"/>
      <c r="CW708" s="71"/>
      <c r="CX708" s="71"/>
      <c r="CY708" s="71"/>
      <c r="CZ708" s="71"/>
      <c r="DA708" s="71"/>
      <c r="DB708" s="71"/>
      <c r="DC708" s="71"/>
      <c r="DD708" s="71"/>
      <c r="DE708" s="71"/>
      <c r="DF708" s="71"/>
      <c r="DG708" s="71"/>
      <c r="DH708" s="71"/>
      <c r="DI708" s="71"/>
      <c r="DJ708" s="71"/>
      <c r="DK708" s="71"/>
      <c r="DL708" s="71"/>
      <c r="DM708" s="71"/>
      <c r="DN708" s="71"/>
      <c r="DO708" s="71"/>
      <c r="DP708" s="71"/>
      <c r="DQ708" s="71"/>
      <c r="DR708" s="71"/>
      <c r="DS708" s="71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  <c r="IJ708" s="71"/>
      <c r="IK708" s="71"/>
      <c r="IL708" s="71"/>
      <c r="IM708" s="71"/>
      <c r="IN708" s="71"/>
      <c r="IO708" s="71"/>
      <c r="IP708" s="71"/>
      <c r="IQ708" s="71"/>
      <c r="IR708" s="71"/>
      <c r="IS708" s="71"/>
      <c r="IT708" s="71"/>
      <c r="IU708" s="71"/>
      <c r="IV708" s="71"/>
      <c r="IW708" s="71"/>
    </row>
    <row r="709" customFormat="false" ht="12.75" hidden="false" customHeight="false" outlineLevel="0" collapsed="false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1"/>
      <c r="CG709" s="71"/>
      <c r="CH709" s="71"/>
      <c r="CI709" s="71"/>
      <c r="CJ709" s="71"/>
      <c r="CK709" s="71"/>
      <c r="CL709" s="71"/>
      <c r="CM709" s="71"/>
      <c r="CN709" s="71"/>
      <c r="CO709" s="71"/>
      <c r="CP709" s="71"/>
      <c r="CQ709" s="71"/>
      <c r="CR709" s="71"/>
      <c r="CS709" s="71"/>
      <c r="CT709" s="71"/>
      <c r="CU709" s="71"/>
      <c r="CV709" s="71"/>
      <c r="CW709" s="71"/>
      <c r="CX709" s="71"/>
      <c r="CY709" s="71"/>
      <c r="CZ709" s="71"/>
      <c r="DA709" s="71"/>
      <c r="DB709" s="71"/>
      <c r="DC709" s="71"/>
      <c r="DD709" s="71"/>
      <c r="DE709" s="71"/>
      <c r="DF709" s="71"/>
      <c r="DG709" s="71"/>
      <c r="DH709" s="71"/>
      <c r="DI709" s="71"/>
      <c r="DJ709" s="71"/>
      <c r="DK709" s="71"/>
      <c r="DL709" s="71"/>
      <c r="DM709" s="71"/>
      <c r="DN709" s="71"/>
      <c r="DO709" s="71"/>
      <c r="DP709" s="71"/>
      <c r="DQ709" s="71"/>
      <c r="DR709" s="71"/>
      <c r="DS709" s="71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  <c r="IJ709" s="71"/>
      <c r="IK709" s="71"/>
      <c r="IL709" s="71"/>
      <c r="IM709" s="71"/>
      <c r="IN709" s="71"/>
      <c r="IO709" s="71"/>
      <c r="IP709" s="71"/>
      <c r="IQ709" s="71"/>
      <c r="IR709" s="71"/>
      <c r="IS709" s="71"/>
      <c r="IT709" s="71"/>
      <c r="IU709" s="71"/>
      <c r="IV709" s="71"/>
      <c r="IW709" s="71"/>
    </row>
    <row r="710" customFormat="false" ht="12.75" hidden="false" customHeight="false" outlineLevel="0" collapsed="false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  <c r="CE710" s="71"/>
      <c r="CF710" s="71"/>
      <c r="CG710" s="71"/>
      <c r="CH710" s="71"/>
      <c r="CI710" s="71"/>
      <c r="CJ710" s="71"/>
      <c r="CK710" s="71"/>
      <c r="CL710" s="71"/>
      <c r="CM710" s="71"/>
      <c r="CN710" s="71"/>
      <c r="CO710" s="71"/>
      <c r="CP710" s="71"/>
      <c r="CQ710" s="71"/>
      <c r="CR710" s="71"/>
      <c r="CS710" s="71"/>
      <c r="CT710" s="71"/>
      <c r="CU710" s="71"/>
      <c r="CV710" s="71"/>
      <c r="CW710" s="71"/>
      <c r="CX710" s="71"/>
      <c r="CY710" s="71"/>
      <c r="CZ710" s="71"/>
      <c r="DA710" s="71"/>
      <c r="DB710" s="71"/>
      <c r="DC710" s="71"/>
      <c r="DD710" s="71"/>
      <c r="DE710" s="71"/>
      <c r="DF710" s="71"/>
      <c r="DG710" s="71"/>
      <c r="DH710" s="71"/>
      <c r="DI710" s="71"/>
      <c r="DJ710" s="71"/>
      <c r="DK710" s="71"/>
      <c r="DL710" s="71"/>
      <c r="DM710" s="71"/>
      <c r="DN710" s="71"/>
      <c r="DO710" s="71"/>
      <c r="DP710" s="71"/>
      <c r="DQ710" s="71"/>
      <c r="DR710" s="71"/>
      <c r="DS710" s="71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  <c r="IJ710" s="71"/>
      <c r="IK710" s="71"/>
      <c r="IL710" s="71"/>
      <c r="IM710" s="71"/>
      <c r="IN710" s="71"/>
      <c r="IO710" s="71"/>
      <c r="IP710" s="71"/>
      <c r="IQ710" s="71"/>
      <c r="IR710" s="71"/>
      <c r="IS710" s="71"/>
      <c r="IT710" s="71"/>
      <c r="IU710" s="71"/>
      <c r="IV710" s="71"/>
      <c r="IW710" s="71"/>
    </row>
    <row r="711" customFormat="false" ht="12.75" hidden="false" customHeight="false" outlineLevel="0" collapsed="false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/>
      <c r="CE711" s="71"/>
      <c r="CF711" s="71"/>
      <c r="CG711" s="71"/>
      <c r="CH711" s="71"/>
      <c r="CI711" s="71"/>
      <c r="CJ711" s="71"/>
      <c r="CK711" s="71"/>
      <c r="CL711" s="71"/>
      <c r="CM711" s="71"/>
      <c r="CN711" s="71"/>
      <c r="CO711" s="71"/>
      <c r="CP711" s="71"/>
      <c r="CQ711" s="71"/>
      <c r="CR711" s="71"/>
      <c r="CS711" s="71"/>
      <c r="CT711" s="71"/>
      <c r="CU711" s="71"/>
      <c r="CV711" s="71"/>
      <c r="CW711" s="71"/>
      <c r="CX711" s="71"/>
      <c r="CY711" s="71"/>
      <c r="CZ711" s="71"/>
      <c r="DA711" s="71"/>
      <c r="DB711" s="71"/>
      <c r="DC711" s="71"/>
      <c r="DD711" s="71"/>
      <c r="DE711" s="71"/>
      <c r="DF711" s="71"/>
      <c r="DG711" s="71"/>
      <c r="DH711" s="71"/>
      <c r="DI711" s="71"/>
      <c r="DJ711" s="71"/>
      <c r="DK711" s="71"/>
      <c r="DL711" s="71"/>
      <c r="DM711" s="71"/>
      <c r="DN711" s="71"/>
      <c r="DO711" s="71"/>
      <c r="DP711" s="71"/>
      <c r="DQ711" s="71"/>
      <c r="DR711" s="71"/>
      <c r="DS711" s="71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  <c r="IJ711" s="71"/>
      <c r="IK711" s="71"/>
      <c r="IL711" s="71"/>
      <c r="IM711" s="71"/>
      <c r="IN711" s="71"/>
      <c r="IO711" s="71"/>
      <c r="IP711" s="71"/>
      <c r="IQ711" s="71"/>
      <c r="IR711" s="71"/>
      <c r="IS711" s="71"/>
      <c r="IT711" s="71"/>
      <c r="IU711" s="71"/>
      <c r="IV711" s="71"/>
      <c r="IW711" s="71"/>
    </row>
    <row r="712" customFormat="false" ht="12.75" hidden="false" customHeight="false" outlineLevel="0" collapsed="false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/>
      <c r="CE712" s="71"/>
      <c r="CF712" s="71"/>
      <c r="CG712" s="71"/>
      <c r="CH712" s="71"/>
      <c r="CI712" s="71"/>
      <c r="CJ712" s="71"/>
      <c r="CK712" s="71"/>
      <c r="CL712" s="71"/>
      <c r="CM712" s="71"/>
      <c r="CN712" s="71"/>
      <c r="CO712" s="71"/>
      <c r="CP712" s="71"/>
      <c r="CQ712" s="71"/>
      <c r="CR712" s="71"/>
      <c r="CS712" s="71"/>
      <c r="CT712" s="71"/>
      <c r="CU712" s="71"/>
      <c r="CV712" s="71"/>
      <c r="CW712" s="71"/>
      <c r="CX712" s="71"/>
      <c r="CY712" s="71"/>
      <c r="CZ712" s="71"/>
      <c r="DA712" s="71"/>
      <c r="DB712" s="71"/>
      <c r="DC712" s="71"/>
      <c r="DD712" s="71"/>
      <c r="DE712" s="71"/>
      <c r="DF712" s="71"/>
      <c r="DG712" s="71"/>
      <c r="DH712" s="71"/>
      <c r="DI712" s="71"/>
      <c r="DJ712" s="71"/>
      <c r="DK712" s="71"/>
      <c r="DL712" s="71"/>
      <c r="DM712" s="71"/>
      <c r="DN712" s="71"/>
      <c r="DO712" s="71"/>
      <c r="DP712" s="71"/>
      <c r="DQ712" s="71"/>
      <c r="DR712" s="71"/>
      <c r="DS712" s="71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  <c r="IJ712" s="71"/>
      <c r="IK712" s="71"/>
      <c r="IL712" s="71"/>
      <c r="IM712" s="71"/>
      <c r="IN712" s="71"/>
      <c r="IO712" s="71"/>
      <c r="IP712" s="71"/>
      <c r="IQ712" s="71"/>
      <c r="IR712" s="71"/>
      <c r="IS712" s="71"/>
      <c r="IT712" s="71"/>
      <c r="IU712" s="71"/>
      <c r="IV712" s="71"/>
      <c r="IW712" s="71"/>
    </row>
    <row r="713" customFormat="false" ht="12.75" hidden="false" customHeight="false" outlineLevel="0" collapsed="false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  <c r="CE713" s="71"/>
      <c r="CF713" s="71"/>
      <c r="CG713" s="71"/>
      <c r="CH713" s="71"/>
      <c r="CI713" s="71"/>
      <c r="CJ713" s="71"/>
      <c r="CK713" s="71"/>
      <c r="CL713" s="71"/>
      <c r="CM713" s="71"/>
      <c r="CN713" s="71"/>
      <c r="CO713" s="71"/>
      <c r="CP713" s="71"/>
      <c r="CQ713" s="71"/>
      <c r="CR713" s="71"/>
      <c r="CS713" s="71"/>
      <c r="CT713" s="71"/>
      <c r="CU713" s="71"/>
      <c r="CV713" s="71"/>
      <c r="CW713" s="71"/>
      <c r="CX713" s="71"/>
      <c r="CY713" s="71"/>
      <c r="CZ713" s="71"/>
      <c r="DA713" s="71"/>
      <c r="DB713" s="71"/>
      <c r="DC713" s="71"/>
      <c r="DD713" s="71"/>
      <c r="DE713" s="71"/>
      <c r="DF713" s="71"/>
      <c r="DG713" s="71"/>
      <c r="DH713" s="71"/>
      <c r="DI713" s="71"/>
      <c r="DJ713" s="71"/>
      <c r="DK713" s="71"/>
      <c r="DL713" s="71"/>
      <c r="DM713" s="71"/>
      <c r="DN713" s="71"/>
      <c r="DO713" s="71"/>
      <c r="DP713" s="71"/>
      <c r="DQ713" s="71"/>
      <c r="DR713" s="71"/>
      <c r="DS713" s="71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  <c r="IJ713" s="71"/>
      <c r="IK713" s="71"/>
      <c r="IL713" s="71"/>
      <c r="IM713" s="71"/>
      <c r="IN713" s="71"/>
      <c r="IO713" s="71"/>
      <c r="IP713" s="71"/>
      <c r="IQ713" s="71"/>
      <c r="IR713" s="71"/>
      <c r="IS713" s="71"/>
      <c r="IT713" s="71"/>
      <c r="IU713" s="71"/>
      <c r="IV713" s="71"/>
      <c r="IW713" s="71"/>
    </row>
    <row r="714" customFormat="false" ht="12.75" hidden="false" customHeight="false" outlineLevel="0" collapsed="false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  <c r="CE714" s="71"/>
      <c r="CF714" s="71"/>
      <c r="CG714" s="71"/>
      <c r="CH714" s="71"/>
      <c r="CI714" s="71"/>
      <c r="CJ714" s="71"/>
      <c r="CK714" s="71"/>
      <c r="CL714" s="71"/>
      <c r="CM714" s="71"/>
      <c r="CN714" s="71"/>
      <c r="CO714" s="71"/>
      <c r="CP714" s="71"/>
      <c r="CQ714" s="71"/>
      <c r="CR714" s="71"/>
      <c r="CS714" s="71"/>
      <c r="CT714" s="71"/>
      <c r="CU714" s="71"/>
      <c r="CV714" s="71"/>
      <c r="CW714" s="71"/>
      <c r="CX714" s="71"/>
      <c r="CY714" s="71"/>
      <c r="CZ714" s="71"/>
      <c r="DA714" s="71"/>
      <c r="DB714" s="71"/>
      <c r="DC714" s="71"/>
      <c r="DD714" s="71"/>
      <c r="DE714" s="71"/>
      <c r="DF714" s="71"/>
      <c r="DG714" s="71"/>
      <c r="DH714" s="71"/>
      <c r="DI714" s="71"/>
      <c r="DJ714" s="71"/>
      <c r="DK714" s="71"/>
      <c r="DL714" s="71"/>
      <c r="DM714" s="71"/>
      <c r="DN714" s="71"/>
      <c r="DO714" s="71"/>
      <c r="DP714" s="71"/>
      <c r="DQ714" s="71"/>
      <c r="DR714" s="71"/>
      <c r="DS714" s="71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  <c r="IJ714" s="71"/>
      <c r="IK714" s="71"/>
      <c r="IL714" s="71"/>
      <c r="IM714" s="71"/>
      <c r="IN714" s="71"/>
      <c r="IO714" s="71"/>
      <c r="IP714" s="71"/>
      <c r="IQ714" s="71"/>
      <c r="IR714" s="71"/>
      <c r="IS714" s="71"/>
      <c r="IT714" s="71"/>
      <c r="IU714" s="71"/>
      <c r="IV714" s="71"/>
      <c r="IW714" s="71"/>
    </row>
    <row r="715" customFormat="false" ht="12.75" hidden="false" customHeight="false" outlineLevel="0" collapsed="false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1"/>
      <c r="CB715" s="71"/>
      <c r="CC715" s="71"/>
      <c r="CD715" s="71"/>
      <c r="CE715" s="71"/>
      <c r="CF715" s="71"/>
      <c r="CG715" s="71"/>
      <c r="CH715" s="71"/>
      <c r="CI715" s="71"/>
      <c r="CJ715" s="71"/>
      <c r="CK715" s="71"/>
      <c r="CL715" s="71"/>
      <c r="CM715" s="71"/>
      <c r="CN715" s="71"/>
      <c r="CO715" s="71"/>
      <c r="CP715" s="71"/>
      <c r="CQ715" s="71"/>
      <c r="CR715" s="71"/>
      <c r="CS715" s="71"/>
      <c r="CT715" s="71"/>
      <c r="CU715" s="71"/>
      <c r="CV715" s="71"/>
      <c r="CW715" s="71"/>
      <c r="CX715" s="71"/>
      <c r="CY715" s="71"/>
      <c r="CZ715" s="71"/>
      <c r="DA715" s="71"/>
      <c r="DB715" s="71"/>
      <c r="DC715" s="71"/>
      <c r="DD715" s="71"/>
      <c r="DE715" s="71"/>
      <c r="DF715" s="71"/>
      <c r="DG715" s="71"/>
      <c r="DH715" s="71"/>
      <c r="DI715" s="71"/>
      <c r="DJ715" s="71"/>
      <c r="DK715" s="71"/>
      <c r="DL715" s="71"/>
      <c r="DM715" s="71"/>
      <c r="DN715" s="71"/>
      <c r="DO715" s="71"/>
      <c r="DP715" s="71"/>
      <c r="DQ715" s="71"/>
      <c r="DR715" s="71"/>
      <c r="DS715" s="71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  <c r="IJ715" s="71"/>
      <c r="IK715" s="71"/>
      <c r="IL715" s="71"/>
      <c r="IM715" s="71"/>
      <c r="IN715" s="71"/>
      <c r="IO715" s="71"/>
      <c r="IP715" s="71"/>
      <c r="IQ715" s="71"/>
      <c r="IR715" s="71"/>
      <c r="IS715" s="71"/>
      <c r="IT715" s="71"/>
      <c r="IU715" s="71"/>
      <c r="IV715" s="71"/>
      <c r="IW715" s="71"/>
    </row>
    <row r="716" customFormat="false" ht="12.75" hidden="false" customHeight="false" outlineLevel="0" collapsed="false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  <c r="CE716" s="71"/>
      <c r="CF716" s="71"/>
      <c r="CG716" s="71"/>
      <c r="CH716" s="71"/>
      <c r="CI716" s="71"/>
      <c r="CJ716" s="71"/>
      <c r="CK716" s="71"/>
      <c r="CL716" s="71"/>
      <c r="CM716" s="71"/>
      <c r="CN716" s="71"/>
      <c r="CO716" s="71"/>
      <c r="CP716" s="71"/>
      <c r="CQ716" s="71"/>
      <c r="CR716" s="71"/>
      <c r="CS716" s="71"/>
      <c r="CT716" s="71"/>
      <c r="CU716" s="71"/>
      <c r="CV716" s="71"/>
      <c r="CW716" s="71"/>
      <c r="CX716" s="71"/>
      <c r="CY716" s="71"/>
      <c r="CZ716" s="71"/>
      <c r="DA716" s="71"/>
      <c r="DB716" s="71"/>
      <c r="DC716" s="71"/>
      <c r="DD716" s="71"/>
      <c r="DE716" s="71"/>
      <c r="DF716" s="71"/>
      <c r="DG716" s="71"/>
      <c r="DH716" s="71"/>
      <c r="DI716" s="71"/>
      <c r="DJ716" s="71"/>
      <c r="DK716" s="71"/>
      <c r="DL716" s="71"/>
      <c r="DM716" s="71"/>
      <c r="DN716" s="71"/>
      <c r="DO716" s="71"/>
      <c r="DP716" s="71"/>
      <c r="DQ716" s="71"/>
      <c r="DR716" s="71"/>
      <c r="DS716" s="71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  <c r="IJ716" s="71"/>
      <c r="IK716" s="71"/>
      <c r="IL716" s="71"/>
      <c r="IM716" s="71"/>
      <c r="IN716" s="71"/>
      <c r="IO716" s="71"/>
      <c r="IP716" s="71"/>
      <c r="IQ716" s="71"/>
      <c r="IR716" s="71"/>
      <c r="IS716" s="71"/>
      <c r="IT716" s="71"/>
      <c r="IU716" s="71"/>
      <c r="IV716" s="71"/>
      <c r="IW716" s="71"/>
    </row>
    <row r="717" customFormat="false" ht="12.75" hidden="false" customHeight="false" outlineLevel="0" collapsed="false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/>
      <c r="BV717" s="71"/>
      <c r="BW717" s="71"/>
      <c r="BX717" s="71"/>
      <c r="BY717" s="71"/>
      <c r="BZ717" s="71"/>
      <c r="CA717" s="71"/>
      <c r="CB717" s="71"/>
      <c r="CC717" s="71"/>
      <c r="CD717" s="71"/>
      <c r="CE717" s="71"/>
      <c r="CF717" s="71"/>
      <c r="CG717" s="71"/>
      <c r="CH717" s="71"/>
      <c r="CI717" s="71"/>
      <c r="CJ717" s="71"/>
      <c r="CK717" s="71"/>
      <c r="CL717" s="71"/>
      <c r="CM717" s="71"/>
      <c r="CN717" s="71"/>
      <c r="CO717" s="71"/>
      <c r="CP717" s="71"/>
      <c r="CQ717" s="71"/>
      <c r="CR717" s="71"/>
      <c r="CS717" s="71"/>
      <c r="CT717" s="71"/>
      <c r="CU717" s="71"/>
      <c r="CV717" s="71"/>
      <c r="CW717" s="71"/>
      <c r="CX717" s="71"/>
      <c r="CY717" s="71"/>
      <c r="CZ717" s="71"/>
      <c r="DA717" s="71"/>
      <c r="DB717" s="71"/>
      <c r="DC717" s="71"/>
      <c r="DD717" s="71"/>
      <c r="DE717" s="71"/>
      <c r="DF717" s="71"/>
      <c r="DG717" s="71"/>
      <c r="DH717" s="71"/>
      <c r="DI717" s="71"/>
      <c r="DJ717" s="71"/>
      <c r="DK717" s="71"/>
      <c r="DL717" s="71"/>
      <c r="DM717" s="71"/>
      <c r="DN717" s="71"/>
      <c r="DO717" s="71"/>
      <c r="DP717" s="71"/>
      <c r="DQ717" s="71"/>
      <c r="DR717" s="71"/>
      <c r="DS717" s="71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  <c r="IJ717" s="71"/>
      <c r="IK717" s="71"/>
      <c r="IL717" s="71"/>
      <c r="IM717" s="71"/>
      <c r="IN717" s="71"/>
      <c r="IO717" s="71"/>
      <c r="IP717" s="71"/>
      <c r="IQ717" s="71"/>
      <c r="IR717" s="71"/>
      <c r="IS717" s="71"/>
      <c r="IT717" s="71"/>
      <c r="IU717" s="71"/>
      <c r="IV717" s="71"/>
      <c r="IW717" s="71"/>
    </row>
    <row r="718" customFormat="false" ht="12.75" hidden="false" customHeight="false" outlineLevel="0" collapsed="false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  <c r="CE718" s="71"/>
      <c r="CF718" s="71"/>
      <c r="CG718" s="71"/>
      <c r="CH718" s="71"/>
      <c r="CI718" s="71"/>
      <c r="CJ718" s="71"/>
      <c r="CK718" s="71"/>
      <c r="CL718" s="71"/>
      <c r="CM718" s="71"/>
      <c r="CN718" s="71"/>
      <c r="CO718" s="71"/>
      <c r="CP718" s="71"/>
      <c r="CQ718" s="71"/>
      <c r="CR718" s="71"/>
      <c r="CS718" s="71"/>
      <c r="CT718" s="71"/>
      <c r="CU718" s="71"/>
      <c r="CV718" s="71"/>
      <c r="CW718" s="71"/>
      <c r="CX718" s="71"/>
      <c r="CY718" s="71"/>
      <c r="CZ718" s="71"/>
      <c r="DA718" s="71"/>
      <c r="DB718" s="71"/>
      <c r="DC718" s="71"/>
      <c r="DD718" s="71"/>
      <c r="DE718" s="71"/>
      <c r="DF718" s="71"/>
      <c r="DG718" s="71"/>
      <c r="DH718" s="71"/>
      <c r="DI718" s="71"/>
      <c r="DJ718" s="71"/>
      <c r="DK718" s="71"/>
      <c r="DL718" s="71"/>
      <c r="DM718" s="71"/>
      <c r="DN718" s="71"/>
      <c r="DO718" s="71"/>
      <c r="DP718" s="71"/>
      <c r="DQ718" s="71"/>
      <c r="DR718" s="71"/>
      <c r="DS718" s="71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  <c r="IJ718" s="71"/>
      <c r="IK718" s="71"/>
      <c r="IL718" s="71"/>
      <c r="IM718" s="71"/>
      <c r="IN718" s="71"/>
      <c r="IO718" s="71"/>
      <c r="IP718" s="71"/>
      <c r="IQ718" s="71"/>
      <c r="IR718" s="71"/>
      <c r="IS718" s="71"/>
      <c r="IT718" s="71"/>
      <c r="IU718" s="71"/>
      <c r="IV718" s="71"/>
      <c r="IW718" s="71"/>
    </row>
    <row r="719" customFormat="false" ht="12.75" hidden="false" customHeight="false" outlineLevel="0" collapsed="false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/>
      <c r="CA719" s="71"/>
      <c r="CB719" s="71"/>
      <c r="CC719" s="71"/>
      <c r="CD719" s="71"/>
      <c r="CE719" s="71"/>
      <c r="CF719" s="71"/>
      <c r="CG719" s="71"/>
      <c r="CH719" s="71"/>
      <c r="CI719" s="71"/>
      <c r="CJ719" s="71"/>
      <c r="CK719" s="71"/>
      <c r="CL719" s="71"/>
      <c r="CM719" s="71"/>
      <c r="CN719" s="71"/>
      <c r="CO719" s="71"/>
      <c r="CP719" s="71"/>
      <c r="CQ719" s="71"/>
      <c r="CR719" s="71"/>
      <c r="CS719" s="71"/>
      <c r="CT719" s="71"/>
      <c r="CU719" s="71"/>
      <c r="CV719" s="71"/>
      <c r="CW719" s="71"/>
      <c r="CX719" s="71"/>
      <c r="CY719" s="71"/>
      <c r="CZ719" s="71"/>
      <c r="DA719" s="71"/>
      <c r="DB719" s="71"/>
      <c r="DC719" s="71"/>
      <c r="DD719" s="71"/>
      <c r="DE719" s="71"/>
      <c r="DF719" s="71"/>
      <c r="DG719" s="71"/>
      <c r="DH719" s="71"/>
      <c r="DI719" s="71"/>
      <c r="DJ719" s="71"/>
      <c r="DK719" s="71"/>
      <c r="DL719" s="71"/>
      <c r="DM719" s="71"/>
      <c r="DN719" s="71"/>
      <c r="DO719" s="71"/>
      <c r="DP719" s="71"/>
      <c r="DQ719" s="71"/>
      <c r="DR719" s="71"/>
      <c r="DS719" s="71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  <c r="IJ719" s="71"/>
      <c r="IK719" s="71"/>
      <c r="IL719" s="71"/>
      <c r="IM719" s="71"/>
      <c r="IN719" s="71"/>
      <c r="IO719" s="71"/>
      <c r="IP719" s="71"/>
      <c r="IQ719" s="71"/>
      <c r="IR719" s="71"/>
      <c r="IS719" s="71"/>
      <c r="IT719" s="71"/>
      <c r="IU719" s="71"/>
      <c r="IV719" s="71"/>
      <c r="IW719" s="71"/>
    </row>
    <row r="720" customFormat="false" ht="12.75" hidden="false" customHeight="false" outlineLevel="0" collapsed="false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  <c r="CE720" s="71"/>
      <c r="CF720" s="71"/>
      <c r="CG720" s="71"/>
      <c r="CH720" s="71"/>
      <c r="CI720" s="71"/>
      <c r="CJ720" s="71"/>
      <c r="CK720" s="71"/>
      <c r="CL720" s="71"/>
      <c r="CM720" s="71"/>
      <c r="CN720" s="71"/>
      <c r="CO720" s="71"/>
      <c r="CP720" s="71"/>
      <c r="CQ720" s="71"/>
      <c r="CR720" s="71"/>
      <c r="CS720" s="71"/>
      <c r="CT720" s="71"/>
      <c r="CU720" s="71"/>
      <c r="CV720" s="71"/>
      <c r="CW720" s="71"/>
      <c r="CX720" s="71"/>
      <c r="CY720" s="71"/>
      <c r="CZ720" s="71"/>
      <c r="DA720" s="71"/>
      <c r="DB720" s="71"/>
      <c r="DC720" s="71"/>
      <c r="DD720" s="71"/>
      <c r="DE720" s="71"/>
      <c r="DF720" s="71"/>
      <c r="DG720" s="71"/>
      <c r="DH720" s="71"/>
      <c r="DI720" s="71"/>
      <c r="DJ720" s="71"/>
      <c r="DK720" s="71"/>
      <c r="DL720" s="71"/>
      <c r="DM720" s="71"/>
      <c r="DN720" s="71"/>
      <c r="DO720" s="71"/>
      <c r="DP720" s="71"/>
      <c r="DQ720" s="71"/>
      <c r="DR720" s="71"/>
      <c r="DS720" s="71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  <c r="IJ720" s="71"/>
      <c r="IK720" s="71"/>
      <c r="IL720" s="71"/>
      <c r="IM720" s="71"/>
      <c r="IN720" s="71"/>
      <c r="IO720" s="71"/>
      <c r="IP720" s="71"/>
      <c r="IQ720" s="71"/>
      <c r="IR720" s="71"/>
      <c r="IS720" s="71"/>
      <c r="IT720" s="71"/>
      <c r="IU720" s="71"/>
      <c r="IV720" s="71"/>
      <c r="IW720" s="71"/>
    </row>
    <row r="721" customFormat="false" ht="12.75" hidden="false" customHeight="false" outlineLevel="0" collapsed="false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/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  <c r="CE721" s="71"/>
      <c r="CF721" s="71"/>
      <c r="CG721" s="71"/>
      <c r="CH721" s="71"/>
      <c r="CI721" s="71"/>
      <c r="CJ721" s="71"/>
      <c r="CK721" s="71"/>
      <c r="CL721" s="71"/>
      <c r="CM721" s="71"/>
      <c r="CN721" s="71"/>
      <c r="CO721" s="71"/>
      <c r="CP721" s="71"/>
      <c r="CQ721" s="71"/>
      <c r="CR721" s="71"/>
      <c r="CS721" s="71"/>
      <c r="CT721" s="71"/>
      <c r="CU721" s="71"/>
      <c r="CV721" s="71"/>
      <c r="CW721" s="71"/>
      <c r="CX721" s="71"/>
      <c r="CY721" s="71"/>
      <c r="CZ721" s="71"/>
      <c r="DA721" s="71"/>
      <c r="DB721" s="71"/>
      <c r="DC721" s="71"/>
      <c r="DD721" s="71"/>
      <c r="DE721" s="71"/>
      <c r="DF721" s="71"/>
      <c r="DG721" s="71"/>
      <c r="DH721" s="71"/>
      <c r="DI721" s="71"/>
      <c r="DJ721" s="71"/>
      <c r="DK721" s="71"/>
      <c r="DL721" s="71"/>
      <c r="DM721" s="71"/>
      <c r="DN721" s="71"/>
      <c r="DO721" s="71"/>
      <c r="DP721" s="71"/>
      <c r="DQ721" s="71"/>
      <c r="DR721" s="71"/>
      <c r="DS721" s="71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  <c r="IJ721" s="71"/>
      <c r="IK721" s="71"/>
      <c r="IL721" s="71"/>
      <c r="IM721" s="71"/>
      <c r="IN721" s="71"/>
      <c r="IO721" s="71"/>
      <c r="IP721" s="71"/>
      <c r="IQ721" s="71"/>
      <c r="IR721" s="71"/>
      <c r="IS721" s="71"/>
      <c r="IT721" s="71"/>
      <c r="IU721" s="71"/>
      <c r="IV721" s="71"/>
      <c r="IW721" s="71"/>
    </row>
    <row r="722" customFormat="false" ht="12.75" hidden="false" customHeight="false" outlineLevel="0" collapsed="false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/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  <c r="CE722" s="71"/>
      <c r="CF722" s="71"/>
      <c r="CG722" s="71"/>
      <c r="CH722" s="71"/>
      <c r="CI722" s="71"/>
      <c r="CJ722" s="71"/>
      <c r="CK722" s="71"/>
      <c r="CL722" s="71"/>
      <c r="CM722" s="71"/>
      <c r="CN722" s="71"/>
      <c r="CO722" s="71"/>
      <c r="CP722" s="71"/>
      <c r="CQ722" s="71"/>
      <c r="CR722" s="71"/>
      <c r="CS722" s="71"/>
      <c r="CT722" s="71"/>
      <c r="CU722" s="71"/>
      <c r="CV722" s="71"/>
      <c r="CW722" s="71"/>
      <c r="CX722" s="71"/>
      <c r="CY722" s="71"/>
      <c r="CZ722" s="71"/>
      <c r="DA722" s="71"/>
      <c r="DB722" s="71"/>
      <c r="DC722" s="71"/>
      <c r="DD722" s="71"/>
      <c r="DE722" s="71"/>
      <c r="DF722" s="71"/>
      <c r="DG722" s="71"/>
      <c r="DH722" s="71"/>
      <c r="DI722" s="71"/>
      <c r="DJ722" s="71"/>
      <c r="DK722" s="71"/>
      <c r="DL722" s="71"/>
      <c r="DM722" s="71"/>
      <c r="DN722" s="71"/>
      <c r="DO722" s="71"/>
      <c r="DP722" s="71"/>
      <c r="DQ722" s="71"/>
      <c r="DR722" s="71"/>
      <c r="DS722" s="71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  <c r="IJ722" s="71"/>
      <c r="IK722" s="71"/>
      <c r="IL722" s="71"/>
      <c r="IM722" s="71"/>
      <c r="IN722" s="71"/>
      <c r="IO722" s="71"/>
      <c r="IP722" s="71"/>
      <c r="IQ722" s="71"/>
      <c r="IR722" s="71"/>
      <c r="IS722" s="71"/>
      <c r="IT722" s="71"/>
      <c r="IU722" s="71"/>
      <c r="IV722" s="71"/>
      <c r="IW722" s="71"/>
    </row>
    <row r="723" customFormat="false" ht="12.75" hidden="false" customHeight="false" outlineLevel="0" collapsed="false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  <c r="CE723" s="71"/>
      <c r="CF723" s="71"/>
      <c r="CG723" s="71"/>
      <c r="CH723" s="71"/>
      <c r="CI723" s="71"/>
      <c r="CJ723" s="71"/>
      <c r="CK723" s="71"/>
      <c r="CL723" s="71"/>
      <c r="CM723" s="71"/>
      <c r="CN723" s="71"/>
      <c r="CO723" s="71"/>
      <c r="CP723" s="71"/>
      <c r="CQ723" s="71"/>
      <c r="CR723" s="71"/>
      <c r="CS723" s="71"/>
      <c r="CT723" s="71"/>
      <c r="CU723" s="71"/>
      <c r="CV723" s="71"/>
      <c r="CW723" s="71"/>
      <c r="CX723" s="71"/>
      <c r="CY723" s="71"/>
      <c r="CZ723" s="71"/>
      <c r="DA723" s="71"/>
      <c r="DB723" s="71"/>
      <c r="DC723" s="71"/>
      <c r="DD723" s="71"/>
      <c r="DE723" s="71"/>
      <c r="DF723" s="71"/>
      <c r="DG723" s="71"/>
      <c r="DH723" s="71"/>
      <c r="DI723" s="71"/>
      <c r="DJ723" s="71"/>
      <c r="DK723" s="71"/>
      <c r="DL723" s="71"/>
      <c r="DM723" s="71"/>
      <c r="DN723" s="71"/>
      <c r="DO723" s="71"/>
      <c r="DP723" s="71"/>
      <c r="DQ723" s="71"/>
      <c r="DR723" s="71"/>
      <c r="DS723" s="71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  <c r="IJ723" s="71"/>
      <c r="IK723" s="71"/>
      <c r="IL723" s="71"/>
      <c r="IM723" s="71"/>
      <c r="IN723" s="71"/>
      <c r="IO723" s="71"/>
      <c r="IP723" s="71"/>
      <c r="IQ723" s="71"/>
      <c r="IR723" s="71"/>
      <c r="IS723" s="71"/>
      <c r="IT723" s="71"/>
      <c r="IU723" s="71"/>
      <c r="IV723" s="71"/>
      <c r="IW723" s="71"/>
    </row>
    <row r="724" customFormat="false" ht="12.75" hidden="false" customHeight="false" outlineLevel="0" collapsed="false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  <c r="CE724" s="71"/>
      <c r="CF724" s="71"/>
      <c r="CG724" s="71"/>
      <c r="CH724" s="71"/>
      <c r="CI724" s="71"/>
      <c r="CJ724" s="71"/>
      <c r="CK724" s="71"/>
      <c r="CL724" s="71"/>
      <c r="CM724" s="71"/>
      <c r="CN724" s="71"/>
      <c r="CO724" s="71"/>
      <c r="CP724" s="71"/>
      <c r="CQ724" s="71"/>
      <c r="CR724" s="71"/>
      <c r="CS724" s="71"/>
      <c r="CT724" s="71"/>
      <c r="CU724" s="71"/>
      <c r="CV724" s="71"/>
      <c r="CW724" s="71"/>
      <c r="CX724" s="71"/>
      <c r="CY724" s="71"/>
      <c r="CZ724" s="71"/>
      <c r="DA724" s="71"/>
      <c r="DB724" s="71"/>
      <c r="DC724" s="71"/>
      <c r="DD724" s="71"/>
      <c r="DE724" s="71"/>
      <c r="DF724" s="71"/>
      <c r="DG724" s="71"/>
      <c r="DH724" s="71"/>
      <c r="DI724" s="71"/>
      <c r="DJ724" s="71"/>
      <c r="DK724" s="71"/>
      <c r="DL724" s="71"/>
      <c r="DM724" s="71"/>
      <c r="DN724" s="71"/>
      <c r="DO724" s="71"/>
      <c r="DP724" s="71"/>
      <c r="DQ724" s="71"/>
      <c r="DR724" s="71"/>
      <c r="DS724" s="71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  <c r="IJ724" s="71"/>
      <c r="IK724" s="71"/>
      <c r="IL724" s="71"/>
      <c r="IM724" s="71"/>
      <c r="IN724" s="71"/>
      <c r="IO724" s="71"/>
      <c r="IP724" s="71"/>
      <c r="IQ724" s="71"/>
      <c r="IR724" s="71"/>
      <c r="IS724" s="71"/>
      <c r="IT724" s="71"/>
      <c r="IU724" s="71"/>
      <c r="IV724" s="71"/>
      <c r="IW724" s="71"/>
    </row>
    <row r="725" customFormat="false" ht="12.75" hidden="false" customHeight="false" outlineLevel="0" collapsed="false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  <c r="CE725" s="71"/>
      <c r="CF725" s="71"/>
      <c r="CG725" s="71"/>
      <c r="CH725" s="71"/>
      <c r="CI725" s="71"/>
      <c r="CJ725" s="71"/>
      <c r="CK725" s="71"/>
      <c r="CL725" s="71"/>
      <c r="CM725" s="71"/>
      <c r="CN725" s="71"/>
      <c r="CO725" s="71"/>
      <c r="CP725" s="71"/>
      <c r="CQ725" s="71"/>
      <c r="CR725" s="71"/>
      <c r="CS725" s="71"/>
      <c r="CT725" s="71"/>
      <c r="CU725" s="71"/>
      <c r="CV725" s="71"/>
      <c r="CW725" s="71"/>
      <c r="CX725" s="71"/>
      <c r="CY725" s="71"/>
      <c r="CZ725" s="71"/>
      <c r="DA725" s="71"/>
      <c r="DB725" s="71"/>
      <c r="DC725" s="71"/>
      <c r="DD725" s="71"/>
      <c r="DE725" s="71"/>
      <c r="DF725" s="71"/>
      <c r="DG725" s="71"/>
      <c r="DH725" s="71"/>
      <c r="DI725" s="71"/>
      <c r="DJ725" s="71"/>
      <c r="DK725" s="71"/>
      <c r="DL725" s="71"/>
      <c r="DM725" s="71"/>
      <c r="DN725" s="71"/>
      <c r="DO725" s="71"/>
      <c r="DP725" s="71"/>
      <c r="DQ725" s="71"/>
      <c r="DR725" s="71"/>
      <c r="DS725" s="71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  <c r="IJ725" s="71"/>
      <c r="IK725" s="71"/>
      <c r="IL725" s="71"/>
      <c r="IM725" s="71"/>
      <c r="IN725" s="71"/>
      <c r="IO725" s="71"/>
      <c r="IP725" s="71"/>
      <c r="IQ725" s="71"/>
      <c r="IR725" s="71"/>
      <c r="IS725" s="71"/>
      <c r="IT725" s="71"/>
      <c r="IU725" s="71"/>
      <c r="IV725" s="71"/>
      <c r="IW725" s="71"/>
    </row>
    <row r="726" customFormat="false" ht="12.75" hidden="false" customHeight="false" outlineLevel="0" collapsed="false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1"/>
      <c r="CF726" s="71"/>
      <c r="CG726" s="71"/>
      <c r="CH726" s="71"/>
      <c r="CI726" s="71"/>
      <c r="CJ726" s="71"/>
      <c r="CK726" s="71"/>
      <c r="CL726" s="71"/>
      <c r="CM726" s="71"/>
      <c r="CN726" s="71"/>
      <c r="CO726" s="71"/>
      <c r="CP726" s="71"/>
      <c r="CQ726" s="71"/>
      <c r="CR726" s="71"/>
      <c r="CS726" s="71"/>
      <c r="CT726" s="71"/>
      <c r="CU726" s="71"/>
      <c r="CV726" s="71"/>
      <c r="CW726" s="71"/>
      <c r="CX726" s="71"/>
      <c r="CY726" s="71"/>
      <c r="CZ726" s="71"/>
      <c r="DA726" s="71"/>
      <c r="DB726" s="71"/>
      <c r="DC726" s="71"/>
      <c r="DD726" s="71"/>
      <c r="DE726" s="71"/>
      <c r="DF726" s="71"/>
      <c r="DG726" s="71"/>
      <c r="DH726" s="71"/>
      <c r="DI726" s="71"/>
      <c r="DJ726" s="71"/>
      <c r="DK726" s="71"/>
      <c r="DL726" s="71"/>
      <c r="DM726" s="71"/>
      <c r="DN726" s="71"/>
      <c r="DO726" s="71"/>
      <c r="DP726" s="71"/>
      <c r="DQ726" s="71"/>
      <c r="DR726" s="71"/>
      <c r="DS726" s="71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  <c r="IJ726" s="71"/>
      <c r="IK726" s="71"/>
      <c r="IL726" s="71"/>
      <c r="IM726" s="71"/>
      <c r="IN726" s="71"/>
      <c r="IO726" s="71"/>
      <c r="IP726" s="71"/>
      <c r="IQ726" s="71"/>
      <c r="IR726" s="71"/>
      <c r="IS726" s="71"/>
      <c r="IT726" s="71"/>
      <c r="IU726" s="71"/>
      <c r="IV726" s="71"/>
      <c r="IW726" s="71"/>
    </row>
    <row r="727" customFormat="false" ht="12.75" hidden="false" customHeight="false" outlineLevel="0" collapsed="false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  <c r="CE727" s="71"/>
      <c r="CF727" s="71"/>
      <c r="CG727" s="71"/>
      <c r="CH727" s="71"/>
      <c r="CI727" s="71"/>
      <c r="CJ727" s="71"/>
      <c r="CK727" s="71"/>
      <c r="CL727" s="71"/>
      <c r="CM727" s="71"/>
      <c r="CN727" s="71"/>
      <c r="CO727" s="71"/>
      <c r="CP727" s="71"/>
      <c r="CQ727" s="71"/>
      <c r="CR727" s="71"/>
      <c r="CS727" s="71"/>
      <c r="CT727" s="71"/>
      <c r="CU727" s="71"/>
      <c r="CV727" s="71"/>
      <c r="CW727" s="71"/>
      <c r="CX727" s="71"/>
      <c r="CY727" s="71"/>
      <c r="CZ727" s="71"/>
      <c r="DA727" s="71"/>
      <c r="DB727" s="71"/>
      <c r="DC727" s="71"/>
      <c r="DD727" s="71"/>
      <c r="DE727" s="71"/>
      <c r="DF727" s="71"/>
      <c r="DG727" s="71"/>
      <c r="DH727" s="71"/>
      <c r="DI727" s="71"/>
      <c r="DJ727" s="71"/>
      <c r="DK727" s="71"/>
      <c r="DL727" s="71"/>
      <c r="DM727" s="71"/>
      <c r="DN727" s="71"/>
      <c r="DO727" s="71"/>
      <c r="DP727" s="71"/>
      <c r="DQ727" s="71"/>
      <c r="DR727" s="71"/>
      <c r="DS727" s="71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  <c r="IJ727" s="71"/>
      <c r="IK727" s="71"/>
      <c r="IL727" s="71"/>
      <c r="IM727" s="71"/>
      <c r="IN727" s="71"/>
      <c r="IO727" s="71"/>
      <c r="IP727" s="71"/>
      <c r="IQ727" s="71"/>
      <c r="IR727" s="71"/>
      <c r="IS727" s="71"/>
      <c r="IT727" s="71"/>
      <c r="IU727" s="71"/>
      <c r="IV727" s="71"/>
      <c r="IW727" s="71"/>
    </row>
    <row r="728" customFormat="false" ht="12.75" hidden="false" customHeight="false" outlineLevel="0" collapsed="false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1"/>
      <c r="CF728" s="71"/>
      <c r="CG728" s="71"/>
      <c r="CH728" s="71"/>
      <c r="CI728" s="71"/>
      <c r="CJ728" s="71"/>
      <c r="CK728" s="71"/>
      <c r="CL728" s="71"/>
      <c r="CM728" s="71"/>
      <c r="CN728" s="71"/>
      <c r="CO728" s="71"/>
      <c r="CP728" s="71"/>
      <c r="CQ728" s="71"/>
      <c r="CR728" s="71"/>
      <c r="CS728" s="71"/>
      <c r="CT728" s="71"/>
      <c r="CU728" s="71"/>
      <c r="CV728" s="71"/>
      <c r="CW728" s="71"/>
      <c r="CX728" s="71"/>
      <c r="CY728" s="71"/>
      <c r="CZ728" s="71"/>
      <c r="DA728" s="71"/>
      <c r="DB728" s="71"/>
      <c r="DC728" s="71"/>
      <c r="DD728" s="71"/>
      <c r="DE728" s="71"/>
      <c r="DF728" s="71"/>
      <c r="DG728" s="71"/>
      <c r="DH728" s="71"/>
      <c r="DI728" s="71"/>
      <c r="DJ728" s="71"/>
      <c r="DK728" s="71"/>
      <c r="DL728" s="71"/>
      <c r="DM728" s="71"/>
      <c r="DN728" s="71"/>
      <c r="DO728" s="71"/>
      <c r="DP728" s="71"/>
      <c r="DQ728" s="71"/>
      <c r="DR728" s="71"/>
      <c r="DS728" s="71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  <c r="IJ728" s="71"/>
      <c r="IK728" s="71"/>
      <c r="IL728" s="71"/>
      <c r="IM728" s="71"/>
      <c r="IN728" s="71"/>
      <c r="IO728" s="71"/>
      <c r="IP728" s="71"/>
      <c r="IQ728" s="71"/>
      <c r="IR728" s="71"/>
      <c r="IS728" s="71"/>
      <c r="IT728" s="71"/>
      <c r="IU728" s="71"/>
      <c r="IV728" s="71"/>
      <c r="IW728" s="71"/>
    </row>
    <row r="729" customFormat="false" ht="12.75" hidden="false" customHeight="false" outlineLevel="0" collapsed="false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1"/>
      <c r="CG729" s="71"/>
      <c r="CH729" s="71"/>
      <c r="CI729" s="71"/>
      <c r="CJ729" s="71"/>
      <c r="CK729" s="71"/>
      <c r="CL729" s="71"/>
      <c r="CM729" s="71"/>
      <c r="CN729" s="71"/>
      <c r="CO729" s="71"/>
      <c r="CP729" s="71"/>
      <c r="CQ729" s="71"/>
      <c r="CR729" s="71"/>
      <c r="CS729" s="71"/>
      <c r="CT729" s="71"/>
      <c r="CU729" s="71"/>
      <c r="CV729" s="71"/>
      <c r="CW729" s="71"/>
      <c r="CX729" s="71"/>
      <c r="CY729" s="71"/>
      <c r="CZ729" s="71"/>
      <c r="DA729" s="71"/>
      <c r="DB729" s="71"/>
      <c r="DC729" s="71"/>
      <c r="DD729" s="71"/>
      <c r="DE729" s="71"/>
      <c r="DF729" s="71"/>
      <c r="DG729" s="71"/>
      <c r="DH729" s="71"/>
      <c r="DI729" s="71"/>
      <c r="DJ729" s="71"/>
      <c r="DK729" s="71"/>
      <c r="DL729" s="71"/>
      <c r="DM729" s="71"/>
      <c r="DN729" s="71"/>
      <c r="DO729" s="71"/>
      <c r="DP729" s="71"/>
      <c r="DQ729" s="71"/>
      <c r="DR729" s="71"/>
      <c r="DS729" s="71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  <c r="IJ729" s="71"/>
      <c r="IK729" s="71"/>
      <c r="IL729" s="71"/>
      <c r="IM729" s="71"/>
      <c r="IN729" s="71"/>
      <c r="IO729" s="71"/>
      <c r="IP729" s="71"/>
      <c r="IQ729" s="71"/>
      <c r="IR729" s="71"/>
      <c r="IS729" s="71"/>
      <c r="IT729" s="71"/>
      <c r="IU729" s="71"/>
      <c r="IV729" s="71"/>
      <c r="IW729" s="71"/>
    </row>
    <row r="730" customFormat="false" ht="12.75" hidden="false" customHeight="false" outlineLevel="0" collapsed="false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1"/>
      <c r="CG730" s="71"/>
      <c r="CH730" s="71"/>
      <c r="CI730" s="71"/>
      <c r="CJ730" s="71"/>
      <c r="CK730" s="71"/>
      <c r="CL730" s="71"/>
      <c r="CM730" s="71"/>
      <c r="CN730" s="71"/>
      <c r="CO730" s="71"/>
      <c r="CP730" s="71"/>
      <c r="CQ730" s="71"/>
      <c r="CR730" s="71"/>
      <c r="CS730" s="71"/>
      <c r="CT730" s="71"/>
      <c r="CU730" s="71"/>
      <c r="CV730" s="71"/>
      <c r="CW730" s="71"/>
      <c r="CX730" s="71"/>
      <c r="CY730" s="71"/>
      <c r="CZ730" s="71"/>
      <c r="DA730" s="71"/>
      <c r="DB730" s="71"/>
      <c r="DC730" s="71"/>
      <c r="DD730" s="71"/>
      <c r="DE730" s="71"/>
      <c r="DF730" s="71"/>
      <c r="DG730" s="71"/>
      <c r="DH730" s="71"/>
      <c r="DI730" s="71"/>
      <c r="DJ730" s="71"/>
      <c r="DK730" s="71"/>
      <c r="DL730" s="71"/>
      <c r="DM730" s="71"/>
      <c r="DN730" s="71"/>
      <c r="DO730" s="71"/>
      <c r="DP730" s="71"/>
      <c r="DQ730" s="71"/>
      <c r="DR730" s="71"/>
      <c r="DS730" s="71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  <c r="IJ730" s="71"/>
      <c r="IK730" s="71"/>
      <c r="IL730" s="71"/>
      <c r="IM730" s="71"/>
      <c r="IN730" s="71"/>
      <c r="IO730" s="71"/>
      <c r="IP730" s="71"/>
      <c r="IQ730" s="71"/>
      <c r="IR730" s="71"/>
      <c r="IS730" s="71"/>
      <c r="IT730" s="71"/>
      <c r="IU730" s="71"/>
      <c r="IV730" s="71"/>
      <c r="IW730" s="71"/>
    </row>
    <row r="731" customFormat="false" ht="12.75" hidden="false" customHeight="false" outlineLevel="0" collapsed="false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/>
      <c r="BX731" s="71"/>
      <c r="BY731" s="71"/>
      <c r="BZ731" s="71"/>
      <c r="CA731" s="71"/>
      <c r="CB731" s="71"/>
      <c r="CC731" s="71"/>
      <c r="CD731" s="71"/>
      <c r="CE731" s="71"/>
      <c r="CF731" s="71"/>
      <c r="CG731" s="71"/>
      <c r="CH731" s="71"/>
      <c r="CI731" s="71"/>
      <c r="CJ731" s="71"/>
      <c r="CK731" s="71"/>
      <c r="CL731" s="71"/>
      <c r="CM731" s="71"/>
      <c r="CN731" s="71"/>
      <c r="CO731" s="71"/>
      <c r="CP731" s="71"/>
      <c r="CQ731" s="71"/>
      <c r="CR731" s="71"/>
      <c r="CS731" s="71"/>
      <c r="CT731" s="71"/>
      <c r="CU731" s="71"/>
      <c r="CV731" s="71"/>
      <c r="CW731" s="71"/>
      <c r="CX731" s="71"/>
      <c r="CY731" s="71"/>
      <c r="CZ731" s="71"/>
      <c r="DA731" s="71"/>
      <c r="DB731" s="71"/>
      <c r="DC731" s="71"/>
      <c r="DD731" s="71"/>
      <c r="DE731" s="71"/>
      <c r="DF731" s="71"/>
      <c r="DG731" s="71"/>
      <c r="DH731" s="71"/>
      <c r="DI731" s="71"/>
      <c r="DJ731" s="71"/>
      <c r="DK731" s="71"/>
      <c r="DL731" s="71"/>
      <c r="DM731" s="71"/>
      <c r="DN731" s="71"/>
      <c r="DO731" s="71"/>
      <c r="DP731" s="71"/>
      <c r="DQ731" s="71"/>
      <c r="DR731" s="71"/>
      <c r="DS731" s="71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  <c r="IJ731" s="71"/>
      <c r="IK731" s="71"/>
      <c r="IL731" s="71"/>
      <c r="IM731" s="71"/>
      <c r="IN731" s="71"/>
      <c r="IO731" s="71"/>
      <c r="IP731" s="71"/>
      <c r="IQ731" s="71"/>
      <c r="IR731" s="71"/>
      <c r="IS731" s="71"/>
      <c r="IT731" s="71"/>
      <c r="IU731" s="71"/>
      <c r="IV731" s="71"/>
      <c r="IW731" s="71"/>
    </row>
    <row r="732" customFormat="false" ht="12.75" hidden="false" customHeight="false" outlineLevel="0" collapsed="false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/>
      <c r="BX732" s="71"/>
      <c r="BY732" s="71"/>
      <c r="BZ732" s="71"/>
      <c r="CA732" s="71"/>
      <c r="CB732" s="71"/>
      <c r="CC732" s="71"/>
      <c r="CD732" s="71"/>
      <c r="CE732" s="71"/>
      <c r="CF732" s="71"/>
      <c r="CG732" s="71"/>
      <c r="CH732" s="71"/>
      <c r="CI732" s="71"/>
      <c r="CJ732" s="71"/>
      <c r="CK732" s="71"/>
      <c r="CL732" s="71"/>
      <c r="CM732" s="71"/>
      <c r="CN732" s="71"/>
      <c r="CO732" s="71"/>
      <c r="CP732" s="71"/>
      <c r="CQ732" s="71"/>
      <c r="CR732" s="71"/>
      <c r="CS732" s="71"/>
      <c r="CT732" s="71"/>
      <c r="CU732" s="71"/>
      <c r="CV732" s="71"/>
      <c r="CW732" s="71"/>
      <c r="CX732" s="71"/>
      <c r="CY732" s="71"/>
      <c r="CZ732" s="71"/>
      <c r="DA732" s="71"/>
      <c r="DB732" s="71"/>
      <c r="DC732" s="71"/>
      <c r="DD732" s="71"/>
      <c r="DE732" s="71"/>
      <c r="DF732" s="71"/>
      <c r="DG732" s="71"/>
      <c r="DH732" s="71"/>
      <c r="DI732" s="71"/>
      <c r="DJ732" s="71"/>
      <c r="DK732" s="71"/>
      <c r="DL732" s="71"/>
      <c r="DM732" s="71"/>
      <c r="DN732" s="71"/>
      <c r="DO732" s="71"/>
      <c r="DP732" s="71"/>
      <c r="DQ732" s="71"/>
      <c r="DR732" s="71"/>
      <c r="DS732" s="71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  <c r="IJ732" s="71"/>
      <c r="IK732" s="71"/>
      <c r="IL732" s="71"/>
      <c r="IM732" s="71"/>
      <c r="IN732" s="71"/>
      <c r="IO732" s="71"/>
      <c r="IP732" s="71"/>
      <c r="IQ732" s="71"/>
      <c r="IR732" s="71"/>
      <c r="IS732" s="71"/>
      <c r="IT732" s="71"/>
      <c r="IU732" s="71"/>
      <c r="IV732" s="71"/>
      <c r="IW732" s="71"/>
    </row>
    <row r="733" customFormat="false" ht="12.75" hidden="false" customHeight="false" outlineLevel="0" collapsed="false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/>
      <c r="BX733" s="71"/>
      <c r="BY733" s="71"/>
      <c r="BZ733" s="71"/>
      <c r="CA733" s="71"/>
      <c r="CB733" s="71"/>
      <c r="CC733" s="71"/>
      <c r="CD733" s="71"/>
      <c r="CE733" s="71"/>
      <c r="CF733" s="71"/>
      <c r="CG733" s="71"/>
      <c r="CH733" s="71"/>
      <c r="CI733" s="71"/>
      <c r="CJ733" s="71"/>
      <c r="CK733" s="71"/>
      <c r="CL733" s="71"/>
      <c r="CM733" s="71"/>
      <c r="CN733" s="71"/>
      <c r="CO733" s="71"/>
      <c r="CP733" s="71"/>
      <c r="CQ733" s="71"/>
      <c r="CR733" s="71"/>
      <c r="CS733" s="71"/>
      <c r="CT733" s="71"/>
      <c r="CU733" s="71"/>
      <c r="CV733" s="71"/>
      <c r="CW733" s="71"/>
      <c r="CX733" s="71"/>
      <c r="CY733" s="71"/>
      <c r="CZ733" s="71"/>
      <c r="DA733" s="71"/>
      <c r="DB733" s="71"/>
      <c r="DC733" s="71"/>
      <c r="DD733" s="71"/>
      <c r="DE733" s="71"/>
      <c r="DF733" s="71"/>
      <c r="DG733" s="71"/>
      <c r="DH733" s="71"/>
      <c r="DI733" s="71"/>
      <c r="DJ733" s="71"/>
      <c r="DK733" s="71"/>
      <c r="DL733" s="71"/>
      <c r="DM733" s="71"/>
      <c r="DN733" s="71"/>
      <c r="DO733" s="71"/>
      <c r="DP733" s="71"/>
      <c r="DQ733" s="71"/>
      <c r="DR733" s="71"/>
      <c r="DS733" s="71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  <c r="IJ733" s="71"/>
      <c r="IK733" s="71"/>
      <c r="IL733" s="71"/>
      <c r="IM733" s="71"/>
      <c r="IN733" s="71"/>
      <c r="IO733" s="71"/>
      <c r="IP733" s="71"/>
      <c r="IQ733" s="71"/>
      <c r="IR733" s="71"/>
      <c r="IS733" s="71"/>
      <c r="IT733" s="71"/>
      <c r="IU733" s="71"/>
      <c r="IV733" s="71"/>
      <c r="IW733" s="71"/>
    </row>
    <row r="734" customFormat="false" ht="12.75" hidden="false" customHeight="false" outlineLevel="0" collapsed="false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  <c r="CE734" s="71"/>
      <c r="CF734" s="71"/>
      <c r="CG734" s="71"/>
      <c r="CH734" s="71"/>
      <c r="CI734" s="71"/>
      <c r="CJ734" s="71"/>
      <c r="CK734" s="71"/>
      <c r="CL734" s="71"/>
      <c r="CM734" s="71"/>
      <c r="CN734" s="71"/>
      <c r="CO734" s="71"/>
      <c r="CP734" s="71"/>
      <c r="CQ734" s="71"/>
      <c r="CR734" s="71"/>
      <c r="CS734" s="71"/>
      <c r="CT734" s="71"/>
      <c r="CU734" s="71"/>
      <c r="CV734" s="71"/>
      <c r="CW734" s="71"/>
      <c r="CX734" s="71"/>
      <c r="CY734" s="71"/>
      <c r="CZ734" s="71"/>
      <c r="DA734" s="71"/>
      <c r="DB734" s="71"/>
      <c r="DC734" s="71"/>
      <c r="DD734" s="71"/>
      <c r="DE734" s="71"/>
      <c r="DF734" s="71"/>
      <c r="DG734" s="71"/>
      <c r="DH734" s="71"/>
      <c r="DI734" s="71"/>
      <c r="DJ734" s="71"/>
      <c r="DK734" s="71"/>
      <c r="DL734" s="71"/>
      <c r="DM734" s="71"/>
      <c r="DN734" s="71"/>
      <c r="DO734" s="71"/>
      <c r="DP734" s="71"/>
      <c r="DQ734" s="71"/>
      <c r="DR734" s="71"/>
      <c r="DS734" s="71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  <c r="IJ734" s="71"/>
      <c r="IK734" s="71"/>
      <c r="IL734" s="71"/>
      <c r="IM734" s="71"/>
      <c r="IN734" s="71"/>
      <c r="IO734" s="71"/>
      <c r="IP734" s="71"/>
      <c r="IQ734" s="71"/>
      <c r="IR734" s="71"/>
      <c r="IS734" s="71"/>
      <c r="IT734" s="71"/>
      <c r="IU734" s="71"/>
      <c r="IV734" s="71"/>
      <c r="IW734" s="71"/>
    </row>
    <row r="735" customFormat="false" ht="12.75" hidden="false" customHeight="false" outlineLevel="0" collapsed="false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/>
      <c r="BX735" s="71"/>
      <c r="BY735" s="71"/>
      <c r="BZ735" s="71"/>
      <c r="CA735" s="71"/>
      <c r="CB735" s="71"/>
      <c r="CC735" s="71"/>
      <c r="CD735" s="71"/>
      <c r="CE735" s="71"/>
      <c r="CF735" s="71"/>
      <c r="CG735" s="71"/>
      <c r="CH735" s="71"/>
      <c r="CI735" s="71"/>
      <c r="CJ735" s="71"/>
      <c r="CK735" s="71"/>
      <c r="CL735" s="71"/>
      <c r="CM735" s="71"/>
      <c r="CN735" s="71"/>
      <c r="CO735" s="71"/>
      <c r="CP735" s="71"/>
      <c r="CQ735" s="71"/>
      <c r="CR735" s="71"/>
      <c r="CS735" s="71"/>
      <c r="CT735" s="71"/>
      <c r="CU735" s="71"/>
      <c r="CV735" s="71"/>
      <c r="CW735" s="71"/>
      <c r="CX735" s="71"/>
      <c r="CY735" s="71"/>
      <c r="CZ735" s="71"/>
      <c r="DA735" s="71"/>
      <c r="DB735" s="71"/>
      <c r="DC735" s="71"/>
      <c r="DD735" s="71"/>
      <c r="DE735" s="71"/>
      <c r="DF735" s="71"/>
      <c r="DG735" s="71"/>
      <c r="DH735" s="71"/>
      <c r="DI735" s="71"/>
      <c r="DJ735" s="71"/>
      <c r="DK735" s="71"/>
      <c r="DL735" s="71"/>
      <c r="DM735" s="71"/>
      <c r="DN735" s="71"/>
      <c r="DO735" s="71"/>
      <c r="DP735" s="71"/>
      <c r="DQ735" s="71"/>
      <c r="DR735" s="71"/>
      <c r="DS735" s="71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  <c r="IJ735" s="71"/>
      <c r="IK735" s="71"/>
      <c r="IL735" s="71"/>
      <c r="IM735" s="71"/>
      <c r="IN735" s="71"/>
      <c r="IO735" s="71"/>
      <c r="IP735" s="71"/>
      <c r="IQ735" s="71"/>
      <c r="IR735" s="71"/>
      <c r="IS735" s="71"/>
      <c r="IT735" s="71"/>
      <c r="IU735" s="71"/>
      <c r="IV735" s="71"/>
      <c r="IW735" s="71"/>
    </row>
    <row r="736" customFormat="false" ht="12.75" hidden="false" customHeight="false" outlineLevel="0" collapsed="false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  <c r="CE736" s="71"/>
      <c r="CF736" s="71"/>
      <c r="CG736" s="71"/>
      <c r="CH736" s="71"/>
      <c r="CI736" s="71"/>
      <c r="CJ736" s="71"/>
      <c r="CK736" s="71"/>
      <c r="CL736" s="71"/>
      <c r="CM736" s="71"/>
      <c r="CN736" s="71"/>
      <c r="CO736" s="71"/>
      <c r="CP736" s="71"/>
      <c r="CQ736" s="71"/>
      <c r="CR736" s="71"/>
      <c r="CS736" s="71"/>
      <c r="CT736" s="71"/>
      <c r="CU736" s="71"/>
      <c r="CV736" s="71"/>
      <c r="CW736" s="71"/>
      <c r="CX736" s="71"/>
      <c r="CY736" s="71"/>
      <c r="CZ736" s="71"/>
      <c r="DA736" s="71"/>
      <c r="DB736" s="71"/>
      <c r="DC736" s="71"/>
      <c r="DD736" s="71"/>
      <c r="DE736" s="71"/>
      <c r="DF736" s="71"/>
      <c r="DG736" s="71"/>
      <c r="DH736" s="71"/>
      <c r="DI736" s="71"/>
      <c r="DJ736" s="71"/>
      <c r="DK736" s="71"/>
      <c r="DL736" s="71"/>
      <c r="DM736" s="71"/>
      <c r="DN736" s="71"/>
      <c r="DO736" s="71"/>
      <c r="DP736" s="71"/>
      <c r="DQ736" s="71"/>
      <c r="DR736" s="71"/>
      <c r="DS736" s="71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  <c r="IJ736" s="71"/>
      <c r="IK736" s="71"/>
      <c r="IL736" s="71"/>
      <c r="IM736" s="71"/>
      <c r="IN736" s="71"/>
      <c r="IO736" s="71"/>
      <c r="IP736" s="71"/>
      <c r="IQ736" s="71"/>
      <c r="IR736" s="71"/>
      <c r="IS736" s="71"/>
      <c r="IT736" s="71"/>
      <c r="IU736" s="71"/>
      <c r="IV736" s="71"/>
      <c r="IW736" s="71"/>
    </row>
    <row r="737" customFormat="false" ht="12.75" hidden="false" customHeight="false" outlineLevel="0" collapsed="false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  <c r="CE737" s="71"/>
      <c r="CF737" s="71"/>
      <c r="CG737" s="71"/>
      <c r="CH737" s="71"/>
      <c r="CI737" s="71"/>
      <c r="CJ737" s="71"/>
      <c r="CK737" s="71"/>
      <c r="CL737" s="71"/>
      <c r="CM737" s="71"/>
      <c r="CN737" s="71"/>
      <c r="CO737" s="71"/>
      <c r="CP737" s="71"/>
      <c r="CQ737" s="71"/>
      <c r="CR737" s="71"/>
      <c r="CS737" s="71"/>
      <c r="CT737" s="71"/>
      <c r="CU737" s="71"/>
      <c r="CV737" s="71"/>
      <c r="CW737" s="71"/>
      <c r="CX737" s="71"/>
      <c r="CY737" s="71"/>
      <c r="CZ737" s="71"/>
      <c r="DA737" s="71"/>
      <c r="DB737" s="71"/>
      <c r="DC737" s="71"/>
      <c r="DD737" s="71"/>
      <c r="DE737" s="71"/>
      <c r="DF737" s="71"/>
      <c r="DG737" s="71"/>
      <c r="DH737" s="71"/>
      <c r="DI737" s="71"/>
      <c r="DJ737" s="71"/>
      <c r="DK737" s="71"/>
      <c r="DL737" s="71"/>
      <c r="DM737" s="71"/>
      <c r="DN737" s="71"/>
      <c r="DO737" s="71"/>
      <c r="DP737" s="71"/>
      <c r="DQ737" s="71"/>
      <c r="DR737" s="71"/>
      <c r="DS737" s="71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  <c r="IJ737" s="71"/>
      <c r="IK737" s="71"/>
      <c r="IL737" s="71"/>
      <c r="IM737" s="71"/>
      <c r="IN737" s="71"/>
      <c r="IO737" s="71"/>
      <c r="IP737" s="71"/>
      <c r="IQ737" s="71"/>
      <c r="IR737" s="71"/>
      <c r="IS737" s="71"/>
      <c r="IT737" s="71"/>
      <c r="IU737" s="71"/>
      <c r="IV737" s="71"/>
      <c r="IW737" s="71"/>
    </row>
    <row r="738" customFormat="false" ht="12.75" hidden="false" customHeight="false" outlineLevel="0" collapsed="false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/>
      <c r="BX738" s="71"/>
      <c r="BY738" s="71"/>
      <c r="BZ738" s="71"/>
      <c r="CA738" s="71"/>
      <c r="CB738" s="71"/>
      <c r="CC738" s="71"/>
      <c r="CD738" s="71"/>
      <c r="CE738" s="71"/>
      <c r="CF738" s="71"/>
      <c r="CG738" s="71"/>
      <c r="CH738" s="71"/>
      <c r="CI738" s="71"/>
      <c r="CJ738" s="71"/>
      <c r="CK738" s="71"/>
      <c r="CL738" s="71"/>
      <c r="CM738" s="71"/>
      <c r="CN738" s="71"/>
      <c r="CO738" s="71"/>
      <c r="CP738" s="71"/>
      <c r="CQ738" s="71"/>
      <c r="CR738" s="71"/>
      <c r="CS738" s="71"/>
      <c r="CT738" s="71"/>
      <c r="CU738" s="71"/>
      <c r="CV738" s="71"/>
      <c r="CW738" s="71"/>
      <c r="CX738" s="71"/>
      <c r="CY738" s="71"/>
      <c r="CZ738" s="71"/>
      <c r="DA738" s="71"/>
      <c r="DB738" s="71"/>
      <c r="DC738" s="71"/>
      <c r="DD738" s="71"/>
      <c r="DE738" s="71"/>
      <c r="DF738" s="71"/>
      <c r="DG738" s="71"/>
      <c r="DH738" s="71"/>
      <c r="DI738" s="71"/>
      <c r="DJ738" s="71"/>
      <c r="DK738" s="71"/>
      <c r="DL738" s="71"/>
      <c r="DM738" s="71"/>
      <c r="DN738" s="71"/>
      <c r="DO738" s="71"/>
      <c r="DP738" s="71"/>
      <c r="DQ738" s="71"/>
      <c r="DR738" s="71"/>
      <c r="DS738" s="71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  <c r="IJ738" s="71"/>
      <c r="IK738" s="71"/>
      <c r="IL738" s="71"/>
      <c r="IM738" s="71"/>
      <c r="IN738" s="71"/>
      <c r="IO738" s="71"/>
      <c r="IP738" s="71"/>
      <c r="IQ738" s="71"/>
      <c r="IR738" s="71"/>
      <c r="IS738" s="71"/>
      <c r="IT738" s="71"/>
      <c r="IU738" s="71"/>
      <c r="IV738" s="71"/>
      <c r="IW738" s="71"/>
    </row>
    <row r="739" customFormat="false" ht="12.75" hidden="false" customHeight="false" outlineLevel="0" collapsed="false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/>
      <c r="CE739" s="71"/>
      <c r="CF739" s="71"/>
      <c r="CG739" s="71"/>
      <c r="CH739" s="71"/>
      <c r="CI739" s="71"/>
      <c r="CJ739" s="71"/>
      <c r="CK739" s="71"/>
      <c r="CL739" s="71"/>
      <c r="CM739" s="71"/>
      <c r="CN739" s="71"/>
      <c r="CO739" s="71"/>
      <c r="CP739" s="71"/>
      <c r="CQ739" s="71"/>
      <c r="CR739" s="71"/>
      <c r="CS739" s="71"/>
      <c r="CT739" s="71"/>
      <c r="CU739" s="71"/>
      <c r="CV739" s="71"/>
      <c r="CW739" s="71"/>
      <c r="CX739" s="71"/>
      <c r="CY739" s="71"/>
      <c r="CZ739" s="71"/>
      <c r="DA739" s="71"/>
      <c r="DB739" s="71"/>
      <c r="DC739" s="71"/>
      <c r="DD739" s="71"/>
      <c r="DE739" s="71"/>
      <c r="DF739" s="71"/>
      <c r="DG739" s="71"/>
      <c r="DH739" s="71"/>
      <c r="DI739" s="71"/>
      <c r="DJ739" s="71"/>
      <c r="DK739" s="71"/>
      <c r="DL739" s="71"/>
      <c r="DM739" s="71"/>
      <c r="DN739" s="71"/>
      <c r="DO739" s="71"/>
      <c r="DP739" s="71"/>
      <c r="DQ739" s="71"/>
      <c r="DR739" s="71"/>
      <c r="DS739" s="71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  <c r="IJ739" s="71"/>
      <c r="IK739" s="71"/>
      <c r="IL739" s="71"/>
      <c r="IM739" s="71"/>
      <c r="IN739" s="71"/>
      <c r="IO739" s="71"/>
      <c r="IP739" s="71"/>
      <c r="IQ739" s="71"/>
      <c r="IR739" s="71"/>
      <c r="IS739" s="71"/>
      <c r="IT739" s="71"/>
      <c r="IU739" s="71"/>
      <c r="IV739" s="71"/>
      <c r="IW739" s="71"/>
    </row>
    <row r="740" customFormat="false" ht="12.75" hidden="false" customHeight="false" outlineLevel="0" collapsed="false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/>
      <c r="BV740" s="71"/>
      <c r="BW740" s="71"/>
      <c r="BX740" s="71"/>
      <c r="BY740" s="71"/>
      <c r="BZ740" s="71"/>
      <c r="CA740" s="71"/>
      <c r="CB740" s="71"/>
      <c r="CC740" s="71"/>
      <c r="CD740" s="71"/>
      <c r="CE740" s="71"/>
      <c r="CF740" s="71"/>
      <c r="CG740" s="71"/>
      <c r="CH740" s="71"/>
      <c r="CI740" s="71"/>
      <c r="CJ740" s="71"/>
      <c r="CK740" s="71"/>
      <c r="CL740" s="71"/>
      <c r="CM740" s="71"/>
      <c r="CN740" s="71"/>
      <c r="CO740" s="71"/>
      <c r="CP740" s="71"/>
      <c r="CQ740" s="71"/>
      <c r="CR740" s="71"/>
      <c r="CS740" s="71"/>
      <c r="CT740" s="71"/>
      <c r="CU740" s="71"/>
      <c r="CV740" s="71"/>
      <c r="CW740" s="71"/>
      <c r="CX740" s="71"/>
      <c r="CY740" s="71"/>
      <c r="CZ740" s="71"/>
      <c r="DA740" s="71"/>
      <c r="DB740" s="71"/>
      <c r="DC740" s="71"/>
      <c r="DD740" s="71"/>
      <c r="DE740" s="71"/>
      <c r="DF740" s="71"/>
      <c r="DG740" s="71"/>
      <c r="DH740" s="71"/>
      <c r="DI740" s="71"/>
      <c r="DJ740" s="71"/>
      <c r="DK740" s="71"/>
      <c r="DL740" s="71"/>
      <c r="DM740" s="71"/>
      <c r="DN740" s="71"/>
      <c r="DO740" s="71"/>
      <c r="DP740" s="71"/>
      <c r="DQ740" s="71"/>
      <c r="DR740" s="71"/>
      <c r="DS740" s="71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  <c r="IJ740" s="71"/>
      <c r="IK740" s="71"/>
      <c r="IL740" s="71"/>
      <c r="IM740" s="71"/>
      <c r="IN740" s="71"/>
      <c r="IO740" s="71"/>
      <c r="IP740" s="71"/>
      <c r="IQ740" s="71"/>
      <c r="IR740" s="71"/>
      <c r="IS740" s="71"/>
      <c r="IT740" s="71"/>
      <c r="IU740" s="71"/>
      <c r="IV740" s="71"/>
      <c r="IW740" s="71"/>
    </row>
    <row r="741" customFormat="false" ht="12.75" hidden="false" customHeight="false" outlineLevel="0" collapsed="false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1"/>
      <c r="CC741" s="71"/>
      <c r="CD741" s="71"/>
      <c r="CE741" s="71"/>
      <c r="CF741" s="71"/>
      <c r="CG741" s="71"/>
      <c r="CH741" s="71"/>
      <c r="CI741" s="71"/>
      <c r="CJ741" s="71"/>
      <c r="CK741" s="71"/>
      <c r="CL741" s="71"/>
      <c r="CM741" s="71"/>
      <c r="CN741" s="71"/>
      <c r="CO741" s="71"/>
      <c r="CP741" s="71"/>
      <c r="CQ741" s="71"/>
      <c r="CR741" s="71"/>
      <c r="CS741" s="71"/>
      <c r="CT741" s="71"/>
      <c r="CU741" s="71"/>
      <c r="CV741" s="71"/>
      <c r="CW741" s="71"/>
      <c r="CX741" s="71"/>
      <c r="CY741" s="71"/>
      <c r="CZ741" s="71"/>
      <c r="DA741" s="71"/>
      <c r="DB741" s="71"/>
      <c r="DC741" s="71"/>
      <c r="DD741" s="71"/>
      <c r="DE741" s="71"/>
      <c r="DF741" s="71"/>
      <c r="DG741" s="71"/>
      <c r="DH741" s="71"/>
      <c r="DI741" s="71"/>
      <c r="DJ741" s="71"/>
      <c r="DK741" s="71"/>
      <c r="DL741" s="71"/>
      <c r="DM741" s="71"/>
      <c r="DN741" s="71"/>
      <c r="DO741" s="71"/>
      <c r="DP741" s="71"/>
      <c r="DQ741" s="71"/>
      <c r="DR741" s="71"/>
      <c r="DS741" s="71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  <c r="IJ741" s="71"/>
      <c r="IK741" s="71"/>
      <c r="IL741" s="71"/>
      <c r="IM741" s="71"/>
      <c r="IN741" s="71"/>
      <c r="IO741" s="71"/>
      <c r="IP741" s="71"/>
      <c r="IQ741" s="71"/>
      <c r="IR741" s="71"/>
      <c r="IS741" s="71"/>
      <c r="IT741" s="71"/>
      <c r="IU741" s="71"/>
      <c r="IV741" s="71"/>
      <c r="IW741" s="71"/>
    </row>
    <row r="742" customFormat="false" ht="12.75" hidden="false" customHeight="false" outlineLevel="0" collapsed="false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71"/>
      <c r="CE742" s="71"/>
      <c r="CF742" s="71"/>
      <c r="CG742" s="71"/>
      <c r="CH742" s="71"/>
      <c r="CI742" s="71"/>
      <c r="CJ742" s="71"/>
      <c r="CK742" s="71"/>
      <c r="CL742" s="71"/>
      <c r="CM742" s="71"/>
      <c r="CN742" s="71"/>
      <c r="CO742" s="71"/>
      <c r="CP742" s="71"/>
      <c r="CQ742" s="71"/>
      <c r="CR742" s="71"/>
      <c r="CS742" s="71"/>
      <c r="CT742" s="71"/>
      <c r="CU742" s="71"/>
      <c r="CV742" s="71"/>
      <c r="CW742" s="71"/>
      <c r="CX742" s="71"/>
      <c r="CY742" s="71"/>
      <c r="CZ742" s="71"/>
      <c r="DA742" s="71"/>
      <c r="DB742" s="71"/>
      <c r="DC742" s="71"/>
      <c r="DD742" s="71"/>
      <c r="DE742" s="71"/>
      <c r="DF742" s="71"/>
      <c r="DG742" s="71"/>
      <c r="DH742" s="71"/>
      <c r="DI742" s="71"/>
      <c r="DJ742" s="71"/>
      <c r="DK742" s="71"/>
      <c r="DL742" s="71"/>
      <c r="DM742" s="71"/>
      <c r="DN742" s="71"/>
      <c r="DO742" s="71"/>
      <c r="DP742" s="71"/>
      <c r="DQ742" s="71"/>
      <c r="DR742" s="71"/>
      <c r="DS742" s="71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  <c r="IJ742" s="71"/>
      <c r="IK742" s="71"/>
      <c r="IL742" s="71"/>
      <c r="IM742" s="71"/>
      <c r="IN742" s="71"/>
      <c r="IO742" s="71"/>
      <c r="IP742" s="71"/>
      <c r="IQ742" s="71"/>
      <c r="IR742" s="71"/>
      <c r="IS742" s="71"/>
      <c r="IT742" s="71"/>
      <c r="IU742" s="71"/>
      <c r="IV742" s="71"/>
      <c r="IW742" s="71"/>
    </row>
    <row r="743" customFormat="false" ht="12.75" hidden="false" customHeight="false" outlineLevel="0" collapsed="false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1"/>
      <c r="CB743" s="71"/>
      <c r="CC743" s="71"/>
      <c r="CD743" s="71"/>
      <c r="CE743" s="71"/>
      <c r="CF743" s="71"/>
      <c r="CG743" s="71"/>
      <c r="CH743" s="71"/>
      <c r="CI743" s="71"/>
      <c r="CJ743" s="71"/>
      <c r="CK743" s="71"/>
      <c r="CL743" s="71"/>
      <c r="CM743" s="71"/>
      <c r="CN743" s="71"/>
      <c r="CO743" s="71"/>
      <c r="CP743" s="71"/>
      <c r="CQ743" s="71"/>
      <c r="CR743" s="71"/>
      <c r="CS743" s="71"/>
      <c r="CT743" s="71"/>
      <c r="CU743" s="71"/>
      <c r="CV743" s="71"/>
      <c r="CW743" s="71"/>
      <c r="CX743" s="71"/>
      <c r="CY743" s="71"/>
      <c r="CZ743" s="71"/>
      <c r="DA743" s="71"/>
      <c r="DB743" s="71"/>
      <c r="DC743" s="71"/>
      <c r="DD743" s="71"/>
      <c r="DE743" s="71"/>
      <c r="DF743" s="71"/>
      <c r="DG743" s="71"/>
      <c r="DH743" s="71"/>
      <c r="DI743" s="71"/>
      <c r="DJ743" s="71"/>
      <c r="DK743" s="71"/>
      <c r="DL743" s="71"/>
      <c r="DM743" s="71"/>
      <c r="DN743" s="71"/>
      <c r="DO743" s="71"/>
      <c r="DP743" s="71"/>
      <c r="DQ743" s="71"/>
      <c r="DR743" s="71"/>
      <c r="DS743" s="71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  <c r="IJ743" s="71"/>
      <c r="IK743" s="71"/>
      <c r="IL743" s="71"/>
      <c r="IM743" s="71"/>
      <c r="IN743" s="71"/>
      <c r="IO743" s="71"/>
      <c r="IP743" s="71"/>
      <c r="IQ743" s="71"/>
      <c r="IR743" s="71"/>
      <c r="IS743" s="71"/>
      <c r="IT743" s="71"/>
      <c r="IU743" s="71"/>
      <c r="IV743" s="71"/>
      <c r="IW743" s="71"/>
    </row>
    <row r="744" customFormat="false" ht="12.75" hidden="false" customHeight="false" outlineLevel="0" collapsed="false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1"/>
      <c r="CB744" s="71"/>
      <c r="CC744" s="71"/>
      <c r="CD744" s="71"/>
      <c r="CE744" s="71"/>
      <c r="CF744" s="71"/>
      <c r="CG744" s="71"/>
      <c r="CH744" s="71"/>
      <c r="CI744" s="71"/>
      <c r="CJ744" s="71"/>
      <c r="CK744" s="71"/>
      <c r="CL744" s="71"/>
      <c r="CM744" s="71"/>
      <c r="CN744" s="71"/>
      <c r="CO744" s="71"/>
      <c r="CP744" s="71"/>
      <c r="CQ744" s="71"/>
      <c r="CR744" s="71"/>
      <c r="CS744" s="71"/>
      <c r="CT744" s="71"/>
      <c r="CU744" s="71"/>
      <c r="CV744" s="71"/>
      <c r="CW744" s="71"/>
      <c r="CX744" s="71"/>
      <c r="CY744" s="71"/>
      <c r="CZ744" s="71"/>
      <c r="DA744" s="71"/>
      <c r="DB744" s="71"/>
      <c r="DC744" s="71"/>
      <c r="DD744" s="71"/>
      <c r="DE744" s="71"/>
      <c r="DF744" s="71"/>
      <c r="DG744" s="71"/>
      <c r="DH744" s="71"/>
      <c r="DI744" s="71"/>
      <c r="DJ744" s="71"/>
      <c r="DK744" s="71"/>
      <c r="DL744" s="71"/>
      <c r="DM744" s="71"/>
      <c r="DN744" s="71"/>
      <c r="DO744" s="71"/>
      <c r="DP744" s="71"/>
      <c r="DQ744" s="71"/>
      <c r="DR744" s="71"/>
      <c r="DS744" s="71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  <c r="IJ744" s="71"/>
      <c r="IK744" s="71"/>
      <c r="IL744" s="71"/>
      <c r="IM744" s="71"/>
      <c r="IN744" s="71"/>
      <c r="IO744" s="71"/>
      <c r="IP744" s="71"/>
      <c r="IQ744" s="71"/>
      <c r="IR744" s="71"/>
      <c r="IS744" s="71"/>
      <c r="IT744" s="71"/>
      <c r="IU744" s="71"/>
      <c r="IV744" s="71"/>
      <c r="IW744" s="71"/>
    </row>
    <row r="745" customFormat="false" ht="12.75" hidden="false" customHeight="false" outlineLevel="0" collapsed="false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  <c r="CE745" s="71"/>
      <c r="CF745" s="71"/>
      <c r="CG745" s="71"/>
      <c r="CH745" s="71"/>
      <c r="CI745" s="71"/>
      <c r="CJ745" s="71"/>
      <c r="CK745" s="71"/>
      <c r="CL745" s="71"/>
      <c r="CM745" s="71"/>
      <c r="CN745" s="71"/>
      <c r="CO745" s="71"/>
      <c r="CP745" s="71"/>
      <c r="CQ745" s="71"/>
      <c r="CR745" s="71"/>
      <c r="CS745" s="71"/>
      <c r="CT745" s="71"/>
      <c r="CU745" s="71"/>
      <c r="CV745" s="71"/>
      <c r="CW745" s="71"/>
      <c r="CX745" s="71"/>
      <c r="CY745" s="71"/>
      <c r="CZ745" s="71"/>
      <c r="DA745" s="71"/>
      <c r="DB745" s="71"/>
      <c r="DC745" s="71"/>
      <c r="DD745" s="71"/>
      <c r="DE745" s="71"/>
      <c r="DF745" s="71"/>
      <c r="DG745" s="71"/>
      <c r="DH745" s="71"/>
      <c r="DI745" s="71"/>
      <c r="DJ745" s="71"/>
      <c r="DK745" s="71"/>
      <c r="DL745" s="71"/>
      <c r="DM745" s="71"/>
      <c r="DN745" s="71"/>
      <c r="DO745" s="71"/>
      <c r="DP745" s="71"/>
      <c r="DQ745" s="71"/>
      <c r="DR745" s="71"/>
      <c r="DS745" s="71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  <c r="IJ745" s="71"/>
      <c r="IK745" s="71"/>
      <c r="IL745" s="71"/>
      <c r="IM745" s="71"/>
      <c r="IN745" s="71"/>
      <c r="IO745" s="71"/>
      <c r="IP745" s="71"/>
      <c r="IQ745" s="71"/>
      <c r="IR745" s="71"/>
      <c r="IS745" s="71"/>
      <c r="IT745" s="71"/>
      <c r="IU745" s="71"/>
      <c r="IV745" s="71"/>
      <c r="IW745" s="71"/>
    </row>
    <row r="746" customFormat="false" ht="12.75" hidden="false" customHeight="false" outlineLevel="0" collapsed="false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  <c r="CE746" s="71"/>
      <c r="CF746" s="71"/>
      <c r="CG746" s="71"/>
      <c r="CH746" s="71"/>
      <c r="CI746" s="71"/>
      <c r="CJ746" s="71"/>
      <c r="CK746" s="71"/>
      <c r="CL746" s="71"/>
      <c r="CM746" s="71"/>
      <c r="CN746" s="71"/>
      <c r="CO746" s="71"/>
      <c r="CP746" s="71"/>
      <c r="CQ746" s="71"/>
      <c r="CR746" s="71"/>
      <c r="CS746" s="71"/>
      <c r="CT746" s="71"/>
      <c r="CU746" s="71"/>
      <c r="CV746" s="71"/>
      <c r="CW746" s="71"/>
      <c r="CX746" s="71"/>
      <c r="CY746" s="71"/>
      <c r="CZ746" s="71"/>
      <c r="DA746" s="71"/>
      <c r="DB746" s="71"/>
      <c r="DC746" s="71"/>
      <c r="DD746" s="71"/>
      <c r="DE746" s="71"/>
      <c r="DF746" s="71"/>
      <c r="DG746" s="71"/>
      <c r="DH746" s="71"/>
      <c r="DI746" s="71"/>
      <c r="DJ746" s="71"/>
      <c r="DK746" s="71"/>
      <c r="DL746" s="71"/>
      <c r="DM746" s="71"/>
      <c r="DN746" s="71"/>
      <c r="DO746" s="71"/>
      <c r="DP746" s="71"/>
      <c r="DQ746" s="71"/>
      <c r="DR746" s="71"/>
      <c r="DS746" s="71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  <c r="IJ746" s="71"/>
      <c r="IK746" s="71"/>
      <c r="IL746" s="71"/>
      <c r="IM746" s="71"/>
      <c r="IN746" s="71"/>
      <c r="IO746" s="71"/>
      <c r="IP746" s="71"/>
      <c r="IQ746" s="71"/>
      <c r="IR746" s="71"/>
      <c r="IS746" s="71"/>
      <c r="IT746" s="71"/>
      <c r="IU746" s="71"/>
      <c r="IV746" s="71"/>
      <c r="IW746" s="71"/>
    </row>
    <row r="747" customFormat="false" ht="12.75" hidden="false" customHeight="false" outlineLevel="0" collapsed="false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/>
      <c r="CE747" s="71"/>
      <c r="CF747" s="71"/>
      <c r="CG747" s="71"/>
      <c r="CH747" s="71"/>
      <c r="CI747" s="71"/>
      <c r="CJ747" s="71"/>
      <c r="CK747" s="71"/>
      <c r="CL747" s="71"/>
      <c r="CM747" s="71"/>
      <c r="CN747" s="71"/>
      <c r="CO747" s="71"/>
      <c r="CP747" s="71"/>
      <c r="CQ747" s="71"/>
      <c r="CR747" s="71"/>
      <c r="CS747" s="71"/>
      <c r="CT747" s="71"/>
      <c r="CU747" s="71"/>
      <c r="CV747" s="71"/>
      <c r="CW747" s="71"/>
      <c r="CX747" s="71"/>
      <c r="CY747" s="71"/>
      <c r="CZ747" s="71"/>
      <c r="DA747" s="71"/>
      <c r="DB747" s="71"/>
      <c r="DC747" s="71"/>
      <c r="DD747" s="71"/>
      <c r="DE747" s="71"/>
      <c r="DF747" s="71"/>
      <c r="DG747" s="71"/>
      <c r="DH747" s="71"/>
      <c r="DI747" s="71"/>
      <c r="DJ747" s="71"/>
      <c r="DK747" s="71"/>
      <c r="DL747" s="71"/>
      <c r="DM747" s="71"/>
      <c r="DN747" s="71"/>
      <c r="DO747" s="71"/>
      <c r="DP747" s="71"/>
      <c r="DQ747" s="71"/>
      <c r="DR747" s="71"/>
      <c r="DS747" s="71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  <c r="IJ747" s="71"/>
      <c r="IK747" s="71"/>
      <c r="IL747" s="71"/>
      <c r="IM747" s="71"/>
      <c r="IN747" s="71"/>
      <c r="IO747" s="71"/>
      <c r="IP747" s="71"/>
      <c r="IQ747" s="71"/>
      <c r="IR747" s="71"/>
      <c r="IS747" s="71"/>
      <c r="IT747" s="71"/>
      <c r="IU747" s="71"/>
      <c r="IV747" s="71"/>
      <c r="IW747" s="71"/>
    </row>
    <row r="748" customFormat="false" ht="12.75" hidden="false" customHeight="false" outlineLevel="0" collapsed="false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71"/>
      <c r="CE748" s="71"/>
      <c r="CF748" s="71"/>
      <c r="CG748" s="71"/>
      <c r="CH748" s="71"/>
      <c r="CI748" s="71"/>
      <c r="CJ748" s="71"/>
      <c r="CK748" s="71"/>
      <c r="CL748" s="71"/>
      <c r="CM748" s="71"/>
      <c r="CN748" s="71"/>
      <c r="CO748" s="71"/>
      <c r="CP748" s="71"/>
      <c r="CQ748" s="71"/>
      <c r="CR748" s="71"/>
      <c r="CS748" s="71"/>
      <c r="CT748" s="71"/>
      <c r="CU748" s="71"/>
      <c r="CV748" s="71"/>
      <c r="CW748" s="71"/>
      <c r="CX748" s="71"/>
      <c r="CY748" s="71"/>
      <c r="CZ748" s="71"/>
      <c r="DA748" s="71"/>
      <c r="DB748" s="71"/>
      <c r="DC748" s="71"/>
      <c r="DD748" s="71"/>
      <c r="DE748" s="71"/>
      <c r="DF748" s="71"/>
      <c r="DG748" s="71"/>
      <c r="DH748" s="71"/>
      <c r="DI748" s="71"/>
      <c r="DJ748" s="71"/>
      <c r="DK748" s="71"/>
      <c r="DL748" s="71"/>
      <c r="DM748" s="71"/>
      <c r="DN748" s="71"/>
      <c r="DO748" s="71"/>
      <c r="DP748" s="71"/>
      <c r="DQ748" s="71"/>
      <c r="DR748" s="71"/>
      <c r="DS748" s="71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  <c r="IJ748" s="71"/>
      <c r="IK748" s="71"/>
      <c r="IL748" s="71"/>
      <c r="IM748" s="71"/>
      <c r="IN748" s="71"/>
      <c r="IO748" s="71"/>
      <c r="IP748" s="71"/>
      <c r="IQ748" s="71"/>
      <c r="IR748" s="71"/>
      <c r="IS748" s="71"/>
      <c r="IT748" s="71"/>
      <c r="IU748" s="71"/>
      <c r="IV748" s="71"/>
      <c r="IW748" s="71"/>
    </row>
    <row r="749" customFormat="false" ht="12.75" hidden="false" customHeight="false" outlineLevel="0" collapsed="false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/>
      <c r="BY749" s="71"/>
      <c r="BZ749" s="71"/>
      <c r="CA749" s="71"/>
      <c r="CB749" s="71"/>
      <c r="CC749" s="71"/>
      <c r="CD749" s="71"/>
      <c r="CE749" s="71"/>
      <c r="CF749" s="71"/>
      <c r="CG749" s="71"/>
      <c r="CH749" s="71"/>
      <c r="CI749" s="71"/>
      <c r="CJ749" s="71"/>
      <c r="CK749" s="71"/>
      <c r="CL749" s="71"/>
      <c r="CM749" s="71"/>
      <c r="CN749" s="71"/>
      <c r="CO749" s="71"/>
      <c r="CP749" s="71"/>
      <c r="CQ749" s="71"/>
      <c r="CR749" s="71"/>
      <c r="CS749" s="71"/>
      <c r="CT749" s="71"/>
      <c r="CU749" s="71"/>
      <c r="CV749" s="71"/>
      <c r="CW749" s="71"/>
      <c r="CX749" s="71"/>
      <c r="CY749" s="71"/>
      <c r="CZ749" s="71"/>
      <c r="DA749" s="71"/>
      <c r="DB749" s="71"/>
      <c r="DC749" s="71"/>
      <c r="DD749" s="71"/>
      <c r="DE749" s="71"/>
      <c r="DF749" s="71"/>
      <c r="DG749" s="71"/>
      <c r="DH749" s="71"/>
      <c r="DI749" s="71"/>
      <c r="DJ749" s="71"/>
      <c r="DK749" s="71"/>
      <c r="DL749" s="71"/>
      <c r="DM749" s="71"/>
      <c r="DN749" s="71"/>
      <c r="DO749" s="71"/>
      <c r="DP749" s="71"/>
      <c r="DQ749" s="71"/>
      <c r="DR749" s="71"/>
      <c r="DS749" s="71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  <c r="IJ749" s="71"/>
      <c r="IK749" s="71"/>
      <c r="IL749" s="71"/>
      <c r="IM749" s="71"/>
      <c r="IN749" s="71"/>
      <c r="IO749" s="71"/>
      <c r="IP749" s="71"/>
      <c r="IQ749" s="71"/>
      <c r="IR749" s="71"/>
      <c r="IS749" s="71"/>
      <c r="IT749" s="71"/>
      <c r="IU749" s="71"/>
      <c r="IV749" s="71"/>
      <c r="IW749" s="71"/>
    </row>
    <row r="750" customFormat="false" ht="12.75" hidden="false" customHeight="false" outlineLevel="0" collapsed="false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1"/>
      <c r="CB750" s="71"/>
      <c r="CC750" s="71"/>
      <c r="CD750" s="71"/>
      <c r="CE750" s="71"/>
      <c r="CF750" s="71"/>
      <c r="CG750" s="71"/>
      <c r="CH750" s="71"/>
      <c r="CI750" s="71"/>
      <c r="CJ750" s="71"/>
      <c r="CK750" s="71"/>
      <c r="CL750" s="71"/>
      <c r="CM750" s="71"/>
      <c r="CN750" s="71"/>
      <c r="CO750" s="71"/>
      <c r="CP750" s="71"/>
      <c r="CQ750" s="71"/>
      <c r="CR750" s="71"/>
      <c r="CS750" s="71"/>
      <c r="CT750" s="71"/>
      <c r="CU750" s="71"/>
      <c r="CV750" s="71"/>
      <c r="CW750" s="71"/>
      <c r="CX750" s="71"/>
      <c r="CY750" s="71"/>
      <c r="CZ750" s="71"/>
      <c r="DA750" s="71"/>
      <c r="DB750" s="71"/>
      <c r="DC750" s="71"/>
      <c r="DD750" s="71"/>
      <c r="DE750" s="71"/>
      <c r="DF750" s="71"/>
      <c r="DG750" s="71"/>
      <c r="DH750" s="71"/>
      <c r="DI750" s="71"/>
      <c r="DJ750" s="71"/>
      <c r="DK750" s="71"/>
      <c r="DL750" s="71"/>
      <c r="DM750" s="71"/>
      <c r="DN750" s="71"/>
      <c r="DO750" s="71"/>
      <c r="DP750" s="71"/>
      <c r="DQ750" s="71"/>
      <c r="DR750" s="71"/>
      <c r="DS750" s="71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  <c r="IJ750" s="71"/>
      <c r="IK750" s="71"/>
      <c r="IL750" s="71"/>
      <c r="IM750" s="71"/>
      <c r="IN750" s="71"/>
      <c r="IO750" s="71"/>
      <c r="IP750" s="71"/>
      <c r="IQ750" s="71"/>
      <c r="IR750" s="71"/>
      <c r="IS750" s="71"/>
      <c r="IT750" s="71"/>
      <c r="IU750" s="71"/>
      <c r="IV750" s="71"/>
      <c r="IW750" s="71"/>
    </row>
    <row r="751" customFormat="false" ht="12.75" hidden="false" customHeight="false" outlineLevel="0" collapsed="false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/>
      <c r="CB751" s="71"/>
      <c r="CC751" s="71"/>
      <c r="CD751" s="71"/>
      <c r="CE751" s="71"/>
      <c r="CF751" s="71"/>
      <c r="CG751" s="71"/>
      <c r="CH751" s="71"/>
      <c r="CI751" s="71"/>
      <c r="CJ751" s="71"/>
      <c r="CK751" s="71"/>
      <c r="CL751" s="71"/>
      <c r="CM751" s="71"/>
      <c r="CN751" s="71"/>
      <c r="CO751" s="71"/>
      <c r="CP751" s="71"/>
      <c r="CQ751" s="71"/>
      <c r="CR751" s="71"/>
      <c r="CS751" s="71"/>
      <c r="CT751" s="71"/>
      <c r="CU751" s="71"/>
      <c r="CV751" s="71"/>
      <c r="CW751" s="71"/>
      <c r="CX751" s="71"/>
      <c r="CY751" s="71"/>
      <c r="CZ751" s="71"/>
      <c r="DA751" s="71"/>
      <c r="DB751" s="71"/>
      <c r="DC751" s="71"/>
      <c r="DD751" s="71"/>
      <c r="DE751" s="71"/>
      <c r="DF751" s="71"/>
      <c r="DG751" s="71"/>
      <c r="DH751" s="71"/>
      <c r="DI751" s="71"/>
      <c r="DJ751" s="71"/>
      <c r="DK751" s="71"/>
      <c r="DL751" s="71"/>
      <c r="DM751" s="71"/>
      <c r="DN751" s="71"/>
      <c r="DO751" s="71"/>
      <c r="DP751" s="71"/>
      <c r="DQ751" s="71"/>
      <c r="DR751" s="71"/>
      <c r="DS751" s="71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  <c r="IJ751" s="71"/>
      <c r="IK751" s="71"/>
      <c r="IL751" s="71"/>
      <c r="IM751" s="71"/>
      <c r="IN751" s="71"/>
      <c r="IO751" s="71"/>
      <c r="IP751" s="71"/>
      <c r="IQ751" s="71"/>
      <c r="IR751" s="71"/>
      <c r="IS751" s="71"/>
      <c r="IT751" s="71"/>
      <c r="IU751" s="71"/>
      <c r="IV751" s="71"/>
      <c r="IW751" s="71"/>
    </row>
    <row r="752" customFormat="false" ht="12.75" hidden="false" customHeight="false" outlineLevel="0" collapsed="false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1"/>
      <c r="CC752" s="71"/>
      <c r="CD752" s="71"/>
      <c r="CE752" s="71"/>
      <c r="CF752" s="71"/>
      <c r="CG752" s="71"/>
      <c r="CH752" s="71"/>
      <c r="CI752" s="71"/>
      <c r="CJ752" s="71"/>
      <c r="CK752" s="71"/>
      <c r="CL752" s="71"/>
      <c r="CM752" s="71"/>
      <c r="CN752" s="71"/>
      <c r="CO752" s="71"/>
      <c r="CP752" s="71"/>
      <c r="CQ752" s="71"/>
      <c r="CR752" s="71"/>
      <c r="CS752" s="71"/>
      <c r="CT752" s="71"/>
      <c r="CU752" s="71"/>
      <c r="CV752" s="71"/>
      <c r="CW752" s="71"/>
      <c r="CX752" s="71"/>
      <c r="CY752" s="71"/>
      <c r="CZ752" s="71"/>
      <c r="DA752" s="71"/>
      <c r="DB752" s="71"/>
      <c r="DC752" s="71"/>
      <c r="DD752" s="71"/>
      <c r="DE752" s="71"/>
      <c r="DF752" s="71"/>
      <c r="DG752" s="71"/>
      <c r="DH752" s="71"/>
      <c r="DI752" s="71"/>
      <c r="DJ752" s="71"/>
      <c r="DK752" s="71"/>
      <c r="DL752" s="71"/>
      <c r="DM752" s="71"/>
      <c r="DN752" s="71"/>
      <c r="DO752" s="71"/>
      <c r="DP752" s="71"/>
      <c r="DQ752" s="71"/>
      <c r="DR752" s="71"/>
      <c r="DS752" s="71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  <c r="IJ752" s="71"/>
      <c r="IK752" s="71"/>
      <c r="IL752" s="71"/>
      <c r="IM752" s="71"/>
      <c r="IN752" s="71"/>
      <c r="IO752" s="71"/>
      <c r="IP752" s="71"/>
      <c r="IQ752" s="71"/>
      <c r="IR752" s="71"/>
      <c r="IS752" s="71"/>
      <c r="IT752" s="71"/>
      <c r="IU752" s="71"/>
      <c r="IV752" s="71"/>
      <c r="IW752" s="71"/>
    </row>
    <row r="753" customFormat="false" ht="12.75" hidden="false" customHeight="false" outlineLevel="0" collapsed="false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  <c r="CE753" s="71"/>
      <c r="CF753" s="71"/>
      <c r="CG753" s="71"/>
      <c r="CH753" s="71"/>
      <c r="CI753" s="71"/>
      <c r="CJ753" s="71"/>
      <c r="CK753" s="71"/>
      <c r="CL753" s="71"/>
      <c r="CM753" s="71"/>
      <c r="CN753" s="71"/>
      <c r="CO753" s="71"/>
      <c r="CP753" s="71"/>
      <c r="CQ753" s="71"/>
      <c r="CR753" s="71"/>
      <c r="CS753" s="71"/>
      <c r="CT753" s="71"/>
      <c r="CU753" s="71"/>
      <c r="CV753" s="71"/>
      <c r="CW753" s="71"/>
      <c r="CX753" s="71"/>
      <c r="CY753" s="71"/>
      <c r="CZ753" s="71"/>
      <c r="DA753" s="71"/>
      <c r="DB753" s="71"/>
      <c r="DC753" s="71"/>
      <c r="DD753" s="71"/>
      <c r="DE753" s="71"/>
      <c r="DF753" s="71"/>
      <c r="DG753" s="71"/>
      <c r="DH753" s="71"/>
      <c r="DI753" s="71"/>
      <c r="DJ753" s="71"/>
      <c r="DK753" s="71"/>
      <c r="DL753" s="71"/>
      <c r="DM753" s="71"/>
      <c r="DN753" s="71"/>
      <c r="DO753" s="71"/>
      <c r="DP753" s="71"/>
      <c r="DQ753" s="71"/>
      <c r="DR753" s="71"/>
      <c r="DS753" s="71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  <c r="IJ753" s="71"/>
      <c r="IK753" s="71"/>
      <c r="IL753" s="71"/>
      <c r="IM753" s="71"/>
      <c r="IN753" s="71"/>
      <c r="IO753" s="71"/>
      <c r="IP753" s="71"/>
      <c r="IQ753" s="71"/>
      <c r="IR753" s="71"/>
      <c r="IS753" s="71"/>
      <c r="IT753" s="71"/>
      <c r="IU753" s="71"/>
      <c r="IV753" s="71"/>
      <c r="IW753" s="71"/>
    </row>
    <row r="754" customFormat="false" ht="12.75" hidden="false" customHeight="false" outlineLevel="0" collapsed="false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/>
      <c r="CE754" s="71"/>
      <c r="CF754" s="71"/>
      <c r="CG754" s="71"/>
      <c r="CH754" s="71"/>
      <c r="CI754" s="71"/>
      <c r="CJ754" s="71"/>
      <c r="CK754" s="71"/>
      <c r="CL754" s="71"/>
      <c r="CM754" s="71"/>
      <c r="CN754" s="71"/>
      <c r="CO754" s="71"/>
      <c r="CP754" s="71"/>
      <c r="CQ754" s="71"/>
      <c r="CR754" s="71"/>
      <c r="CS754" s="71"/>
      <c r="CT754" s="71"/>
      <c r="CU754" s="71"/>
      <c r="CV754" s="71"/>
      <c r="CW754" s="71"/>
      <c r="CX754" s="71"/>
      <c r="CY754" s="71"/>
      <c r="CZ754" s="71"/>
      <c r="DA754" s="71"/>
      <c r="DB754" s="71"/>
      <c r="DC754" s="71"/>
      <c r="DD754" s="71"/>
      <c r="DE754" s="71"/>
      <c r="DF754" s="71"/>
      <c r="DG754" s="71"/>
      <c r="DH754" s="71"/>
      <c r="DI754" s="71"/>
      <c r="DJ754" s="71"/>
      <c r="DK754" s="71"/>
      <c r="DL754" s="71"/>
      <c r="DM754" s="71"/>
      <c r="DN754" s="71"/>
      <c r="DO754" s="71"/>
      <c r="DP754" s="71"/>
      <c r="DQ754" s="71"/>
      <c r="DR754" s="71"/>
      <c r="DS754" s="71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  <c r="IJ754" s="71"/>
      <c r="IK754" s="71"/>
      <c r="IL754" s="71"/>
      <c r="IM754" s="71"/>
      <c r="IN754" s="71"/>
      <c r="IO754" s="71"/>
      <c r="IP754" s="71"/>
      <c r="IQ754" s="71"/>
      <c r="IR754" s="71"/>
      <c r="IS754" s="71"/>
      <c r="IT754" s="71"/>
      <c r="IU754" s="71"/>
      <c r="IV754" s="71"/>
      <c r="IW754" s="71"/>
    </row>
    <row r="755" customFormat="false" ht="12.75" hidden="false" customHeight="false" outlineLevel="0" collapsed="false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1"/>
      <c r="CB755" s="71"/>
      <c r="CC755" s="71"/>
      <c r="CD755" s="71"/>
      <c r="CE755" s="71"/>
      <c r="CF755" s="71"/>
      <c r="CG755" s="71"/>
      <c r="CH755" s="71"/>
      <c r="CI755" s="71"/>
      <c r="CJ755" s="71"/>
      <c r="CK755" s="71"/>
      <c r="CL755" s="71"/>
      <c r="CM755" s="71"/>
      <c r="CN755" s="71"/>
      <c r="CO755" s="71"/>
      <c r="CP755" s="71"/>
      <c r="CQ755" s="71"/>
      <c r="CR755" s="71"/>
      <c r="CS755" s="71"/>
      <c r="CT755" s="71"/>
      <c r="CU755" s="71"/>
      <c r="CV755" s="71"/>
      <c r="CW755" s="71"/>
      <c r="CX755" s="71"/>
      <c r="CY755" s="71"/>
      <c r="CZ755" s="71"/>
      <c r="DA755" s="71"/>
      <c r="DB755" s="71"/>
      <c r="DC755" s="71"/>
      <c r="DD755" s="71"/>
      <c r="DE755" s="71"/>
      <c r="DF755" s="71"/>
      <c r="DG755" s="71"/>
      <c r="DH755" s="71"/>
      <c r="DI755" s="71"/>
      <c r="DJ755" s="71"/>
      <c r="DK755" s="71"/>
      <c r="DL755" s="71"/>
      <c r="DM755" s="71"/>
      <c r="DN755" s="71"/>
      <c r="DO755" s="71"/>
      <c r="DP755" s="71"/>
      <c r="DQ755" s="71"/>
      <c r="DR755" s="71"/>
      <c r="DS755" s="71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  <c r="IJ755" s="71"/>
      <c r="IK755" s="71"/>
      <c r="IL755" s="71"/>
      <c r="IM755" s="71"/>
      <c r="IN755" s="71"/>
      <c r="IO755" s="71"/>
      <c r="IP755" s="71"/>
      <c r="IQ755" s="71"/>
      <c r="IR755" s="71"/>
      <c r="IS755" s="71"/>
      <c r="IT755" s="71"/>
      <c r="IU755" s="71"/>
      <c r="IV755" s="71"/>
      <c r="IW755" s="71"/>
    </row>
    <row r="756" customFormat="false" ht="12.75" hidden="false" customHeight="false" outlineLevel="0" collapsed="false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/>
      <c r="BL756" s="71"/>
      <c r="BM756" s="71"/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1"/>
      <c r="CB756" s="71"/>
      <c r="CC756" s="71"/>
      <c r="CD756" s="71"/>
      <c r="CE756" s="71"/>
      <c r="CF756" s="71"/>
      <c r="CG756" s="71"/>
      <c r="CH756" s="71"/>
      <c r="CI756" s="71"/>
      <c r="CJ756" s="71"/>
      <c r="CK756" s="71"/>
      <c r="CL756" s="71"/>
      <c r="CM756" s="71"/>
      <c r="CN756" s="71"/>
      <c r="CO756" s="71"/>
      <c r="CP756" s="71"/>
      <c r="CQ756" s="71"/>
      <c r="CR756" s="71"/>
      <c r="CS756" s="71"/>
      <c r="CT756" s="71"/>
      <c r="CU756" s="71"/>
      <c r="CV756" s="71"/>
      <c r="CW756" s="71"/>
      <c r="CX756" s="71"/>
      <c r="CY756" s="71"/>
      <c r="CZ756" s="71"/>
      <c r="DA756" s="71"/>
      <c r="DB756" s="71"/>
      <c r="DC756" s="71"/>
      <c r="DD756" s="71"/>
      <c r="DE756" s="71"/>
      <c r="DF756" s="71"/>
      <c r="DG756" s="71"/>
      <c r="DH756" s="71"/>
      <c r="DI756" s="71"/>
      <c r="DJ756" s="71"/>
      <c r="DK756" s="71"/>
      <c r="DL756" s="71"/>
      <c r="DM756" s="71"/>
      <c r="DN756" s="71"/>
      <c r="DO756" s="71"/>
      <c r="DP756" s="71"/>
      <c r="DQ756" s="71"/>
      <c r="DR756" s="71"/>
      <c r="DS756" s="71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  <c r="IJ756" s="71"/>
      <c r="IK756" s="71"/>
      <c r="IL756" s="71"/>
      <c r="IM756" s="71"/>
      <c r="IN756" s="71"/>
      <c r="IO756" s="71"/>
      <c r="IP756" s="71"/>
      <c r="IQ756" s="71"/>
      <c r="IR756" s="71"/>
      <c r="IS756" s="71"/>
      <c r="IT756" s="71"/>
      <c r="IU756" s="71"/>
      <c r="IV756" s="71"/>
      <c r="IW756" s="71"/>
    </row>
    <row r="757" customFormat="false" ht="12.75" hidden="false" customHeight="false" outlineLevel="0" collapsed="false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1"/>
      <c r="CB757" s="71"/>
      <c r="CC757" s="71"/>
      <c r="CD757" s="71"/>
      <c r="CE757" s="71"/>
      <c r="CF757" s="71"/>
      <c r="CG757" s="71"/>
      <c r="CH757" s="71"/>
      <c r="CI757" s="71"/>
      <c r="CJ757" s="71"/>
      <c r="CK757" s="71"/>
      <c r="CL757" s="71"/>
      <c r="CM757" s="71"/>
      <c r="CN757" s="71"/>
      <c r="CO757" s="71"/>
      <c r="CP757" s="71"/>
      <c r="CQ757" s="71"/>
      <c r="CR757" s="71"/>
      <c r="CS757" s="71"/>
      <c r="CT757" s="71"/>
      <c r="CU757" s="71"/>
      <c r="CV757" s="71"/>
      <c r="CW757" s="71"/>
      <c r="CX757" s="71"/>
      <c r="CY757" s="71"/>
      <c r="CZ757" s="71"/>
      <c r="DA757" s="71"/>
      <c r="DB757" s="71"/>
      <c r="DC757" s="71"/>
      <c r="DD757" s="71"/>
      <c r="DE757" s="71"/>
      <c r="DF757" s="71"/>
      <c r="DG757" s="71"/>
      <c r="DH757" s="71"/>
      <c r="DI757" s="71"/>
      <c r="DJ757" s="71"/>
      <c r="DK757" s="71"/>
      <c r="DL757" s="71"/>
      <c r="DM757" s="71"/>
      <c r="DN757" s="71"/>
      <c r="DO757" s="71"/>
      <c r="DP757" s="71"/>
      <c r="DQ757" s="71"/>
      <c r="DR757" s="71"/>
      <c r="DS757" s="71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  <c r="IJ757" s="71"/>
      <c r="IK757" s="71"/>
      <c r="IL757" s="71"/>
      <c r="IM757" s="71"/>
      <c r="IN757" s="71"/>
      <c r="IO757" s="71"/>
      <c r="IP757" s="71"/>
      <c r="IQ757" s="71"/>
      <c r="IR757" s="71"/>
      <c r="IS757" s="71"/>
      <c r="IT757" s="71"/>
      <c r="IU757" s="71"/>
      <c r="IV757" s="71"/>
      <c r="IW757" s="71"/>
    </row>
    <row r="758" customFormat="false" ht="12.75" hidden="false" customHeight="false" outlineLevel="0" collapsed="false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1"/>
      <c r="CB758" s="71"/>
      <c r="CC758" s="71"/>
      <c r="CD758" s="71"/>
      <c r="CE758" s="71"/>
      <c r="CF758" s="71"/>
      <c r="CG758" s="71"/>
      <c r="CH758" s="71"/>
      <c r="CI758" s="71"/>
      <c r="CJ758" s="71"/>
      <c r="CK758" s="71"/>
      <c r="CL758" s="71"/>
      <c r="CM758" s="71"/>
      <c r="CN758" s="71"/>
      <c r="CO758" s="71"/>
      <c r="CP758" s="71"/>
      <c r="CQ758" s="71"/>
      <c r="CR758" s="71"/>
      <c r="CS758" s="71"/>
      <c r="CT758" s="71"/>
      <c r="CU758" s="71"/>
      <c r="CV758" s="71"/>
      <c r="CW758" s="71"/>
      <c r="CX758" s="71"/>
      <c r="CY758" s="71"/>
      <c r="CZ758" s="71"/>
      <c r="DA758" s="71"/>
      <c r="DB758" s="71"/>
      <c r="DC758" s="71"/>
      <c r="DD758" s="71"/>
      <c r="DE758" s="71"/>
      <c r="DF758" s="71"/>
      <c r="DG758" s="71"/>
      <c r="DH758" s="71"/>
      <c r="DI758" s="71"/>
      <c r="DJ758" s="71"/>
      <c r="DK758" s="71"/>
      <c r="DL758" s="71"/>
      <c r="DM758" s="71"/>
      <c r="DN758" s="71"/>
      <c r="DO758" s="71"/>
      <c r="DP758" s="71"/>
      <c r="DQ758" s="71"/>
      <c r="DR758" s="71"/>
      <c r="DS758" s="71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  <c r="IJ758" s="71"/>
      <c r="IK758" s="71"/>
      <c r="IL758" s="71"/>
      <c r="IM758" s="71"/>
      <c r="IN758" s="71"/>
      <c r="IO758" s="71"/>
      <c r="IP758" s="71"/>
      <c r="IQ758" s="71"/>
      <c r="IR758" s="71"/>
      <c r="IS758" s="71"/>
      <c r="IT758" s="71"/>
      <c r="IU758" s="71"/>
      <c r="IV758" s="71"/>
      <c r="IW758" s="71"/>
    </row>
    <row r="759" customFormat="false" ht="12.75" hidden="false" customHeight="false" outlineLevel="0" collapsed="false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71"/>
      <c r="CE759" s="71"/>
      <c r="CF759" s="71"/>
      <c r="CG759" s="71"/>
      <c r="CH759" s="71"/>
      <c r="CI759" s="71"/>
      <c r="CJ759" s="71"/>
      <c r="CK759" s="71"/>
      <c r="CL759" s="71"/>
      <c r="CM759" s="71"/>
      <c r="CN759" s="71"/>
      <c r="CO759" s="71"/>
      <c r="CP759" s="71"/>
      <c r="CQ759" s="71"/>
      <c r="CR759" s="71"/>
      <c r="CS759" s="71"/>
      <c r="CT759" s="71"/>
      <c r="CU759" s="71"/>
      <c r="CV759" s="71"/>
      <c r="CW759" s="71"/>
      <c r="CX759" s="71"/>
      <c r="CY759" s="71"/>
      <c r="CZ759" s="71"/>
      <c r="DA759" s="71"/>
      <c r="DB759" s="71"/>
      <c r="DC759" s="71"/>
      <c r="DD759" s="71"/>
      <c r="DE759" s="71"/>
      <c r="DF759" s="71"/>
      <c r="DG759" s="71"/>
      <c r="DH759" s="71"/>
      <c r="DI759" s="71"/>
      <c r="DJ759" s="71"/>
      <c r="DK759" s="71"/>
      <c r="DL759" s="71"/>
      <c r="DM759" s="71"/>
      <c r="DN759" s="71"/>
      <c r="DO759" s="71"/>
      <c r="DP759" s="71"/>
      <c r="DQ759" s="71"/>
      <c r="DR759" s="71"/>
      <c r="DS759" s="71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  <c r="IJ759" s="71"/>
      <c r="IK759" s="71"/>
      <c r="IL759" s="71"/>
      <c r="IM759" s="71"/>
      <c r="IN759" s="71"/>
      <c r="IO759" s="71"/>
      <c r="IP759" s="71"/>
      <c r="IQ759" s="71"/>
      <c r="IR759" s="71"/>
      <c r="IS759" s="71"/>
      <c r="IT759" s="71"/>
      <c r="IU759" s="71"/>
      <c r="IV759" s="71"/>
      <c r="IW759" s="71"/>
    </row>
    <row r="760" customFormat="false" ht="12.75" hidden="false" customHeight="false" outlineLevel="0" collapsed="false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1"/>
      <c r="CB760" s="71"/>
      <c r="CC760" s="71"/>
      <c r="CD760" s="71"/>
      <c r="CE760" s="71"/>
      <c r="CF760" s="71"/>
      <c r="CG760" s="71"/>
      <c r="CH760" s="71"/>
      <c r="CI760" s="71"/>
      <c r="CJ760" s="71"/>
      <c r="CK760" s="71"/>
      <c r="CL760" s="71"/>
      <c r="CM760" s="71"/>
      <c r="CN760" s="71"/>
      <c r="CO760" s="71"/>
      <c r="CP760" s="71"/>
      <c r="CQ760" s="71"/>
      <c r="CR760" s="71"/>
      <c r="CS760" s="71"/>
      <c r="CT760" s="71"/>
      <c r="CU760" s="71"/>
      <c r="CV760" s="71"/>
      <c r="CW760" s="71"/>
      <c r="CX760" s="71"/>
      <c r="CY760" s="71"/>
      <c r="CZ760" s="71"/>
      <c r="DA760" s="71"/>
      <c r="DB760" s="71"/>
      <c r="DC760" s="71"/>
      <c r="DD760" s="71"/>
      <c r="DE760" s="71"/>
      <c r="DF760" s="71"/>
      <c r="DG760" s="71"/>
      <c r="DH760" s="71"/>
      <c r="DI760" s="71"/>
      <c r="DJ760" s="71"/>
      <c r="DK760" s="71"/>
      <c r="DL760" s="71"/>
      <c r="DM760" s="71"/>
      <c r="DN760" s="71"/>
      <c r="DO760" s="71"/>
      <c r="DP760" s="71"/>
      <c r="DQ760" s="71"/>
      <c r="DR760" s="71"/>
      <c r="DS760" s="71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  <c r="IJ760" s="71"/>
      <c r="IK760" s="71"/>
      <c r="IL760" s="71"/>
      <c r="IM760" s="71"/>
      <c r="IN760" s="71"/>
      <c r="IO760" s="71"/>
      <c r="IP760" s="71"/>
      <c r="IQ760" s="71"/>
      <c r="IR760" s="71"/>
      <c r="IS760" s="71"/>
      <c r="IT760" s="71"/>
      <c r="IU760" s="71"/>
      <c r="IV760" s="71"/>
      <c r="IW760" s="71"/>
    </row>
    <row r="761" customFormat="false" ht="12.75" hidden="false" customHeight="false" outlineLevel="0" collapsed="false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1"/>
      <c r="CB761" s="71"/>
      <c r="CC761" s="71"/>
      <c r="CD761" s="71"/>
      <c r="CE761" s="71"/>
      <c r="CF761" s="71"/>
      <c r="CG761" s="71"/>
      <c r="CH761" s="71"/>
      <c r="CI761" s="71"/>
      <c r="CJ761" s="71"/>
      <c r="CK761" s="71"/>
      <c r="CL761" s="71"/>
      <c r="CM761" s="71"/>
      <c r="CN761" s="71"/>
      <c r="CO761" s="71"/>
      <c r="CP761" s="71"/>
      <c r="CQ761" s="71"/>
      <c r="CR761" s="71"/>
      <c r="CS761" s="71"/>
      <c r="CT761" s="71"/>
      <c r="CU761" s="71"/>
      <c r="CV761" s="71"/>
      <c r="CW761" s="71"/>
      <c r="CX761" s="71"/>
      <c r="CY761" s="71"/>
      <c r="CZ761" s="71"/>
      <c r="DA761" s="71"/>
      <c r="DB761" s="71"/>
      <c r="DC761" s="71"/>
      <c r="DD761" s="71"/>
      <c r="DE761" s="71"/>
      <c r="DF761" s="71"/>
      <c r="DG761" s="71"/>
      <c r="DH761" s="71"/>
      <c r="DI761" s="71"/>
      <c r="DJ761" s="71"/>
      <c r="DK761" s="71"/>
      <c r="DL761" s="71"/>
      <c r="DM761" s="71"/>
      <c r="DN761" s="71"/>
      <c r="DO761" s="71"/>
      <c r="DP761" s="71"/>
      <c r="DQ761" s="71"/>
      <c r="DR761" s="71"/>
      <c r="DS761" s="71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  <c r="IJ761" s="71"/>
      <c r="IK761" s="71"/>
      <c r="IL761" s="71"/>
      <c r="IM761" s="71"/>
      <c r="IN761" s="71"/>
      <c r="IO761" s="71"/>
      <c r="IP761" s="71"/>
      <c r="IQ761" s="71"/>
      <c r="IR761" s="71"/>
      <c r="IS761" s="71"/>
      <c r="IT761" s="71"/>
      <c r="IU761" s="71"/>
      <c r="IV761" s="71"/>
      <c r="IW761" s="71"/>
    </row>
    <row r="762" customFormat="false" ht="12.75" hidden="false" customHeight="false" outlineLevel="0" collapsed="false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1"/>
      <c r="CB762" s="71"/>
      <c r="CC762" s="71"/>
      <c r="CD762" s="71"/>
      <c r="CE762" s="71"/>
      <c r="CF762" s="71"/>
      <c r="CG762" s="71"/>
      <c r="CH762" s="71"/>
      <c r="CI762" s="71"/>
      <c r="CJ762" s="71"/>
      <c r="CK762" s="71"/>
      <c r="CL762" s="71"/>
      <c r="CM762" s="71"/>
      <c r="CN762" s="71"/>
      <c r="CO762" s="71"/>
      <c r="CP762" s="71"/>
      <c r="CQ762" s="71"/>
      <c r="CR762" s="71"/>
      <c r="CS762" s="71"/>
      <c r="CT762" s="71"/>
      <c r="CU762" s="71"/>
      <c r="CV762" s="71"/>
      <c r="CW762" s="71"/>
      <c r="CX762" s="71"/>
      <c r="CY762" s="71"/>
      <c r="CZ762" s="71"/>
      <c r="DA762" s="71"/>
      <c r="DB762" s="71"/>
      <c r="DC762" s="71"/>
      <c r="DD762" s="71"/>
      <c r="DE762" s="71"/>
      <c r="DF762" s="71"/>
      <c r="DG762" s="71"/>
      <c r="DH762" s="71"/>
      <c r="DI762" s="71"/>
      <c r="DJ762" s="71"/>
      <c r="DK762" s="71"/>
      <c r="DL762" s="71"/>
      <c r="DM762" s="71"/>
      <c r="DN762" s="71"/>
      <c r="DO762" s="71"/>
      <c r="DP762" s="71"/>
      <c r="DQ762" s="71"/>
      <c r="DR762" s="71"/>
      <c r="DS762" s="71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  <c r="IJ762" s="71"/>
      <c r="IK762" s="71"/>
      <c r="IL762" s="71"/>
      <c r="IM762" s="71"/>
      <c r="IN762" s="71"/>
      <c r="IO762" s="71"/>
      <c r="IP762" s="71"/>
      <c r="IQ762" s="71"/>
      <c r="IR762" s="71"/>
      <c r="IS762" s="71"/>
      <c r="IT762" s="71"/>
      <c r="IU762" s="71"/>
      <c r="IV762" s="71"/>
      <c r="IW762" s="71"/>
    </row>
    <row r="763" customFormat="false" ht="12.75" hidden="false" customHeight="false" outlineLevel="0" collapsed="false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71"/>
      <c r="CE763" s="71"/>
      <c r="CF763" s="71"/>
      <c r="CG763" s="71"/>
      <c r="CH763" s="71"/>
      <c r="CI763" s="71"/>
      <c r="CJ763" s="71"/>
      <c r="CK763" s="71"/>
      <c r="CL763" s="71"/>
      <c r="CM763" s="71"/>
      <c r="CN763" s="71"/>
      <c r="CO763" s="71"/>
      <c r="CP763" s="71"/>
      <c r="CQ763" s="71"/>
      <c r="CR763" s="71"/>
      <c r="CS763" s="71"/>
      <c r="CT763" s="71"/>
      <c r="CU763" s="71"/>
      <c r="CV763" s="71"/>
      <c r="CW763" s="71"/>
      <c r="CX763" s="71"/>
      <c r="CY763" s="71"/>
      <c r="CZ763" s="71"/>
      <c r="DA763" s="71"/>
      <c r="DB763" s="71"/>
      <c r="DC763" s="71"/>
      <c r="DD763" s="71"/>
      <c r="DE763" s="71"/>
      <c r="DF763" s="71"/>
      <c r="DG763" s="71"/>
      <c r="DH763" s="71"/>
      <c r="DI763" s="71"/>
      <c r="DJ763" s="71"/>
      <c r="DK763" s="71"/>
      <c r="DL763" s="71"/>
      <c r="DM763" s="71"/>
      <c r="DN763" s="71"/>
      <c r="DO763" s="71"/>
      <c r="DP763" s="71"/>
      <c r="DQ763" s="71"/>
      <c r="DR763" s="71"/>
      <c r="DS763" s="71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  <c r="IJ763" s="71"/>
      <c r="IK763" s="71"/>
      <c r="IL763" s="71"/>
      <c r="IM763" s="71"/>
      <c r="IN763" s="71"/>
      <c r="IO763" s="71"/>
      <c r="IP763" s="71"/>
      <c r="IQ763" s="71"/>
      <c r="IR763" s="71"/>
      <c r="IS763" s="71"/>
      <c r="IT763" s="71"/>
      <c r="IU763" s="71"/>
      <c r="IV763" s="71"/>
      <c r="IW763" s="71"/>
    </row>
    <row r="764" customFormat="false" ht="12.75" hidden="false" customHeight="false" outlineLevel="0" collapsed="false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/>
      <c r="BT764" s="71"/>
      <c r="BU764" s="71"/>
      <c r="BV764" s="71"/>
      <c r="BW764" s="71"/>
      <c r="BX764" s="71"/>
      <c r="BY764" s="71"/>
      <c r="BZ764" s="71"/>
      <c r="CA764" s="71"/>
      <c r="CB764" s="71"/>
      <c r="CC764" s="71"/>
      <c r="CD764" s="71"/>
      <c r="CE764" s="71"/>
      <c r="CF764" s="71"/>
      <c r="CG764" s="71"/>
      <c r="CH764" s="71"/>
      <c r="CI764" s="71"/>
      <c r="CJ764" s="71"/>
      <c r="CK764" s="71"/>
      <c r="CL764" s="71"/>
      <c r="CM764" s="71"/>
      <c r="CN764" s="71"/>
      <c r="CO764" s="71"/>
      <c r="CP764" s="71"/>
      <c r="CQ764" s="71"/>
      <c r="CR764" s="71"/>
      <c r="CS764" s="71"/>
      <c r="CT764" s="71"/>
      <c r="CU764" s="71"/>
      <c r="CV764" s="71"/>
      <c r="CW764" s="71"/>
      <c r="CX764" s="71"/>
      <c r="CY764" s="71"/>
      <c r="CZ764" s="71"/>
      <c r="DA764" s="71"/>
      <c r="DB764" s="71"/>
      <c r="DC764" s="71"/>
      <c r="DD764" s="71"/>
      <c r="DE764" s="71"/>
      <c r="DF764" s="71"/>
      <c r="DG764" s="71"/>
      <c r="DH764" s="71"/>
      <c r="DI764" s="71"/>
      <c r="DJ764" s="71"/>
      <c r="DK764" s="71"/>
      <c r="DL764" s="71"/>
      <c r="DM764" s="71"/>
      <c r="DN764" s="71"/>
      <c r="DO764" s="71"/>
      <c r="DP764" s="71"/>
      <c r="DQ764" s="71"/>
      <c r="DR764" s="71"/>
      <c r="DS764" s="71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  <c r="IJ764" s="71"/>
      <c r="IK764" s="71"/>
      <c r="IL764" s="71"/>
      <c r="IM764" s="71"/>
      <c r="IN764" s="71"/>
      <c r="IO764" s="71"/>
      <c r="IP764" s="71"/>
      <c r="IQ764" s="71"/>
      <c r="IR764" s="71"/>
      <c r="IS764" s="71"/>
      <c r="IT764" s="71"/>
      <c r="IU764" s="71"/>
      <c r="IV764" s="71"/>
      <c r="IW764" s="71"/>
    </row>
    <row r="765" customFormat="false" ht="12.75" hidden="false" customHeight="false" outlineLevel="0" collapsed="false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/>
      <c r="BV765" s="71"/>
      <c r="BW765" s="71"/>
      <c r="BX765" s="71"/>
      <c r="BY765" s="71"/>
      <c r="BZ765" s="71"/>
      <c r="CA765" s="71"/>
      <c r="CB765" s="71"/>
      <c r="CC765" s="71"/>
      <c r="CD765" s="71"/>
      <c r="CE765" s="71"/>
      <c r="CF765" s="71"/>
      <c r="CG765" s="71"/>
      <c r="CH765" s="71"/>
      <c r="CI765" s="71"/>
      <c r="CJ765" s="71"/>
      <c r="CK765" s="71"/>
      <c r="CL765" s="71"/>
      <c r="CM765" s="71"/>
      <c r="CN765" s="71"/>
      <c r="CO765" s="71"/>
      <c r="CP765" s="71"/>
      <c r="CQ765" s="71"/>
      <c r="CR765" s="71"/>
      <c r="CS765" s="71"/>
      <c r="CT765" s="71"/>
      <c r="CU765" s="71"/>
      <c r="CV765" s="71"/>
      <c r="CW765" s="71"/>
      <c r="CX765" s="71"/>
      <c r="CY765" s="71"/>
      <c r="CZ765" s="71"/>
      <c r="DA765" s="71"/>
      <c r="DB765" s="71"/>
      <c r="DC765" s="71"/>
      <c r="DD765" s="71"/>
      <c r="DE765" s="71"/>
      <c r="DF765" s="71"/>
      <c r="DG765" s="71"/>
      <c r="DH765" s="71"/>
      <c r="DI765" s="71"/>
      <c r="DJ765" s="71"/>
      <c r="DK765" s="71"/>
      <c r="DL765" s="71"/>
      <c r="DM765" s="71"/>
      <c r="DN765" s="71"/>
      <c r="DO765" s="71"/>
      <c r="DP765" s="71"/>
      <c r="DQ765" s="71"/>
      <c r="DR765" s="71"/>
      <c r="DS765" s="71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  <c r="IJ765" s="71"/>
      <c r="IK765" s="71"/>
      <c r="IL765" s="71"/>
      <c r="IM765" s="71"/>
      <c r="IN765" s="71"/>
      <c r="IO765" s="71"/>
      <c r="IP765" s="71"/>
      <c r="IQ765" s="71"/>
      <c r="IR765" s="71"/>
      <c r="IS765" s="71"/>
      <c r="IT765" s="71"/>
      <c r="IU765" s="71"/>
      <c r="IV765" s="71"/>
      <c r="IW765" s="71"/>
    </row>
    <row r="766" customFormat="false" ht="12.75" hidden="false" customHeight="false" outlineLevel="0" collapsed="false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1"/>
      <c r="CB766" s="71"/>
      <c r="CC766" s="71"/>
      <c r="CD766" s="71"/>
      <c r="CE766" s="71"/>
      <c r="CF766" s="71"/>
      <c r="CG766" s="71"/>
      <c r="CH766" s="71"/>
      <c r="CI766" s="71"/>
      <c r="CJ766" s="71"/>
      <c r="CK766" s="71"/>
      <c r="CL766" s="71"/>
      <c r="CM766" s="71"/>
      <c r="CN766" s="71"/>
      <c r="CO766" s="71"/>
      <c r="CP766" s="71"/>
      <c r="CQ766" s="71"/>
      <c r="CR766" s="71"/>
      <c r="CS766" s="71"/>
      <c r="CT766" s="71"/>
      <c r="CU766" s="71"/>
      <c r="CV766" s="71"/>
      <c r="CW766" s="71"/>
      <c r="CX766" s="71"/>
      <c r="CY766" s="71"/>
      <c r="CZ766" s="71"/>
      <c r="DA766" s="71"/>
      <c r="DB766" s="71"/>
      <c r="DC766" s="71"/>
      <c r="DD766" s="71"/>
      <c r="DE766" s="71"/>
      <c r="DF766" s="71"/>
      <c r="DG766" s="71"/>
      <c r="DH766" s="71"/>
      <c r="DI766" s="71"/>
      <c r="DJ766" s="71"/>
      <c r="DK766" s="71"/>
      <c r="DL766" s="71"/>
      <c r="DM766" s="71"/>
      <c r="DN766" s="71"/>
      <c r="DO766" s="71"/>
      <c r="DP766" s="71"/>
      <c r="DQ766" s="71"/>
      <c r="DR766" s="71"/>
      <c r="DS766" s="71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  <c r="IJ766" s="71"/>
      <c r="IK766" s="71"/>
      <c r="IL766" s="71"/>
      <c r="IM766" s="71"/>
      <c r="IN766" s="71"/>
      <c r="IO766" s="71"/>
      <c r="IP766" s="71"/>
      <c r="IQ766" s="71"/>
      <c r="IR766" s="71"/>
      <c r="IS766" s="71"/>
      <c r="IT766" s="71"/>
      <c r="IU766" s="71"/>
      <c r="IV766" s="71"/>
      <c r="IW766" s="71"/>
    </row>
    <row r="767" customFormat="false" ht="12.75" hidden="false" customHeight="false" outlineLevel="0" collapsed="false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1"/>
      <c r="CB767" s="71"/>
      <c r="CC767" s="71"/>
      <c r="CD767" s="71"/>
      <c r="CE767" s="71"/>
      <c r="CF767" s="71"/>
      <c r="CG767" s="71"/>
      <c r="CH767" s="71"/>
      <c r="CI767" s="71"/>
      <c r="CJ767" s="71"/>
      <c r="CK767" s="71"/>
      <c r="CL767" s="71"/>
      <c r="CM767" s="71"/>
      <c r="CN767" s="71"/>
      <c r="CO767" s="71"/>
      <c r="CP767" s="71"/>
      <c r="CQ767" s="71"/>
      <c r="CR767" s="71"/>
      <c r="CS767" s="71"/>
      <c r="CT767" s="71"/>
      <c r="CU767" s="71"/>
      <c r="CV767" s="71"/>
      <c r="CW767" s="71"/>
      <c r="CX767" s="71"/>
      <c r="CY767" s="71"/>
      <c r="CZ767" s="71"/>
      <c r="DA767" s="71"/>
      <c r="DB767" s="71"/>
      <c r="DC767" s="71"/>
      <c r="DD767" s="71"/>
      <c r="DE767" s="71"/>
      <c r="DF767" s="71"/>
      <c r="DG767" s="71"/>
      <c r="DH767" s="71"/>
      <c r="DI767" s="71"/>
      <c r="DJ767" s="71"/>
      <c r="DK767" s="71"/>
      <c r="DL767" s="71"/>
      <c r="DM767" s="71"/>
      <c r="DN767" s="71"/>
      <c r="DO767" s="71"/>
      <c r="DP767" s="71"/>
      <c r="DQ767" s="71"/>
      <c r="DR767" s="71"/>
      <c r="DS767" s="71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  <c r="IJ767" s="71"/>
      <c r="IK767" s="71"/>
      <c r="IL767" s="71"/>
      <c r="IM767" s="71"/>
      <c r="IN767" s="71"/>
      <c r="IO767" s="71"/>
      <c r="IP767" s="71"/>
      <c r="IQ767" s="71"/>
      <c r="IR767" s="71"/>
      <c r="IS767" s="71"/>
      <c r="IT767" s="71"/>
      <c r="IU767" s="71"/>
      <c r="IV767" s="71"/>
      <c r="IW767" s="71"/>
    </row>
    <row r="768" customFormat="false" ht="12.75" hidden="false" customHeight="false" outlineLevel="0" collapsed="false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/>
      <c r="CA768" s="71"/>
      <c r="CB768" s="71"/>
      <c r="CC768" s="71"/>
      <c r="CD768" s="71"/>
      <c r="CE768" s="71"/>
      <c r="CF768" s="71"/>
      <c r="CG768" s="71"/>
      <c r="CH768" s="71"/>
      <c r="CI768" s="71"/>
      <c r="CJ768" s="71"/>
      <c r="CK768" s="71"/>
      <c r="CL768" s="71"/>
      <c r="CM768" s="71"/>
      <c r="CN768" s="71"/>
      <c r="CO768" s="71"/>
      <c r="CP768" s="71"/>
      <c r="CQ768" s="71"/>
      <c r="CR768" s="71"/>
      <c r="CS768" s="71"/>
      <c r="CT768" s="71"/>
      <c r="CU768" s="71"/>
      <c r="CV768" s="71"/>
      <c r="CW768" s="71"/>
      <c r="CX768" s="71"/>
      <c r="CY768" s="71"/>
      <c r="CZ768" s="71"/>
      <c r="DA768" s="71"/>
      <c r="DB768" s="71"/>
      <c r="DC768" s="71"/>
      <c r="DD768" s="71"/>
      <c r="DE768" s="71"/>
      <c r="DF768" s="71"/>
      <c r="DG768" s="71"/>
      <c r="DH768" s="71"/>
      <c r="DI768" s="71"/>
      <c r="DJ768" s="71"/>
      <c r="DK768" s="71"/>
      <c r="DL768" s="71"/>
      <c r="DM768" s="71"/>
      <c r="DN768" s="71"/>
      <c r="DO768" s="71"/>
      <c r="DP768" s="71"/>
      <c r="DQ768" s="71"/>
      <c r="DR768" s="71"/>
      <c r="DS768" s="71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  <c r="IJ768" s="71"/>
      <c r="IK768" s="71"/>
      <c r="IL768" s="71"/>
      <c r="IM768" s="71"/>
      <c r="IN768" s="71"/>
      <c r="IO768" s="71"/>
      <c r="IP768" s="71"/>
      <c r="IQ768" s="71"/>
      <c r="IR768" s="71"/>
      <c r="IS768" s="71"/>
      <c r="IT768" s="71"/>
      <c r="IU768" s="71"/>
      <c r="IV768" s="71"/>
      <c r="IW768" s="71"/>
    </row>
    <row r="769" customFormat="false" ht="12.75" hidden="false" customHeight="false" outlineLevel="0" collapsed="false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71"/>
      <c r="CE769" s="71"/>
      <c r="CF769" s="71"/>
      <c r="CG769" s="71"/>
      <c r="CH769" s="71"/>
      <c r="CI769" s="71"/>
      <c r="CJ769" s="71"/>
      <c r="CK769" s="71"/>
      <c r="CL769" s="71"/>
      <c r="CM769" s="71"/>
      <c r="CN769" s="71"/>
      <c r="CO769" s="71"/>
      <c r="CP769" s="71"/>
      <c r="CQ769" s="71"/>
      <c r="CR769" s="71"/>
      <c r="CS769" s="71"/>
      <c r="CT769" s="71"/>
      <c r="CU769" s="71"/>
      <c r="CV769" s="71"/>
      <c r="CW769" s="71"/>
      <c r="CX769" s="71"/>
      <c r="CY769" s="71"/>
      <c r="CZ769" s="71"/>
      <c r="DA769" s="71"/>
      <c r="DB769" s="71"/>
      <c r="DC769" s="71"/>
      <c r="DD769" s="71"/>
      <c r="DE769" s="71"/>
      <c r="DF769" s="71"/>
      <c r="DG769" s="71"/>
      <c r="DH769" s="71"/>
      <c r="DI769" s="71"/>
      <c r="DJ769" s="71"/>
      <c r="DK769" s="71"/>
      <c r="DL769" s="71"/>
      <c r="DM769" s="71"/>
      <c r="DN769" s="71"/>
      <c r="DO769" s="71"/>
      <c r="DP769" s="71"/>
      <c r="DQ769" s="71"/>
      <c r="DR769" s="71"/>
      <c r="DS769" s="71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  <c r="IJ769" s="71"/>
      <c r="IK769" s="71"/>
      <c r="IL769" s="71"/>
      <c r="IM769" s="71"/>
      <c r="IN769" s="71"/>
      <c r="IO769" s="71"/>
      <c r="IP769" s="71"/>
      <c r="IQ769" s="71"/>
      <c r="IR769" s="71"/>
      <c r="IS769" s="71"/>
      <c r="IT769" s="71"/>
      <c r="IU769" s="71"/>
      <c r="IV769" s="71"/>
      <c r="IW769" s="71"/>
    </row>
    <row r="770" customFormat="false" ht="12.75" hidden="false" customHeight="false" outlineLevel="0" collapsed="false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/>
      <c r="BK770" s="71"/>
      <c r="BL770" s="71"/>
      <c r="BM770" s="71"/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1"/>
      <c r="CC770" s="71"/>
      <c r="CD770" s="71"/>
      <c r="CE770" s="71"/>
      <c r="CF770" s="71"/>
      <c r="CG770" s="71"/>
      <c r="CH770" s="71"/>
      <c r="CI770" s="71"/>
      <c r="CJ770" s="71"/>
      <c r="CK770" s="71"/>
      <c r="CL770" s="71"/>
      <c r="CM770" s="71"/>
      <c r="CN770" s="71"/>
      <c r="CO770" s="71"/>
      <c r="CP770" s="71"/>
      <c r="CQ770" s="71"/>
      <c r="CR770" s="71"/>
      <c r="CS770" s="71"/>
      <c r="CT770" s="71"/>
      <c r="CU770" s="71"/>
      <c r="CV770" s="71"/>
      <c r="CW770" s="71"/>
      <c r="CX770" s="71"/>
      <c r="CY770" s="71"/>
      <c r="CZ770" s="71"/>
      <c r="DA770" s="71"/>
      <c r="DB770" s="71"/>
      <c r="DC770" s="71"/>
      <c r="DD770" s="71"/>
      <c r="DE770" s="71"/>
      <c r="DF770" s="71"/>
      <c r="DG770" s="71"/>
      <c r="DH770" s="71"/>
      <c r="DI770" s="71"/>
      <c r="DJ770" s="71"/>
      <c r="DK770" s="71"/>
      <c r="DL770" s="71"/>
      <c r="DM770" s="71"/>
      <c r="DN770" s="71"/>
      <c r="DO770" s="71"/>
      <c r="DP770" s="71"/>
      <c r="DQ770" s="71"/>
      <c r="DR770" s="71"/>
      <c r="DS770" s="71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  <c r="IJ770" s="71"/>
      <c r="IK770" s="71"/>
      <c r="IL770" s="71"/>
      <c r="IM770" s="71"/>
      <c r="IN770" s="71"/>
      <c r="IO770" s="71"/>
      <c r="IP770" s="71"/>
      <c r="IQ770" s="71"/>
      <c r="IR770" s="71"/>
      <c r="IS770" s="71"/>
      <c r="IT770" s="71"/>
      <c r="IU770" s="71"/>
      <c r="IV770" s="71"/>
      <c r="IW770" s="71"/>
    </row>
    <row r="771" customFormat="false" ht="12.75" hidden="false" customHeight="false" outlineLevel="0" collapsed="false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/>
      <c r="BR771" s="71"/>
      <c r="BS771" s="71"/>
      <c r="BT771" s="71"/>
      <c r="BU771" s="71"/>
      <c r="BV771" s="71"/>
      <c r="BW771" s="71"/>
      <c r="BX771" s="71"/>
      <c r="BY771" s="71"/>
      <c r="BZ771" s="71"/>
      <c r="CA771" s="71"/>
      <c r="CB771" s="71"/>
      <c r="CC771" s="71"/>
      <c r="CD771" s="71"/>
      <c r="CE771" s="71"/>
      <c r="CF771" s="71"/>
      <c r="CG771" s="71"/>
      <c r="CH771" s="71"/>
      <c r="CI771" s="71"/>
      <c r="CJ771" s="71"/>
      <c r="CK771" s="71"/>
      <c r="CL771" s="71"/>
      <c r="CM771" s="71"/>
      <c r="CN771" s="71"/>
      <c r="CO771" s="71"/>
      <c r="CP771" s="71"/>
      <c r="CQ771" s="71"/>
      <c r="CR771" s="71"/>
      <c r="CS771" s="71"/>
      <c r="CT771" s="71"/>
      <c r="CU771" s="71"/>
      <c r="CV771" s="71"/>
      <c r="CW771" s="71"/>
      <c r="CX771" s="71"/>
      <c r="CY771" s="71"/>
      <c r="CZ771" s="71"/>
      <c r="DA771" s="71"/>
      <c r="DB771" s="71"/>
      <c r="DC771" s="71"/>
      <c r="DD771" s="71"/>
      <c r="DE771" s="71"/>
      <c r="DF771" s="71"/>
      <c r="DG771" s="71"/>
      <c r="DH771" s="71"/>
      <c r="DI771" s="71"/>
      <c r="DJ771" s="71"/>
      <c r="DK771" s="71"/>
      <c r="DL771" s="71"/>
      <c r="DM771" s="71"/>
      <c r="DN771" s="71"/>
      <c r="DO771" s="71"/>
      <c r="DP771" s="71"/>
      <c r="DQ771" s="71"/>
      <c r="DR771" s="71"/>
      <c r="DS771" s="71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  <c r="IJ771" s="71"/>
      <c r="IK771" s="71"/>
      <c r="IL771" s="71"/>
      <c r="IM771" s="71"/>
      <c r="IN771" s="71"/>
      <c r="IO771" s="71"/>
      <c r="IP771" s="71"/>
      <c r="IQ771" s="71"/>
      <c r="IR771" s="71"/>
      <c r="IS771" s="71"/>
      <c r="IT771" s="71"/>
      <c r="IU771" s="71"/>
      <c r="IV771" s="71"/>
      <c r="IW771" s="71"/>
    </row>
    <row r="772" customFormat="false" ht="12.75" hidden="false" customHeight="false" outlineLevel="0" collapsed="false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/>
      <c r="BK772" s="71"/>
      <c r="BL772" s="71"/>
      <c r="BM772" s="71"/>
      <c r="BN772" s="71"/>
      <c r="BO772" s="71"/>
      <c r="BP772" s="71"/>
      <c r="BQ772" s="71"/>
      <c r="BR772" s="71"/>
      <c r="BS772" s="71"/>
      <c r="BT772" s="71"/>
      <c r="BU772" s="71"/>
      <c r="BV772" s="71"/>
      <c r="BW772" s="71"/>
      <c r="BX772" s="71"/>
      <c r="BY772" s="71"/>
      <c r="BZ772" s="71"/>
      <c r="CA772" s="71"/>
      <c r="CB772" s="71"/>
      <c r="CC772" s="71"/>
      <c r="CD772" s="71"/>
      <c r="CE772" s="71"/>
      <c r="CF772" s="71"/>
      <c r="CG772" s="71"/>
      <c r="CH772" s="71"/>
      <c r="CI772" s="71"/>
      <c r="CJ772" s="71"/>
      <c r="CK772" s="71"/>
      <c r="CL772" s="71"/>
      <c r="CM772" s="71"/>
      <c r="CN772" s="71"/>
      <c r="CO772" s="71"/>
      <c r="CP772" s="71"/>
      <c r="CQ772" s="71"/>
      <c r="CR772" s="71"/>
      <c r="CS772" s="71"/>
      <c r="CT772" s="71"/>
      <c r="CU772" s="71"/>
      <c r="CV772" s="71"/>
      <c r="CW772" s="71"/>
      <c r="CX772" s="71"/>
      <c r="CY772" s="71"/>
      <c r="CZ772" s="71"/>
      <c r="DA772" s="71"/>
      <c r="DB772" s="71"/>
      <c r="DC772" s="71"/>
      <c r="DD772" s="71"/>
      <c r="DE772" s="71"/>
      <c r="DF772" s="71"/>
      <c r="DG772" s="71"/>
      <c r="DH772" s="71"/>
      <c r="DI772" s="71"/>
      <c r="DJ772" s="71"/>
      <c r="DK772" s="71"/>
      <c r="DL772" s="71"/>
      <c r="DM772" s="71"/>
      <c r="DN772" s="71"/>
      <c r="DO772" s="71"/>
      <c r="DP772" s="71"/>
      <c r="DQ772" s="71"/>
      <c r="DR772" s="71"/>
      <c r="DS772" s="71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  <c r="IJ772" s="71"/>
      <c r="IK772" s="71"/>
      <c r="IL772" s="71"/>
      <c r="IM772" s="71"/>
      <c r="IN772" s="71"/>
      <c r="IO772" s="71"/>
      <c r="IP772" s="71"/>
      <c r="IQ772" s="71"/>
      <c r="IR772" s="71"/>
      <c r="IS772" s="71"/>
      <c r="IT772" s="71"/>
      <c r="IU772" s="71"/>
      <c r="IV772" s="71"/>
      <c r="IW772" s="71"/>
    </row>
    <row r="773" customFormat="false" ht="12.75" hidden="false" customHeight="false" outlineLevel="0" collapsed="false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/>
      <c r="BR773" s="71"/>
      <c r="BS773" s="71"/>
      <c r="BT773" s="71"/>
      <c r="BU773" s="71"/>
      <c r="BV773" s="71"/>
      <c r="BW773" s="71"/>
      <c r="BX773" s="71"/>
      <c r="BY773" s="71"/>
      <c r="BZ773" s="71"/>
      <c r="CA773" s="71"/>
      <c r="CB773" s="71"/>
      <c r="CC773" s="71"/>
      <c r="CD773" s="71"/>
      <c r="CE773" s="71"/>
      <c r="CF773" s="71"/>
      <c r="CG773" s="71"/>
      <c r="CH773" s="71"/>
      <c r="CI773" s="71"/>
      <c r="CJ773" s="71"/>
      <c r="CK773" s="71"/>
      <c r="CL773" s="71"/>
      <c r="CM773" s="71"/>
      <c r="CN773" s="71"/>
      <c r="CO773" s="71"/>
      <c r="CP773" s="71"/>
      <c r="CQ773" s="71"/>
      <c r="CR773" s="71"/>
      <c r="CS773" s="71"/>
      <c r="CT773" s="71"/>
      <c r="CU773" s="71"/>
      <c r="CV773" s="71"/>
      <c r="CW773" s="71"/>
      <c r="CX773" s="71"/>
      <c r="CY773" s="71"/>
      <c r="CZ773" s="71"/>
      <c r="DA773" s="71"/>
      <c r="DB773" s="71"/>
      <c r="DC773" s="71"/>
      <c r="DD773" s="71"/>
      <c r="DE773" s="71"/>
      <c r="DF773" s="71"/>
      <c r="DG773" s="71"/>
      <c r="DH773" s="71"/>
      <c r="DI773" s="71"/>
      <c r="DJ773" s="71"/>
      <c r="DK773" s="71"/>
      <c r="DL773" s="71"/>
      <c r="DM773" s="71"/>
      <c r="DN773" s="71"/>
      <c r="DO773" s="71"/>
      <c r="DP773" s="71"/>
      <c r="DQ773" s="71"/>
      <c r="DR773" s="71"/>
      <c r="DS773" s="71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  <c r="IJ773" s="71"/>
      <c r="IK773" s="71"/>
      <c r="IL773" s="71"/>
      <c r="IM773" s="71"/>
      <c r="IN773" s="71"/>
      <c r="IO773" s="71"/>
      <c r="IP773" s="71"/>
      <c r="IQ773" s="71"/>
      <c r="IR773" s="71"/>
      <c r="IS773" s="71"/>
      <c r="IT773" s="71"/>
      <c r="IU773" s="71"/>
      <c r="IV773" s="71"/>
      <c r="IW773" s="71"/>
    </row>
    <row r="774" customFormat="false" ht="12.75" hidden="false" customHeight="false" outlineLevel="0" collapsed="false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/>
      <c r="BK774" s="71"/>
      <c r="BL774" s="71"/>
      <c r="BM774" s="71"/>
      <c r="BN774" s="71"/>
      <c r="BO774" s="71"/>
      <c r="BP774" s="71"/>
      <c r="BQ774" s="71"/>
      <c r="BR774" s="71"/>
      <c r="BS774" s="71"/>
      <c r="BT774" s="71"/>
      <c r="BU774" s="71"/>
      <c r="BV774" s="71"/>
      <c r="BW774" s="71"/>
      <c r="BX774" s="71"/>
      <c r="BY774" s="71"/>
      <c r="BZ774" s="71"/>
      <c r="CA774" s="71"/>
      <c r="CB774" s="71"/>
      <c r="CC774" s="71"/>
      <c r="CD774" s="71"/>
      <c r="CE774" s="71"/>
      <c r="CF774" s="71"/>
      <c r="CG774" s="71"/>
      <c r="CH774" s="71"/>
      <c r="CI774" s="71"/>
      <c r="CJ774" s="71"/>
      <c r="CK774" s="71"/>
      <c r="CL774" s="71"/>
      <c r="CM774" s="71"/>
      <c r="CN774" s="71"/>
      <c r="CO774" s="71"/>
      <c r="CP774" s="71"/>
      <c r="CQ774" s="71"/>
      <c r="CR774" s="71"/>
      <c r="CS774" s="71"/>
      <c r="CT774" s="71"/>
      <c r="CU774" s="71"/>
      <c r="CV774" s="71"/>
      <c r="CW774" s="71"/>
      <c r="CX774" s="71"/>
      <c r="CY774" s="71"/>
      <c r="CZ774" s="71"/>
      <c r="DA774" s="71"/>
      <c r="DB774" s="71"/>
      <c r="DC774" s="71"/>
      <c r="DD774" s="71"/>
      <c r="DE774" s="71"/>
      <c r="DF774" s="71"/>
      <c r="DG774" s="71"/>
      <c r="DH774" s="71"/>
      <c r="DI774" s="71"/>
      <c r="DJ774" s="71"/>
      <c r="DK774" s="71"/>
      <c r="DL774" s="71"/>
      <c r="DM774" s="71"/>
      <c r="DN774" s="71"/>
      <c r="DO774" s="71"/>
      <c r="DP774" s="71"/>
      <c r="DQ774" s="71"/>
      <c r="DR774" s="71"/>
      <c r="DS774" s="71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  <c r="IJ774" s="71"/>
      <c r="IK774" s="71"/>
      <c r="IL774" s="71"/>
      <c r="IM774" s="71"/>
      <c r="IN774" s="71"/>
      <c r="IO774" s="71"/>
      <c r="IP774" s="71"/>
      <c r="IQ774" s="71"/>
      <c r="IR774" s="71"/>
      <c r="IS774" s="71"/>
      <c r="IT774" s="71"/>
      <c r="IU774" s="71"/>
      <c r="IV774" s="71"/>
      <c r="IW774" s="71"/>
    </row>
    <row r="775" customFormat="false" ht="12.75" hidden="false" customHeight="false" outlineLevel="0" collapsed="false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/>
      <c r="BR775" s="71"/>
      <c r="BS775" s="71"/>
      <c r="BT775" s="71"/>
      <c r="BU775" s="71"/>
      <c r="BV775" s="71"/>
      <c r="BW775" s="71"/>
      <c r="BX775" s="71"/>
      <c r="BY775" s="71"/>
      <c r="BZ775" s="71"/>
      <c r="CA775" s="71"/>
      <c r="CB775" s="71"/>
      <c r="CC775" s="71"/>
      <c r="CD775" s="71"/>
      <c r="CE775" s="71"/>
      <c r="CF775" s="71"/>
      <c r="CG775" s="71"/>
      <c r="CH775" s="71"/>
      <c r="CI775" s="71"/>
      <c r="CJ775" s="71"/>
      <c r="CK775" s="71"/>
      <c r="CL775" s="71"/>
      <c r="CM775" s="71"/>
      <c r="CN775" s="71"/>
      <c r="CO775" s="71"/>
      <c r="CP775" s="71"/>
      <c r="CQ775" s="71"/>
      <c r="CR775" s="71"/>
      <c r="CS775" s="71"/>
      <c r="CT775" s="71"/>
      <c r="CU775" s="71"/>
      <c r="CV775" s="71"/>
      <c r="CW775" s="71"/>
      <c r="CX775" s="71"/>
      <c r="CY775" s="71"/>
      <c r="CZ775" s="71"/>
      <c r="DA775" s="71"/>
      <c r="DB775" s="71"/>
      <c r="DC775" s="71"/>
      <c r="DD775" s="71"/>
      <c r="DE775" s="71"/>
      <c r="DF775" s="71"/>
      <c r="DG775" s="71"/>
      <c r="DH775" s="71"/>
      <c r="DI775" s="71"/>
      <c r="DJ775" s="71"/>
      <c r="DK775" s="71"/>
      <c r="DL775" s="71"/>
      <c r="DM775" s="71"/>
      <c r="DN775" s="71"/>
      <c r="DO775" s="71"/>
      <c r="DP775" s="71"/>
      <c r="DQ775" s="71"/>
      <c r="DR775" s="71"/>
      <c r="DS775" s="71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  <c r="IJ775" s="71"/>
      <c r="IK775" s="71"/>
      <c r="IL775" s="71"/>
      <c r="IM775" s="71"/>
      <c r="IN775" s="71"/>
      <c r="IO775" s="71"/>
      <c r="IP775" s="71"/>
      <c r="IQ775" s="71"/>
      <c r="IR775" s="71"/>
      <c r="IS775" s="71"/>
      <c r="IT775" s="71"/>
      <c r="IU775" s="71"/>
      <c r="IV775" s="71"/>
      <c r="IW775" s="71"/>
    </row>
    <row r="776" customFormat="false" ht="12.75" hidden="false" customHeight="false" outlineLevel="0" collapsed="false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  <c r="BH776" s="71"/>
      <c r="BI776" s="71"/>
      <c r="BJ776" s="71"/>
      <c r="BK776" s="71"/>
      <c r="BL776" s="71"/>
      <c r="BM776" s="71"/>
      <c r="BN776" s="71"/>
      <c r="BO776" s="71"/>
      <c r="BP776" s="71"/>
      <c r="BQ776" s="71"/>
      <c r="BR776" s="71"/>
      <c r="BS776" s="71"/>
      <c r="BT776" s="71"/>
      <c r="BU776" s="71"/>
      <c r="BV776" s="71"/>
      <c r="BW776" s="71"/>
      <c r="BX776" s="71"/>
      <c r="BY776" s="71"/>
      <c r="BZ776" s="71"/>
      <c r="CA776" s="71"/>
      <c r="CB776" s="71"/>
      <c r="CC776" s="71"/>
      <c r="CD776" s="71"/>
      <c r="CE776" s="71"/>
      <c r="CF776" s="71"/>
      <c r="CG776" s="71"/>
      <c r="CH776" s="71"/>
      <c r="CI776" s="71"/>
      <c r="CJ776" s="71"/>
      <c r="CK776" s="71"/>
      <c r="CL776" s="71"/>
      <c r="CM776" s="71"/>
      <c r="CN776" s="71"/>
      <c r="CO776" s="71"/>
      <c r="CP776" s="71"/>
      <c r="CQ776" s="71"/>
      <c r="CR776" s="71"/>
      <c r="CS776" s="71"/>
      <c r="CT776" s="71"/>
      <c r="CU776" s="71"/>
      <c r="CV776" s="71"/>
      <c r="CW776" s="71"/>
      <c r="CX776" s="71"/>
      <c r="CY776" s="71"/>
      <c r="CZ776" s="71"/>
      <c r="DA776" s="71"/>
      <c r="DB776" s="71"/>
      <c r="DC776" s="71"/>
      <c r="DD776" s="71"/>
      <c r="DE776" s="71"/>
      <c r="DF776" s="71"/>
      <c r="DG776" s="71"/>
      <c r="DH776" s="71"/>
      <c r="DI776" s="71"/>
      <c r="DJ776" s="71"/>
      <c r="DK776" s="71"/>
      <c r="DL776" s="71"/>
      <c r="DM776" s="71"/>
      <c r="DN776" s="71"/>
      <c r="DO776" s="71"/>
      <c r="DP776" s="71"/>
      <c r="DQ776" s="71"/>
      <c r="DR776" s="71"/>
      <c r="DS776" s="71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  <c r="IJ776" s="71"/>
      <c r="IK776" s="71"/>
      <c r="IL776" s="71"/>
      <c r="IM776" s="71"/>
      <c r="IN776" s="71"/>
      <c r="IO776" s="71"/>
      <c r="IP776" s="71"/>
      <c r="IQ776" s="71"/>
      <c r="IR776" s="71"/>
      <c r="IS776" s="71"/>
      <c r="IT776" s="71"/>
      <c r="IU776" s="71"/>
      <c r="IV776" s="71"/>
      <c r="IW776" s="71"/>
    </row>
    <row r="777" customFormat="false" ht="12.75" hidden="false" customHeight="false" outlineLevel="0" collapsed="false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/>
      <c r="BR777" s="71"/>
      <c r="BS777" s="71"/>
      <c r="BT777" s="71"/>
      <c r="BU777" s="71"/>
      <c r="BV777" s="71"/>
      <c r="BW777" s="71"/>
      <c r="BX777" s="71"/>
      <c r="BY777" s="71"/>
      <c r="BZ777" s="71"/>
      <c r="CA777" s="71"/>
      <c r="CB777" s="71"/>
      <c r="CC777" s="71"/>
      <c r="CD777" s="71"/>
      <c r="CE777" s="71"/>
      <c r="CF777" s="71"/>
      <c r="CG777" s="71"/>
      <c r="CH777" s="71"/>
      <c r="CI777" s="71"/>
      <c r="CJ777" s="71"/>
      <c r="CK777" s="71"/>
      <c r="CL777" s="71"/>
      <c r="CM777" s="71"/>
      <c r="CN777" s="71"/>
      <c r="CO777" s="71"/>
      <c r="CP777" s="71"/>
      <c r="CQ777" s="71"/>
      <c r="CR777" s="71"/>
      <c r="CS777" s="71"/>
      <c r="CT777" s="71"/>
      <c r="CU777" s="71"/>
      <c r="CV777" s="71"/>
      <c r="CW777" s="71"/>
      <c r="CX777" s="71"/>
      <c r="CY777" s="71"/>
      <c r="CZ777" s="71"/>
      <c r="DA777" s="71"/>
      <c r="DB777" s="71"/>
      <c r="DC777" s="71"/>
      <c r="DD777" s="71"/>
      <c r="DE777" s="71"/>
      <c r="DF777" s="71"/>
      <c r="DG777" s="71"/>
      <c r="DH777" s="71"/>
      <c r="DI777" s="71"/>
      <c r="DJ777" s="71"/>
      <c r="DK777" s="71"/>
      <c r="DL777" s="71"/>
      <c r="DM777" s="71"/>
      <c r="DN777" s="71"/>
      <c r="DO777" s="71"/>
      <c r="DP777" s="71"/>
      <c r="DQ777" s="71"/>
      <c r="DR777" s="71"/>
      <c r="DS777" s="71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  <c r="IJ777" s="71"/>
      <c r="IK777" s="71"/>
      <c r="IL777" s="71"/>
      <c r="IM777" s="71"/>
      <c r="IN777" s="71"/>
      <c r="IO777" s="71"/>
      <c r="IP777" s="71"/>
      <c r="IQ777" s="71"/>
      <c r="IR777" s="71"/>
      <c r="IS777" s="71"/>
      <c r="IT777" s="71"/>
      <c r="IU777" s="71"/>
      <c r="IV777" s="71"/>
      <c r="IW777" s="71"/>
    </row>
    <row r="778" customFormat="false" ht="12.75" hidden="false" customHeight="false" outlineLevel="0" collapsed="false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/>
      <c r="BK778" s="71"/>
      <c r="BL778" s="71"/>
      <c r="BM778" s="71"/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1"/>
      <c r="CB778" s="71"/>
      <c r="CC778" s="71"/>
      <c r="CD778" s="71"/>
      <c r="CE778" s="71"/>
      <c r="CF778" s="71"/>
      <c r="CG778" s="71"/>
      <c r="CH778" s="71"/>
      <c r="CI778" s="71"/>
      <c r="CJ778" s="71"/>
      <c r="CK778" s="71"/>
      <c r="CL778" s="71"/>
      <c r="CM778" s="71"/>
      <c r="CN778" s="71"/>
      <c r="CO778" s="71"/>
      <c r="CP778" s="71"/>
      <c r="CQ778" s="71"/>
      <c r="CR778" s="71"/>
      <c r="CS778" s="71"/>
      <c r="CT778" s="71"/>
      <c r="CU778" s="71"/>
      <c r="CV778" s="71"/>
      <c r="CW778" s="71"/>
      <c r="CX778" s="71"/>
      <c r="CY778" s="71"/>
      <c r="CZ778" s="71"/>
      <c r="DA778" s="71"/>
      <c r="DB778" s="71"/>
      <c r="DC778" s="71"/>
      <c r="DD778" s="71"/>
      <c r="DE778" s="71"/>
      <c r="DF778" s="71"/>
      <c r="DG778" s="71"/>
      <c r="DH778" s="71"/>
      <c r="DI778" s="71"/>
      <c r="DJ778" s="71"/>
      <c r="DK778" s="71"/>
      <c r="DL778" s="71"/>
      <c r="DM778" s="71"/>
      <c r="DN778" s="71"/>
      <c r="DO778" s="71"/>
      <c r="DP778" s="71"/>
      <c r="DQ778" s="71"/>
      <c r="DR778" s="71"/>
      <c r="DS778" s="71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  <c r="IJ778" s="71"/>
      <c r="IK778" s="71"/>
      <c r="IL778" s="71"/>
      <c r="IM778" s="71"/>
      <c r="IN778" s="71"/>
      <c r="IO778" s="71"/>
      <c r="IP778" s="71"/>
      <c r="IQ778" s="71"/>
      <c r="IR778" s="71"/>
      <c r="IS778" s="71"/>
      <c r="IT778" s="71"/>
      <c r="IU778" s="71"/>
      <c r="IV778" s="71"/>
      <c r="IW778" s="71"/>
    </row>
    <row r="779" customFormat="false" ht="12.75" hidden="false" customHeight="false" outlineLevel="0" collapsed="false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/>
      <c r="BR779" s="71"/>
      <c r="BS779" s="71"/>
      <c r="BT779" s="71"/>
      <c r="BU779" s="71"/>
      <c r="BV779" s="71"/>
      <c r="BW779" s="71"/>
      <c r="BX779" s="71"/>
      <c r="BY779" s="71"/>
      <c r="BZ779" s="71"/>
      <c r="CA779" s="71"/>
      <c r="CB779" s="71"/>
      <c r="CC779" s="71"/>
      <c r="CD779" s="71"/>
      <c r="CE779" s="71"/>
      <c r="CF779" s="71"/>
      <c r="CG779" s="71"/>
      <c r="CH779" s="71"/>
      <c r="CI779" s="71"/>
      <c r="CJ779" s="71"/>
      <c r="CK779" s="71"/>
      <c r="CL779" s="71"/>
      <c r="CM779" s="71"/>
      <c r="CN779" s="71"/>
      <c r="CO779" s="71"/>
      <c r="CP779" s="71"/>
      <c r="CQ779" s="71"/>
      <c r="CR779" s="71"/>
      <c r="CS779" s="71"/>
      <c r="CT779" s="71"/>
      <c r="CU779" s="71"/>
      <c r="CV779" s="71"/>
      <c r="CW779" s="71"/>
      <c r="CX779" s="71"/>
      <c r="CY779" s="71"/>
      <c r="CZ779" s="71"/>
      <c r="DA779" s="71"/>
      <c r="DB779" s="71"/>
      <c r="DC779" s="71"/>
      <c r="DD779" s="71"/>
      <c r="DE779" s="71"/>
      <c r="DF779" s="71"/>
      <c r="DG779" s="71"/>
      <c r="DH779" s="71"/>
      <c r="DI779" s="71"/>
      <c r="DJ779" s="71"/>
      <c r="DK779" s="71"/>
      <c r="DL779" s="71"/>
      <c r="DM779" s="71"/>
      <c r="DN779" s="71"/>
      <c r="DO779" s="71"/>
      <c r="DP779" s="71"/>
      <c r="DQ779" s="71"/>
      <c r="DR779" s="71"/>
      <c r="DS779" s="71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  <c r="IJ779" s="71"/>
      <c r="IK779" s="71"/>
      <c r="IL779" s="71"/>
      <c r="IM779" s="71"/>
      <c r="IN779" s="71"/>
      <c r="IO779" s="71"/>
      <c r="IP779" s="71"/>
      <c r="IQ779" s="71"/>
      <c r="IR779" s="71"/>
      <c r="IS779" s="71"/>
      <c r="IT779" s="71"/>
      <c r="IU779" s="71"/>
      <c r="IV779" s="71"/>
      <c r="IW779" s="71"/>
    </row>
    <row r="780" customFormat="false" ht="12.75" hidden="false" customHeight="false" outlineLevel="0" collapsed="false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/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71"/>
      <c r="CE780" s="71"/>
      <c r="CF780" s="71"/>
      <c r="CG780" s="71"/>
      <c r="CH780" s="71"/>
      <c r="CI780" s="71"/>
      <c r="CJ780" s="71"/>
      <c r="CK780" s="71"/>
      <c r="CL780" s="71"/>
      <c r="CM780" s="71"/>
      <c r="CN780" s="71"/>
      <c r="CO780" s="71"/>
      <c r="CP780" s="71"/>
      <c r="CQ780" s="71"/>
      <c r="CR780" s="71"/>
      <c r="CS780" s="71"/>
      <c r="CT780" s="71"/>
      <c r="CU780" s="71"/>
      <c r="CV780" s="71"/>
      <c r="CW780" s="71"/>
      <c r="CX780" s="71"/>
      <c r="CY780" s="71"/>
      <c r="CZ780" s="71"/>
      <c r="DA780" s="71"/>
      <c r="DB780" s="71"/>
      <c r="DC780" s="71"/>
      <c r="DD780" s="71"/>
      <c r="DE780" s="71"/>
      <c r="DF780" s="71"/>
      <c r="DG780" s="71"/>
      <c r="DH780" s="71"/>
      <c r="DI780" s="71"/>
      <c r="DJ780" s="71"/>
      <c r="DK780" s="71"/>
      <c r="DL780" s="71"/>
      <c r="DM780" s="71"/>
      <c r="DN780" s="71"/>
      <c r="DO780" s="71"/>
      <c r="DP780" s="71"/>
      <c r="DQ780" s="71"/>
      <c r="DR780" s="71"/>
      <c r="DS780" s="71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  <c r="IJ780" s="71"/>
      <c r="IK780" s="71"/>
      <c r="IL780" s="71"/>
      <c r="IM780" s="71"/>
      <c r="IN780" s="71"/>
      <c r="IO780" s="71"/>
      <c r="IP780" s="71"/>
      <c r="IQ780" s="71"/>
      <c r="IR780" s="71"/>
      <c r="IS780" s="71"/>
      <c r="IT780" s="71"/>
      <c r="IU780" s="71"/>
      <c r="IV780" s="71"/>
      <c r="IW780" s="71"/>
    </row>
    <row r="781" customFormat="false" ht="12.75" hidden="false" customHeight="false" outlineLevel="0" collapsed="false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/>
      <c r="BK781" s="71"/>
      <c r="BL781" s="71"/>
      <c r="BM781" s="71"/>
      <c r="BN781" s="71"/>
      <c r="BO781" s="71"/>
      <c r="BP781" s="71"/>
      <c r="BQ781" s="71"/>
      <c r="BR781" s="71"/>
      <c r="BS781" s="71"/>
      <c r="BT781" s="71"/>
      <c r="BU781" s="71"/>
      <c r="BV781" s="71"/>
      <c r="BW781" s="71"/>
      <c r="BX781" s="71"/>
      <c r="BY781" s="71"/>
      <c r="BZ781" s="71"/>
      <c r="CA781" s="71"/>
      <c r="CB781" s="71"/>
      <c r="CC781" s="71"/>
      <c r="CD781" s="71"/>
      <c r="CE781" s="71"/>
      <c r="CF781" s="71"/>
      <c r="CG781" s="71"/>
      <c r="CH781" s="71"/>
      <c r="CI781" s="71"/>
      <c r="CJ781" s="71"/>
      <c r="CK781" s="71"/>
      <c r="CL781" s="71"/>
      <c r="CM781" s="71"/>
      <c r="CN781" s="71"/>
      <c r="CO781" s="71"/>
      <c r="CP781" s="71"/>
      <c r="CQ781" s="71"/>
      <c r="CR781" s="71"/>
      <c r="CS781" s="71"/>
      <c r="CT781" s="71"/>
      <c r="CU781" s="71"/>
      <c r="CV781" s="71"/>
      <c r="CW781" s="71"/>
      <c r="CX781" s="71"/>
      <c r="CY781" s="71"/>
      <c r="CZ781" s="71"/>
      <c r="DA781" s="71"/>
      <c r="DB781" s="71"/>
      <c r="DC781" s="71"/>
      <c r="DD781" s="71"/>
      <c r="DE781" s="71"/>
      <c r="DF781" s="71"/>
      <c r="DG781" s="71"/>
      <c r="DH781" s="71"/>
      <c r="DI781" s="71"/>
      <c r="DJ781" s="71"/>
      <c r="DK781" s="71"/>
      <c r="DL781" s="71"/>
      <c r="DM781" s="71"/>
      <c r="DN781" s="71"/>
      <c r="DO781" s="71"/>
      <c r="DP781" s="71"/>
      <c r="DQ781" s="71"/>
      <c r="DR781" s="71"/>
      <c r="DS781" s="71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  <c r="IJ781" s="71"/>
      <c r="IK781" s="71"/>
      <c r="IL781" s="71"/>
      <c r="IM781" s="71"/>
      <c r="IN781" s="71"/>
      <c r="IO781" s="71"/>
      <c r="IP781" s="71"/>
      <c r="IQ781" s="71"/>
      <c r="IR781" s="71"/>
      <c r="IS781" s="71"/>
      <c r="IT781" s="71"/>
      <c r="IU781" s="71"/>
      <c r="IV781" s="71"/>
      <c r="IW781" s="71"/>
    </row>
    <row r="782" customFormat="false" ht="12.75" hidden="false" customHeight="false" outlineLevel="0" collapsed="false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/>
      <c r="BK782" s="71"/>
      <c r="BL782" s="71"/>
      <c r="BM782" s="71"/>
      <c r="BN782" s="71"/>
      <c r="BO782" s="71"/>
      <c r="BP782" s="71"/>
      <c r="BQ782" s="71"/>
      <c r="BR782" s="71"/>
      <c r="BS782" s="71"/>
      <c r="BT782" s="71"/>
      <c r="BU782" s="71"/>
      <c r="BV782" s="71"/>
      <c r="BW782" s="71"/>
      <c r="BX782" s="71"/>
      <c r="BY782" s="71"/>
      <c r="BZ782" s="71"/>
      <c r="CA782" s="71"/>
      <c r="CB782" s="71"/>
      <c r="CC782" s="71"/>
      <c r="CD782" s="71"/>
      <c r="CE782" s="71"/>
      <c r="CF782" s="71"/>
      <c r="CG782" s="71"/>
      <c r="CH782" s="71"/>
      <c r="CI782" s="71"/>
      <c r="CJ782" s="71"/>
      <c r="CK782" s="71"/>
      <c r="CL782" s="71"/>
      <c r="CM782" s="71"/>
      <c r="CN782" s="71"/>
      <c r="CO782" s="71"/>
      <c r="CP782" s="71"/>
      <c r="CQ782" s="71"/>
      <c r="CR782" s="71"/>
      <c r="CS782" s="71"/>
      <c r="CT782" s="71"/>
      <c r="CU782" s="71"/>
      <c r="CV782" s="71"/>
      <c r="CW782" s="71"/>
      <c r="CX782" s="71"/>
      <c r="CY782" s="71"/>
      <c r="CZ782" s="71"/>
      <c r="DA782" s="71"/>
      <c r="DB782" s="71"/>
      <c r="DC782" s="71"/>
      <c r="DD782" s="71"/>
      <c r="DE782" s="71"/>
      <c r="DF782" s="71"/>
      <c r="DG782" s="71"/>
      <c r="DH782" s="71"/>
      <c r="DI782" s="71"/>
      <c r="DJ782" s="71"/>
      <c r="DK782" s="71"/>
      <c r="DL782" s="71"/>
      <c r="DM782" s="71"/>
      <c r="DN782" s="71"/>
      <c r="DO782" s="71"/>
      <c r="DP782" s="71"/>
      <c r="DQ782" s="71"/>
      <c r="DR782" s="71"/>
      <c r="DS782" s="71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  <c r="IJ782" s="71"/>
      <c r="IK782" s="71"/>
      <c r="IL782" s="71"/>
      <c r="IM782" s="71"/>
      <c r="IN782" s="71"/>
      <c r="IO782" s="71"/>
      <c r="IP782" s="71"/>
      <c r="IQ782" s="71"/>
      <c r="IR782" s="71"/>
      <c r="IS782" s="71"/>
      <c r="IT782" s="71"/>
      <c r="IU782" s="71"/>
      <c r="IV782" s="71"/>
      <c r="IW782" s="71"/>
    </row>
    <row r="783" customFormat="false" ht="12.75" hidden="false" customHeight="false" outlineLevel="0" collapsed="false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  <c r="BH783" s="71"/>
      <c r="BI783" s="71"/>
      <c r="BJ783" s="71"/>
      <c r="BK783" s="71"/>
      <c r="BL783" s="71"/>
      <c r="BM783" s="71"/>
      <c r="BN783" s="71"/>
      <c r="BO783" s="71"/>
      <c r="BP783" s="71"/>
      <c r="BQ783" s="71"/>
      <c r="BR783" s="71"/>
      <c r="BS783" s="71"/>
      <c r="BT783" s="71"/>
      <c r="BU783" s="71"/>
      <c r="BV783" s="71"/>
      <c r="BW783" s="71"/>
      <c r="BX783" s="71"/>
      <c r="BY783" s="71"/>
      <c r="BZ783" s="71"/>
      <c r="CA783" s="71"/>
      <c r="CB783" s="71"/>
      <c r="CC783" s="71"/>
      <c r="CD783" s="71"/>
      <c r="CE783" s="71"/>
      <c r="CF783" s="71"/>
      <c r="CG783" s="71"/>
      <c r="CH783" s="71"/>
      <c r="CI783" s="71"/>
      <c r="CJ783" s="71"/>
      <c r="CK783" s="71"/>
      <c r="CL783" s="71"/>
      <c r="CM783" s="71"/>
      <c r="CN783" s="71"/>
      <c r="CO783" s="71"/>
      <c r="CP783" s="71"/>
      <c r="CQ783" s="71"/>
      <c r="CR783" s="71"/>
      <c r="CS783" s="71"/>
      <c r="CT783" s="71"/>
      <c r="CU783" s="71"/>
      <c r="CV783" s="71"/>
      <c r="CW783" s="71"/>
      <c r="CX783" s="71"/>
      <c r="CY783" s="71"/>
      <c r="CZ783" s="71"/>
      <c r="DA783" s="71"/>
      <c r="DB783" s="71"/>
      <c r="DC783" s="71"/>
      <c r="DD783" s="71"/>
      <c r="DE783" s="71"/>
      <c r="DF783" s="71"/>
      <c r="DG783" s="71"/>
      <c r="DH783" s="71"/>
      <c r="DI783" s="71"/>
      <c r="DJ783" s="71"/>
      <c r="DK783" s="71"/>
      <c r="DL783" s="71"/>
      <c r="DM783" s="71"/>
      <c r="DN783" s="71"/>
      <c r="DO783" s="71"/>
      <c r="DP783" s="71"/>
      <c r="DQ783" s="71"/>
      <c r="DR783" s="71"/>
      <c r="DS783" s="71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  <c r="IJ783" s="71"/>
      <c r="IK783" s="71"/>
      <c r="IL783" s="71"/>
      <c r="IM783" s="71"/>
      <c r="IN783" s="71"/>
      <c r="IO783" s="71"/>
      <c r="IP783" s="71"/>
      <c r="IQ783" s="71"/>
      <c r="IR783" s="71"/>
      <c r="IS783" s="71"/>
      <c r="IT783" s="71"/>
      <c r="IU783" s="71"/>
      <c r="IV783" s="71"/>
      <c r="IW783" s="71"/>
    </row>
    <row r="784" customFormat="false" ht="12.75" hidden="false" customHeight="false" outlineLevel="0" collapsed="false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1"/>
      <c r="CB784" s="71"/>
      <c r="CC784" s="71"/>
      <c r="CD784" s="71"/>
      <c r="CE784" s="71"/>
      <c r="CF784" s="71"/>
      <c r="CG784" s="71"/>
      <c r="CH784" s="71"/>
      <c r="CI784" s="71"/>
      <c r="CJ784" s="71"/>
      <c r="CK784" s="71"/>
      <c r="CL784" s="71"/>
      <c r="CM784" s="71"/>
      <c r="CN784" s="71"/>
      <c r="CO784" s="71"/>
      <c r="CP784" s="71"/>
      <c r="CQ784" s="71"/>
      <c r="CR784" s="71"/>
      <c r="CS784" s="71"/>
      <c r="CT784" s="71"/>
      <c r="CU784" s="71"/>
      <c r="CV784" s="71"/>
      <c r="CW784" s="71"/>
      <c r="CX784" s="71"/>
      <c r="CY784" s="71"/>
      <c r="CZ784" s="71"/>
      <c r="DA784" s="71"/>
      <c r="DB784" s="71"/>
      <c r="DC784" s="71"/>
      <c r="DD784" s="71"/>
      <c r="DE784" s="71"/>
      <c r="DF784" s="71"/>
      <c r="DG784" s="71"/>
      <c r="DH784" s="71"/>
      <c r="DI784" s="71"/>
      <c r="DJ784" s="71"/>
      <c r="DK784" s="71"/>
      <c r="DL784" s="71"/>
      <c r="DM784" s="71"/>
      <c r="DN784" s="71"/>
      <c r="DO784" s="71"/>
      <c r="DP784" s="71"/>
      <c r="DQ784" s="71"/>
      <c r="DR784" s="71"/>
      <c r="DS784" s="71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  <c r="IJ784" s="71"/>
      <c r="IK784" s="71"/>
      <c r="IL784" s="71"/>
      <c r="IM784" s="71"/>
      <c r="IN784" s="71"/>
      <c r="IO784" s="71"/>
      <c r="IP784" s="71"/>
      <c r="IQ784" s="71"/>
      <c r="IR784" s="71"/>
      <c r="IS784" s="71"/>
      <c r="IT784" s="71"/>
      <c r="IU784" s="71"/>
      <c r="IV784" s="71"/>
      <c r="IW784" s="71"/>
    </row>
    <row r="785" customFormat="false" ht="12.75" hidden="false" customHeight="false" outlineLevel="0" collapsed="false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  <c r="BC785" s="71"/>
      <c r="BD785" s="71"/>
      <c r="BE785" s="71"/>
      <c r="BF785" s="71"/>
      <c r="BG785" s="71"/>
      <c r="BH785" s="71"/>
      <c r="BI785" s="71"/>
      <c r="BJ785" s="71"/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/>
      <c r="BX785" s="71"/>
      <c r="BY785" s="71"/>
      <c r="BZ785" s="71"/>
      <c r="CA785" s="71"/>
      <c r="CB785" s="71"/>
      <c r="CC785" s="71"/>
      <c r="CD785" s="71"/>
      <c r="CE785" s="71"/>
      <c r="CF785" s="71"/>
      <c r="CG785" s="71"/>
      <c r="CH785" s="71"/>
      <c r="CI785" s="71"/>
      <c r="CJ785" s="71"/>
      <c r="CK785" s="71"/>
      <c r="CL785" s="71"/>
      <c r="CM785" s="71"/>
      <c r="CN785" s="71"/>
      <c r="CO785" s="71"/>
      <c r="CP785" s="71"/>
      <c r="CQ785" s="71"/>
      <c r="CR785" s="71"/>
      <c r="CS785" s="71"/>
      <c r="CT785" s="71"/>
      <c r="CU785" s="71"/>
      <c r="CV785" s="71"/>
      <c r="CW785" s="71"/>
      <c r="CX785" s="71"/>
      <c r="CY785" s="71"/>
      <c r="CZ785" s="71"/>
      <c r="DA785" s="71"/>
      <c r="DB785" s="71"/>
      <c r="DC785" s="71"/>
      <c r="DD785" s="71"/>
      <c r="DE785" s="71"/>
      <c r="DF785" s="71"/>
      <c r="DG785" s="71"/>
      <c r="DH785" s="71"/>
      <c r="DI785" s="71"/>
      <c r="DJ785" s="71"/>
      <c r="DK785" s="71"/>
      <c r="DL785" s="71"/>
      <c r="DM785" s="71"/>
      <c r="DN785" s="71"/>
      <c r="DO785" s="71"/>
      <c r="DP785" s="71"/>
      <c r="DQ785" s="71"/>
      <c r="DR785" s="71"/>
      <c r="DS785" s="71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  <c r="IJ785" s="71"/>
      <c r="IK785" s="71"/>
      <c r="IL785" s="71"/>
      <c r="IM785" s="71"/>
      <c r="IN785" s="71"/>
      <c r="IO785" s="71"/>
      <c r="IP785" s="71"/>
      <c r="IQ785" s="71"/>
      <c r="IR785" s="71"/>
      <c r="IS785" s="71"/>
      <c r="IT785" s="71"/>
      <c r="IU785" s="71"/>
      <c r="IV785" s="71"/>
      <c r="IW785" s="71"/>
    </row>
    <row r="786" customFormat="false" ht="12.75" hidden="false" customHeight="false" outlineLevel="0" collapsed="false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1"/>
      <c r="CB786" s="71"/>
      <c r="CC786" s="71"/>
      <c r="CD786" s="71"/>
      <c r="CE786" s="71"/>
      <c r="CF786" s="71"/>
      <c r="CG786" s="71"/>
      <c r="CH786" s="71"/>
      <c r="CI786" s="71"/>
      <c r="CJ786" s="71"/>
      <c r="CK786" s="71"/>
      <c r="CL786" s="71"/>
      <c r="CM786" s="71"/>
      <c r="CN786" s="71"/>
      <c r="CO786" s="71"/>
      <c r="CP786" s="71"/>
      <c r="CQ786" s="71"/>
      <c r="CR786" s="71"/>
      <c r="CS786" s="71"/>
      <c r="CT786" s="71"/>
      <c r="CU786" s="71"/>
      <c r="CV786" s="71"/>
      <c r="CW786" s="71"/>
      <c r="CX786" s="71"/>
      <c r="CY786" s="71"/>
      <c r="CZ786" s="71"/>
      <c r="DA786" s="71"/>
      <c r="DB786" s="71"/>
      <c r="DC786" s="71"/>
      <c r="DD786" s="71"/>
      <c r="DE786" s="71"/>
      <c r="DF786" s="71"/>
      <c r="DG786" s="71"/>
      <c r="DH786" s="71"/>
      <c r="DI786" s="71"/>
      <c r="DJ786" s="71"/>
      <c r="DK786" s="71"/>
      <c r="DL786" s="71"/>
      <c r="DM786" s="71"/>
      <c r="DN786" s="71"/>
      <c r="DO786" s="71"/>
      <c r="DP786" s="71"/>
      <c r="DQ786" s="71"/>
      <c r="DR786" s="71"/>
      <c r="DS786" s="71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  <c r="IJ786" s="71"/>
      <c r="IK786" s="71"/>
      <c r="IL786" s="71"/>
      <c r="IM786" s="71"/>
      <c r="IN786" s="71"/>
      <c r="IO786" s="71"/>
      <c r="IP786" s="71"/>
      <c r="IQ786" s="71"/>
      <c r="IR786" s="71"/>
      <c r="IS786" s="71"/>
      <c r="IT786" s="71"/>
      <c r="IU786" s="71"/>
      <c r="IV786" s="71"/>
      <c r="IW786" s="71"/>
    </row>
    <row r="787" customFormat="false" ht="12.75" hidden="false" customHeight="false" outlineLevel="0" collapsed="false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  <c r="BH787" s="71"/>
      <c r="BI787" s="71"/>
      <c r="BJ787" s="71"/>
      <c r="BK787" s="71"/>
      <c r="BL787" s="71"/>
      <c r="BM787" s="71"/>
      <c r="BN787" s="71"/>
      <c r="BO787" s="71"/>
      <c r="BP787" s="71"/>
      <c r="BQ787" s="71"/>
      <c r="BR787" s="71"/>
      <c r="BS787" s="71"/>
      <c r="BT787" s="71"/>
      <c r="BU787" s="71"/>
      <c r="BV787" s="71"/>
      <c r="BW787" s="71"/>
      <c r="BX787" s="71"/>
      <c r="BY787" s="71"/>
      <c r="BZ787" s="71"/>
      <c r="CA787" s="71"/>
      <c r="CB787" s="71"/>
      <c r="CC787" s="71"/>
      <c r="CD787" s="71"/>
      <c r="CE787" s="71"/>
      <c r="CF787" s="71"/>
      <c r="CG787" s="71"/>
      <c r="CH787" s="71"/>
      <c r="CI787" s="71"/>
      <c r="CJ787" s="71"/>
      <c r="CK787" s="71"/>
      <c r="CL787" s="71"/>
      <c r="CM787" s="71"/>
      <c r="CN787" s="71"/>
      <c r="CO787" s="71"/>
      <c r="CP787" s="71"/>
      <c r="CQ787" s="71"/>
      <c r="CR787" s="71"/>
      <c r="CS787" s="71"/>
      <c r="CT787" s="71"/>
      <c r="CU787" s="71"/>
      <c r="CV787" s="71"/>
      <c r="CW787" s="71"/>
      <c r="CX787" s="71"/>
      <c r="CY787" s="71"/>
      <c r="CZ787" s="71"/>
      <c r="DA787" s="71"/>
      <c r="DB787" s="71"/>
      <c r="DC787" s="71"/>
      <c r="DD787" s="71"/>
      <c r="DE787" s="71"/>
      <c r="DF787" s="71"/>
      <c r="DG787" s="71"/>
      <c r="DH787" s="71"/>
      <c r="DI787" s="71"/>
      <c r="DJ787" s="71"/>
      <c r="DK787" s="71"/>
      <c r="DL787" s="71"/>
      <c r="DM787" s="71"/>
      <c r="DN787" s="71"/>
      <c r="DO787" s="71"/>
      <c r="DP787" s="71"/>
      <c r="DQ787" s="71"/>
      <c r="DR787" s="71"/>
      <c r="DS787" s="71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  <c r="IJ787" s="71"/>
      <c r="IK787" s="71"/>
      <c r="IL787" s="71"/>
      <c r="IM787" s="71"/>
      <c r="IN787" s="71"/>
      <c r="IO787" s="71"/>
      <c r="IP787" s="71"/>
      <c r="IQ787" s="71"/>
      <c r="IR787" s="71"/>
      <c r="IS787" s="71"/>
      <c r="IT787" s="71"/>
      <c r="IU787" s="71"/>
      <c r="IV787" s="71"/>
      <c r="IW787" s="71"/>
    </row>
    <row r="788" customFormat="false" ht="12.75" hidden="false" customHeight="false" outlineLevel="0" collapsed="false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1"/>
      <c r="CB788" s="71"/>
      <c r="CC788" s="71"/>
      <c r="CD788" s="71"/>
      <c r="CE788" s="71"/>
      <c r="CF788" s="71"/>
      <c r="CG788" s="71"/>
      <c r="CH788" s="71"/>
      <c r="CI788" s="71"/>
      <c r="CJ788" s="71"/>
      <c r="CK788" s="71"/>
      <c r="CL788" s="71"/>
      <c r="CM788" s="71"/>
      <c r="CN788" s="71"/>
      <c r="CO788" s="71"/>
      <c r="CP788" s="71"/>
      <c r="CQ788" s="71"/>
      <c r="CR788" s="71"/>
      <c r="CS788" s="71"/>
      <c r="CT788" s="71"/>
      <c r="CU788" s="71"/>
      <c r="CV788" s="71"/>
      <c r="CW788" s="71"/>
      <c r="CX788" s="71"/>
      <c r="CY788" s="71"/>
      <c r="CZ788" s="71"/>
      <c r="DA788" s="71"/>
      <c r="DB788" s="71"/>
      <c r="DC788" s="71"/>
      <c r="DD788" s="71"/>
      <c r="DE788" s="71"/>
      <c r="DF788" s="71"/>
      <c r="DG788" s="71"/>
      <c r="DH788" s="71"/>
      <c r="DI788" s="71"/>
      <c r="DJ788" s="71"/>
      <c r="DK788" s="71"/>
      <c r="DL788" s="71"/>
      <c r="DM788" s="71"/>
      <c r="DN788" s="71"/>
      <c r="DO788" s="71"/>
      <c r="DP788" s="71"/>
      <c r="DQ788" s="71"/>
      <c r="DR788" s="71"/>
      <c r="DS788" s="71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  <c r="IJ788" s="71"/>
      <c r="IK788" s="71"/>
      <c r="IL788" s="71"/>
      <c r="IM788" s="71"/>
      <c r="IN788" s="71"/>
      <c r="IO788" s="71"/>
      <c r="IP788" s="71"/>
      <c r="IQ788" s="71"/>
      <c r="IR788" s="71"/>
      <c r="IS788" s="71"/>
      <c r="IT788" s="71"/>
      <c r="IU788" s="71"/>
      <c r="IV788" s="71"/>
      <c r="IW788" s="71"/>
    </row>
    <row r="789" customFormat="false" ht="12.75" hidden="false" customHeight="false" outlineLevel="0" collapsed="false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/>
      <c r="BX789" s="71"/>
      <c r="BY789" s="71"/>
      <c r="BZ789" s="71"/>
      <c r="CA789" s="71"/>
      <c r="CB789" s="71"/>
      <c r="CC789" s="71"/>
      <c r="CD789" s="71"/>
      <c r="CE789" s="71"/>
      <c r="CF789" s="71"/>
      <c r="CG789" s="71"/>
      <c r="CH789" s="71"/>
      <c r="CI789" s="71"/>
      <c r="CJ789" s="71"/>
      <c r="CK789" s="71"/>
      <c r="CL789" s="71"/>
      <c r="CM789" s="71"/>
      <c r="CN789" s="71"/>
      <c r="CO789" s="71"/>
      <c r="CP789" s="71"/>
      <c r="CQ789" s="71"/>
      <c r="CR789" s="71"/>
      <c r="CS789" s="71"/>
      <c r="CT789" s="71"/>
      <c r="CU789" s="71"/>
      <c r="CV789" s="71"/>
      <c r="CW789" s="71"/>
      <c r="CX789" s="71"/>
      <c r="CY789" s="71"/>
      <c r="CZ789" s="71"/>
      <c r="DA789" s="71"/>
      <c r="DB789" s="71"/>
      <c r="DC789" s="71"/>
      <c r="DD789" s="71"/>
      <c r="DE789" s="71"/>
      <c r="DF789" s="71"/>
      <c r="DG789" s="71"/>
      <c r="DH789" s="71"/>
      <c r="DI789" s="71"/>
      <c r="DJ789" s="71"/>
      <c r="DK789" s="71"/>
      <c r="DL789" s="71"/>
      <c r="DM789" s="71"/>
      <c r="DN789" s="71"/>
      <c r="DO789" s="71"/>
      <c r="DP789" s="71"/>
      <c r="DQ789" s="71"/>
      <c r="DR789" s="71"/>
      <c r="DS789" s="71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  <c r="IJ789" s="71"/>
      <c r="IK789" s="71"/>
      <c r="IL789" s="71"/>
      <c r="IM789" s="71"/>
      <c r="IN789" s="71"/>
      <c r="IO789" s="71"/>
      <c r="IP789" s="71"/>
      <c r="IQ789" s="71"/>
      <c r="IR789" s="71"/>
      <c r="IS789" s="71"/>
      <c r="IT789" s="71"/>
      <c r="IU789" s="71"/>
      <c r="IV789" s="71"/>
      <c r="IW789" s="71"/>
    </row>
    <row r="790" customFormat="false" ht="12.75" hidden="false" customHeight="false" outlineLevel="0" collapsed="false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/>
      <c r="CE790" s="71"/>
      <c r="CF790" s="71"/>
      <c r="CG790" s="71"/>
      <c r="CH790" s="71"/>
      <c r="CI790" s="71"/>
      <c r="CJ790" s="71"/>
      <c r="CK790" s="71"/>
      <c r="CL790" s="71"/>
      <c r="CM790" s="71"/>
      <c r="CN790" s="71"/>
      <c r="CO790" s="71"/>
      <c r="CP790" s="71"/>
      <c r="CQ790" s="71"/>
      <c r="CR790" s="71"/>
      <c r="CS790" s="71"/>
      <c r="CT790" s="71"/>
      <c r="CU790" s="71"/>
      <c r="CV790" s="71"/>
      <c r="CW790" s="71"/>
      <c r="CX790" s="71"/>
      <c r="CY790" s="71"/>
      <c r="CZ790" s="71"/>
      <c r="DA790" s="71"/>
      <c r="DB790" s="71"/>
      <c r="DC790" s="71"/>
      <c r="DD790" s="71"/>
      <c r="DE790" s="71"/>
      <c r="DF790" s="71"/>
      <c r="DG790" s="71"/>
      <c r="DH790" s="71"/>
      <c r="DI790" s="71"/>
      <c r="DJ790" s="71"/>
      <c r="DK790" s="71"/>
      <c r="DL790" s="71"/>
      <c r="DM790" s="71"/>
      <c r="DN790" s="71"/>
      <c r="DO790" s="71"/>
      <c r="DP790" s="71"/>
      <c r="DQ790" s="71"/>
      <c r="DR790" s="71"/>
      <c r="DS790" s="71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  <c r="IJ790" s="71"/>
      <c r="IK790" s="71"/>
      <c r="IL790" s="71"/>
      <c r="IM790" s="71"/>
      <c r="IN790" s="71"/>
      <c r="IO790" s="71"/>
      <c r="IP790" s="71"/>
      <c r="IQ790" s="71"/>
      <c r="IR790" s="71"/>
      <c r="IS790" s="71"/>
      <c r="IT790" s="71"/>
      <c r="IU790" s="71"/>
      <c r="IV790" s="71"/>
      <c r="IW790" s="71"/>
    </row>
    <row r="791" customFormat="false" ht="12.75" hidden="false" customHeight="false" outlineLevel="0" collapsed="false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/>
      <c r="AP791" s="71"/>
      <c r="AQ791" s="71"/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  <c r="BC791" s="71"/>
      <c r="BD791" s="71"/>
      <c r="BE791" s="71"/>
      <c r="BF791" s="71"/>
      <c r="BG791" s="71"/>
      <c r="BH791" s="71"/>
      <c r="BI791" s="71"/>
      <c r="BJ791" s="71"/>
      <c r="BK791" s="71"/>
      <c r="BL791" s="71"/>
      <c r="BM791" s="71"/>
      <c r="BN791" s="71"/>
      <c r="BO791" s="71"/>
      <c r="BP791" s="71"/>
      <c r="BQ791" s="71"/>
      <c r="BR791" s="71"/>
      <c r="BS791" s="71"/>
      <c r="BT791" s="71"/>
      <c r="BU791" s="71"/>
      <c r="BV791" s="71"/>
      <c r="BW791" s="71"/>
      <c r="BX791" s="71"/>
      <c r="BY791" s="71"/>
      <c r="BZ791" s="71"/>
      <c r="CA791" s="71"/>
      <c r="CB791" s="71"/>
      <c r="CC791" s="71"/>
      <c r="CD791" s="71"/>
      <c r="CE791" s="71"/>
      <c r="CF791" s="71"/>
      <c r="CG791" s="71"/>
      <c r="CH791" s="71"/>
      <c r="CI791" s="71"/>
      <c r="CJ791" s="71"/>
      <c r="CK791" s="71"/>
      <c r="CL791" s="71"/>
      <c r="CM791" s="71"/>
      <c r="CN791" s="71"/>
      <c r="CO791" s="71"/>
      <c r="CP791" s="71"/>
      <c r="CQ791" s="71"/>
      <c r="CR791" s="71"/>
      <c r="CS791" s="71"/>
      <c r="CT791" s="71"/>
      <c r="CU791" s="71"/>
      <c r="CV791" s="71"/>
      <c r="CW791" s="71"/>
      <c r="CX791" s="71"/>
      <c r="CY791" s="71"/>
      <c r="CZ791" s="71"/>
      <c r="DA791" s="71"/>
      <c r="DB791" s="71"/>
      <c r="DC791" s="71"/>
      <c r="DD791" s="71"/>
      <c r="DE791" s="71"/>
      <c r="DF791" s="71"/>
      <c r="DG791" s="71"/>
      <c r="DH791" s="71"/>
      <c r="DI791" s="71"/>
      <c r="DJ791" s="71"/>
      <c r="DK791" s="71"/>
      <c r="DL791" s="71"/>
      <c r="DM791" s="71"/>
      <c r="DN791" s="71"/>
      <c r="DO791" s="71"/>
      <c r="DP791" s="71"/>
      <c r="DQ791" s="71"/>
      <c r="DR791" s="71"/>
      <c r="DS791" s="71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  <c r="IJ791" s="71"/>
      <c r="IK791" s="71"/>
      <c r="IL791" s="71"/>
      <c r="IM791" s="71"/>
      <c r="IN791" s="71"/>
      <c r="IO791" s="71"/>
      <c r="IP791" s="71"/>
      <c r="IQ791" s="71"/>
      <c r="IR791" s="71"/>
      <c r="IS791" s="71"/>
      <c r="IT791" s="71"/>
      <c r="IU791" s="71"/>
      <c r="IV791" s="71"/>
      <c r="IW791" s="71"/>
    </row>
    <row r="792" customFormat="false" ht="12.75" hidden="false" customHeight="false" outlineLevel="0" collapsed="false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1"/>
      <c r="AM792" s="71"/>
      <c r="AN792" s="71"/>
      <c r="AO792" s="71"/>
      <c r="AP792" s="71"/>
      <c r="AQ792" s="71"/>
      <c r="AR792" s="71"/>
      <c r="AS792" s="71"/>
      <c r="AT792" s="71"/>
      <c r="AU792" s="71"/>
      <c r="AV792" s="71"/>
      <c r="AW792" s="71"/>
      <c r="AX792" s="71"/>
      <c r="AY792" s="71"/>
      <c r="AZ792" s="71"/>
      <c r="BA792" s="71"/>
      <c r="BB792" s="71"/>
      <c r="BC792" s="71"/>
      <c r="BD792" s="71"/>
      <c r="BE792" s="71"/>
      <c r="BF792" s="71"/>
      <c r="BG792" s="71"/>
      <c r="BH792" s="71"/>
      <c r="BI792" s="71"/>
      <c r="BJ792" s="71"/>
      <c r="BK792" s="71"/>
      <c r="BL792" s="71"/>
      <c r="BM792" s="71"/>
      <c r="BN792" s="71"/>
      <c r="BO792" s="71"/>
      <c r="BP792" s="71"/>
      <c r="BQ792" s="71"/>
      <c r="BR792" s="71"/>
      <c r="BS792" s="71"/>
      <c r="BT792" s="71"/>
      <c r="BU792" s="71"/>
      <c r="BV792" s="71"/>
      <c r="BW792" s="71"/>
      <c r="BX792" s="71"/>
      <c r="BY792" s="71"/>
      <c r="BZ792" s="71"/>
      <c r="CA792" s="71"/>
      <c r="CB792" s="71"/>
      <c r="CC792" s="71"/>
      <c r="CD792" s="71"/>
      <c r="CE792" s="71"/>
      <c r="CF792" s="71"/>
      <c r="CG792" s="71"/>
      <c r="CH792" s="71"/>
      <c r="CI792" s="71"/>
      <c r="CJ792" s="71"/>
      <c r="CK792" s="71"/>
      <c r="CL792" s="71"/>
      <c r="CM792" s="71"/>
      <c r="CN792" s="71"/>
      <c r="CO792" s="71"/>
      <c r="CP792" s="71"/>
      <c r="CQ792" s="71"/>
      <c r="CR792" s="71"/>
      <c r="CS792" s="71"/>
      <c r="CT792" s="71"/>
      <c r="CU792" s="71"/>
      <c r="CV792" s="71"/>
      <c r="CW792" s="71"/>
      <c r="CX792" s="71"/>
      <c r="CY792" s="71"/>
      <c r="CZ792" s="71"/>
      <c r="DA792" s="71"/>
      <c r="DB792" s="71"/>
      <c r="DC792" s="71"/>
      <c r="DD792" s="71"/>
      <c r="DE792" s="71"/>
      <c r="DF792" s="71"/>
      <c r="DG792" s="71"/>
      <c r="DH792" s="71"/>
      <c r="DI792" s="71"/>
      <c r="DJ792" s="71"/>
      <c r="DK792" s="71"/>
      <c r="DL792" s="71"/>
      <c r="DM792" s="71"/>
      <c r="DN792" s="71"/>
      <c r="DO792" s="71"/>
      <c r="DP792" s="71"/>
      <c r="DQ792" s="71"/>
      <c r="DR792" s="71"/>
      <c r="DS792" s="71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  <c r="IJ792" s="71"/>
      <c r="IK792" s="71"/>
      <c r="IL792" s="71"/>
      <c r="IM792" s="71"/>
      <c r="IN792" s="71"/>
      <c r="IO792" s="71"/>
      <c r="IP792" s="71"/>
      <c r="IQ792" s="71"/>
      <c r="IR792" s="71"/>
      <c r="IS792" s="71"/>
      <c r="IT792" s="71"/>
      <c r="IU792" s="71"/>
      <c r="IV792" s="71"/>
      <c r="IW792" s="71"/>
    </row>
    <row r="793" customFormat="false" ht="12.75" hidden="false" customHeight="false" outlineLevel="0" collapsed="false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1"/>
      <c r="AM793" s="71"/>
      <c r="AN793" s="71"/>
      <c r="AO793" s="71"/>
      <c r="AP793" s="71"/>
      <c r="AQ793" s="71"/>
      <c r="AR793" s="71"/>
      <c r="AS793" s="71"/>
      <c r="AT793" s="71"/>
      <c r="AU793" s="71"/>
      <c r="AV793" s="71"/>
      <c r="AW793" s="71"/>
      <c r="AX793" s="71"/>
      <c r="AY793" s="71"/>
      <c r="AZ793" s="71"/>
      <c r="BA793" s="71"/>
      <c r="BB793" s="71"/>
      <c r="BC793" s="71"/>
      <c r="BD793" s="71"/>
      <c r="BE793" s="71"/>
      <c r="BF793" s="71"/>
      <c r="BG793" s="71"/>
      <c r="BH793" s="71"/>
      <c r="BI793" s="71"/>
      <c r="BJ793" s="71"/>
      <c r="BK793" s="71"/>
      <c r="BL793" s="71"/>
      <c r="BM793" s="71"/>
      <c r="BN793" s="71"/>
      <c r="BO793" s="71"/>
      <c r="BP793" s="71"/>
      <c r="BQ793" s="71"/>
      <c r="BR793" s="71"/>
      <c r="BS793" s="71"/>
      <c r="BT793" s="71"/>
      <c r="BU793" s="71"/>
      <c r="BV793" s="71"/>
      <c r="BW793" s="71"/>
      <c r="BX793" s="71"/>
      <c r="BY793" s="71"/>
      <c r="BZ793" s="71"/>
      <c r="CA793" s="71"/>
      <c r="CB793" s="71"/>
      <c r="CC793" s="71"/>
      <c r="CD793" s="71"/>
      <c r="CE793" s="71"/>
      <c r="CF793" s="71"/>
      <c r="CG793" s="71"/>
      <c r="CH793" s="71"/>
      <c r="CI793" s="71"/>
      <c r="CJ793" s="71"/>
      <c r="CK793" s="71"/>
      <c r="CL793" s="71"/>
      <c r="CM793" s="71"/>
      <c r="CN793" s="71"/>
      <c r="CO793" s="71"/>
      <c r="CP793" s="71"/>
      <c r="CQ793" s="71"/>
      <c r="CR793" s="71"/>
      <c r="CS793" s="71"/>
      <c r="CT793" s="71"/>
      <c r="CU793" s="71"/>
      <c r="CV793" s="71"/>
      <c r="CW793" s="71"/>
      <c r="CX793" s="71"/>
      <c r="CY793" s="71"/>
      <c r="CZ793" s="71"/>
      <c r="DA793" s="71"/>
      <c r="DB793" s="71"/>
      <c r="DC793" s="71"/>
      <c r="DD793" s="71"/>
      <c r="DE793" s="71"/>
      <c r="DF793" s="71"/>
      <c r="DG793" s="71"/>
      <c r="DH793" s="71"/>
      <c r="DI793" s="71"/>
      <c r="DJ793" s="71"/>
      <c r="DK793" s="71"/>
      <c r="DL793" s="71"/>
      <c r="DM793" s="71"/>
      <c r="DN793" s="71"/>
      <c r="DO793" s="71"/>
      <c r="DP793" s="71"/>
      <c r="DQ793" s="71"/>
      <c r="DR793" s="71"/>
      <c r="DS793" s="71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  <c r="IJ793" s="71"/>
      <c r="IK793" s="71"/>
      <c r="IL793" s="71"/>
      <c r="IM793" s="71"/>
      <c r="IN793" s="71"/>
      <c r="IO793" s="71"/>
      <c r="IP793" s="71"/>
      <c r="IQ793" s="71"/>
      <c r="IR793" s="71"/>
      <c r="IS793" s="71"/>
      <c r="IT793" s="71"/>
      <c r="IU793" s="71"/>
      <c r="IV793" s="71"/>
      <c r="IW793" s="71"/>
    </row>
    <row r="794" customFormat="false" ht="12.75" hidden="false" customHeight="false" outlineLevel="0" collapsed="false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1"/>
      <c r="AM794" s="71"/>
      <c r="AN794" s="71"/>
      <c r="AO794" s="71"/>
      <c r="AP794" s="71"/>
      <c r="AQ794" s="71"/>
      <c r="AR794" s="71"/>
      <c r="AS794" s="71"/>
      <c r="AT794" s="71"/>
      <c r="AU794" s="71"/>
      <c r="AV794" s="71"/>
      <c r="AW794" s="71"/>
      <c r="AX794" s="71"/>
      <c r="AY794" s="71"/>
      <c r="AZ794" s="71"/>
      <c r="BA794" s="71"/>
      <c r="BB794" s="71"/>
      <c r="BC794" s="71"/>
      <c r="BD794" s="71"/>
      <c r="BE794" s="71"/>
      <c r="BF794" s="71"/>
      <c r="BG794" s="71"/>
      <c r="BH794" s="71"/>
      <c r="BI794" s="71"/>
      <c r="BJ794" s="71"/>
      <c r="BK794" s="71"/>
      <c r="BL794" s="71"/>
      <c r="BM794" s="71"/>
      <c r="BN794" s="71"/>
      <c r="BO794" s="71"/>
      <c r="BP794" s="71"/>
      <c r="BQ794" s="71"/>
      <c r="BR794" s="71"/>
      <c r="BS794" s="71"/>
      <c r="BT794" s="71"/>
      <c r="BU794" s="71"/>
      <c r="BV794" s="71"/>
      <c r="BW794" s="71"/>
      <c r="BX794" s="71"/>
      <c r="BY794" s="71"/>
      <c r="BZ794" s="71"/>
      <c r="CA794" s="71"/>
      <c r="CB794" s="71"/>
      <c r="CC794" s="71"/>
      <c r="CD794" s="71"/>
      <c r="CE794" s="71"/>
      <c r="CF794" s="71"/>
      <c r="CG794" s="71"/>
      <c r="CH794" s="71"/>
      <c r="CI794" s="71"/>
      <c r="CJ794" s="71"/>
      <c r="CK794" s="71"/>
      <c r="CL794" s="71"/>
      <c r="CM794" s="71"/>
      <c r="CN794" s="71"/>
      <c r="CO794" s="71"/>
      <c r="CP794" s="71"/>
      <c r="CQ794" s="71"/>
      <c r="CR794" s="71"/>
      <c r="CS794" s="71"/>
      <c r="CT794" s="71"/>
      <c r="CU794" s="71"/>
      <c r="CV794" s="71"/>
      <c r="CW794" s="71"/>
      <c r="CX794" s="71"/>
      <c r="CY794" s="71"/>
      <c r="CZ794" s="71"/>
      <c r="DA794" s="71"/>
      <c r="DB794" s="71"/>
      <c r="DC794" s="71"/>
      <c r="DD794" s="71"/>
      <c r="DE794" s="71"/>
      <c r="DF794" s="71"/>
      <c r="DG794" s="71"/>
      <c r="DH794" s="71"/>
      <c r="DI794" s="71"/>
      <c r="DJ794" s="71"/>
      <c r="DK794" s="71"/>
      <c r="DL794" s="71"/>
      <c r="DM794" s="71"/>
      <c r="DN794" s="71"/>
      <c r="DO794" s="71"/>
      <c r="DP794" s="71"/>
      <c r="DQ794" s="71"/>
      <c r="DR794" s="71"/>
      <c r="DS794" s="71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  <c r="IJ794" s="71"/>
      <c r="IK794" s="71"/>
      <c r="IL794" s="71"/>
      <c r="IM794" s="71"/>
      <c r="IN794" s="71"/>
      <c r="IO794" s="71"/>
      <c r="IP794" s="71"/>
      <c r="IQ794" s="71"/>
      <c r="IR794" s="71"/>
      <c r="IS794" s="71"/>
      <c r="IT794" s="71"/>
      <c r="IU794" s="71"/>
      <c r="IV794" s="71"/>
      <c r="IW794" s="71"/>
    </row>
    <row r="795" customFormat="false" ht="12.75" hidden="false" customHeight="false" outlineLevel="0" collapsed="false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1"/>
      <c r="AM795" s="71"/>
      <c r="AN795" s="71"/>
      <c r="AO795" s="71"/>
      <c r="AP795" s="71"/>
      <c r="AQ795" s="71"/>
      <c r="AR795" s="71"/>
      <c r="AS795" s="71"/>
      <c r="AT795" s="71"/>
      <c r="AU795" s="71"/>
      <c r="AV795" s="71"/>
      <c r="AW795" s="71"/>
      <c r="AX795" s="71"/>
      <c r="AY795" s="71"/>
      <c r="AZ795" s="71"/>
      <c r="BA795" s="71"/>
      <c r="BB795" s="71"/>
      <c r="BC795" s="71"/>
      <c r="BD795" s="71"/>
      <c r="BE795" s="71"/>
      <c r="BF795" s="71"/>
      <c r="BG795" s="71"/>
      <c r="BH795" s="71"/>
      <c r="BI795" s="71"/>
      <c r="BJ795" s="71"/>
      <c r="BK795" s="71"/>
      <c r="BL795" s="71"/>
      <c r="BM795" s="71"/>
      <c r="BN795" s="71"/>
      <c r="BO795" s="71"/>
      <c r="BP795" s="71"/>
      <c r="BQ795" s="71"/>
      <c r="BR795" s="71"/>
      <c r="BS795" s="71"/>
      <c r="BT795" s="71"/>
      <c r="BU795" s="71"/>
      <c r="BV795" s="71"/>
      <c r="BW795" s="71"/>
      <c r="BX795" s="71"/>
      <c r="BY795" s="71"/>
      <c r="BZ795" s="71"/>
      <c r="CA795" s="71"/>
      <c r="CB795" s="71"/>
      <c r="CC795" s="71"/>
      <c r="CD795" s="71"/>
      <c r="CE795" s="71"/>
      <c r="CF795" s="71"/>
      <c r="CG795" s="71"/>
      <c r="CH795" s="71"/>
      <c r="CI795" s="71"/>
      <c r="CJ795" s="71"/>
      <c r="CK795" s="71"/>
      <c r="CL795" s="71"/>
      <c r="CM795" s="71"/>
      <c r="CN795" s="71"/>
      <c r="CO795" s="71"/>
      <c r="CP795" s="71"/>
      <c r="CQ795" s="71"/>
      <c r="CR795" s="71"/>
      <c r="CS795" s="71"/>
      <c r="CT795" s="71"/>
      <c r="CU795" s="71"/>
      <c r="CV795" s="71"/>
      <c r="CW795" s="71"/>
      <c r="CX795" s="71"/>
      <c r="CY795" s="71"/>
      <c r="CZ795" s="71"/>
      <c r="DA795" s="71"/>
      <c r="DB795" s="71"/>
      <c r="DC795" s="71"/>
      <c r="DD795" s="71"/>
      <c r="DE795" s="71"/>
      <c r="DF795" s="71"/>
      <c r="DG795" s="71"/>
      <c r="DH795" s="71"/>
      <c r="DI795" s="71"/>
      <c r="DJ795" s="71"/>
      <c r="DK795" s="71"/>
      <c r="DL795" s="71"/>
      <c r="DM795" s="71"/>
      <c r="DN795" s="71"/>
      <c r="DO795" s="71"/>
      <c r="DP795" s="71"/>
      <c r="DQ795" s="71"/>
      <c r="DR795" s="71"/>
      <c r="DS795" s="71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  <c r="IJ795" s="71"/>
      <c r="IK795" s="71"/>
      <c r="IL795" s="71"/>
      <c r="IM795" s="71"/>
      <c r="IN795" s="71"/>
      <c r="IO795" s="71"/>
      <c r="IP795" s="71"/>
      <c r="IQ795" s="71"/>
      <c r="IR795" s="71"/>
      <c r="IS795" s="71"/>
      <c r="IT795" s="71"/>
      <c r="IU795" s="71"/>
      <c r="IV795" s="71"/>
      <c r="IW795" s="71"/>
    </row>
    <row r="796" customFormat="false" ht="12.75" hidden="false" customHeight="false" outlineLevel="0" collapsed="false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/>
      <c r="AP796" s="71"/>
      <c r="AQ796" s="71"/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  <c r="BC796" s="71"/>
      <c r="BD796" s="71"/>
      <c r="BE796" s="71"/>
      <c r="BF796" s="71"/>
      <c r="BG796" s="71"/>
      <c r="BH796" s="71"/>
      <c r="BI796" s="71"/>
      <c r="BJ796" s="71"/>
      <c r="BK796" s="71"/>
      <c r="BL796" s="71"/>
      <c r="BM796" s="71"/>
      <c r="BN796" s="71"/>
      <c r="BO796" s="71"/>
      <c r="BP796" s="71"/>
      <c r="BQ796" s="71"/>
      <c r="BR796" s="71"/>
      <c r="BS796" s="71"/>
      <c r="BT796" s="71"/>
      <c r="BU796" s="71"/>
      <c r="BV796" s="71"/>
      <c r="BW796" s="71"/>
      <c r="BX796" s="71"/>
      <c r="BY796" s="71"/>
      <c r="BZ796" s="71"/>
      <c r="CA796" s="71"/>
      <c r="CB796" s="71"/>
      <c r="CC796" s="71"/>
      <c r="CD796" s="71"/>
      <c r="CE796" s="71"/>
      <c r="CF796" s="71"/>
      <c r="CG796" s="71"/>
      <c r="CH796" s="71"/>
      <c r="CI796" s="71"/>
      <c r="CJ796" s="71"/>
      <c r="CK796" s="71"/>
      <c r="CL796" s="71"/>
      <c r="CM796" s="71"/>
      <c r="CN796" s="71"/>
      <c r="CO796" s="71"/>
      <c r="CP796" s="71"/>
      <c r="CQ796" s="71"/>
      <c r="CR796" s="71"/>
      <c r="CS796" s="71"/>
      <c r="CT796" s="71"/>
      <c r="CU796" s="71"/>
      <c r="CV796" s="71"/>
      <c r="CW796" s="71"/>
      <c r="CX796" s="71"/>
      <c r="CY796" s="71"/>
      <c r="CZ796" s="71"/>
      <c r="DA796" s="71"/>
      <c r="DB796" s="71"/>
      <c r="DC796" s="71"/>
      <c r="DD796" s="71"/>
      <c r="DE796" s="71"/>
      <c r="DF796" s="71"/>
      <c r="DG796" s="71"/>
      <c r="DH796" s="71"/>
      <c r="DI796" s="71"/>
      <c r="DJ796" s="71"/>
      <c r="DK796" s="71"/>
      <c r="DL796" s="71"/>
      <c r="DM796" s="71"/>
      <c r="DN796" s="71"/>
      <c r="DO796" s="71"/>
      <c r="DP796" s="71"/>
      <c r="DQ796" s="71"/>
      <c r="DR796" s="71"/>
      <c r="DS796" s="71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  <c r="IJ796" s="71"/>
      <c r="IK796" s="71"/>
      <c r="IL796" s="71"/>
      <c r="IM796" s="71"/>
      <c r="IN796" s="71"/>
      <c r="IO796" s="71"/>
      <c r="IP796" s="71"/>
      <c r="IQ796" s="71"/>
      <c r="IR796" s="71"/>
      <c r="IS796" s="71"/>
      <c r="IT796" s="71"/>
      <c r="IU796" s="71"/>
      <c r="IV796" s="71"/>
      <c r="IW796" s="71"/>
    </row>
    <row r="797" customFormat="false" ht="12.75" hidden="false" customHeight="false" outlineLevel="0" collapsed="false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1"/>
      <c r="AM797" s="71"/>
      <c r="AN797" s="71"/>
      <c r="AO797" s="71"/>
      <c r="AP797" s="71"/>
      <c r="AQ797" s="71"/>
      <c r="AR797" s="71"/>
      <c r="AS797" s="71"/>
      <c r="AT797" s="71"/>
      <c r="AU797" s="71"/>
      <c r="AV797" s="71"/>
      <c r="AW797" s="71"/>
      <c r="AX797" s="71"/>
      <c r="AY797" s="71"/>
      <c r="AZ797" s="71"/>
      <c r="BA797" s="71"/>
      <c r="BB797" s="71"/>
      <c r="BC797" s="71"/>
      <c r="BD797" s="71"/>
      <c r="BE797" s="71"/>
      <c r="BF797" s="71"/>
      <c r="BG797" s="71"/>
      <c r="BH797" s="71"/>
      <c r="BI797" s="71"/>
      <c r="BJ797" s="71"/>
      <c r="BK797" s="71"/>
      <c r="BL797" s="71"/>
      <c r="BM797" s="71"/>
      <c r="BN797" s="71"/>
      <c r="BO797" s="71"/>
      <c r="BP797" s="71"/>
      <c r="BQ797" s="71"/>
      <c r="BR797" s="71"/>
      <c r="BS797" s="71"/>
      <c r="BT797" s="71"/>
      <c r="BU797" s="71"/>
      <c r="BV797" s="71"/>
      <c r="BW797" s="71"/>
      <c r="BX797" s="71"/>
      <c r="BY797" s="71"/>
      <c r="BZ797" s="71"/>
      <c r="CA797" s="71"/>
      <c r="CB797" s="71"/>
      <c r="CC797" s="71"/>
      <c r="CD797" s="71"/>
      <c r="CE797" s="71"/>
      <c r="CF797" s="71"/>
      <c r="CG797" s="71"/>
      <c r="CH797" s="71"/>
      <c r="CI797" s="71"/>
      <c r="CJ797" s="71"/>
      <c r="CK797" s="71"/>
      <c r="CL797" s="71"/>
      <c r="CM797" s="71"/>
      <c r="CN797" s="71"/>
      <c r="CO797" s="71"/>
      <c r="CP797" s="71"/>
      <c r="CQ797" s="71"/>
      <c r="CR797" s="71"/>
      <c r="CS797" s="71"/>
      <c r="CT797" s="71"/>
      <c r="CU797" s="71"/>
      <c r="CV797" s="71"/>
      <c r="CW797" s="71"/>
      <c r="CX797" s="71"/>
      <c r="CY797" s="71"/>
      <c r="CZ797" s="71"/>
      <c r="DA797" s="71"/>
      <c r="DB797" s="71"/>
      <c r="DC797" s="71"/>
      <c r="DD797" s="71"/>
      <c r="DE797" s="71"/>
      <c r="DF797" s="71"/>
      <c r="DG797" s="71"/>
      <c r="DH797" s="71"/>
      <c r="DI797" s="71"/>
      <c r="DJ797" s="71"/>
      <c r="DK797" s="71"/>
      <c r="DL797" s="71"/>
      <c r="DM797" s="71"/>
      <c r="DN797" s="71"/>
      <c r="DO797" s="71"/>
      <c r="DP797" s="71"/>
      <c r="DQ797" s="71"/>
      <c r="DR797" s="71"/>
      <c r="DS797" s="71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  <c r="IJ797" s="71"/>
      <c r="IK797" s="71"/>
      <c r="IL797" s="71"/>
      <c r="IM797" s="71"/>
      <c r="IN797" s="71"/>
      <c r="IO797" s="71"/>
      <c r="IP797" s="71"/>
      <c r="IQ797" s="71"/>
      <c r="IR797" s="71"/>
      <c r="IS797" s="71"/>
      <c r="IT797" s="71"/>
      <c r="IU797" s="71"/>
      <c r="IV797" s="71"/>
      <c r="IW797" s="71"/>
    </row>
    <row r="798" customFormat="false" ht="12.75" hidden="false" customHeight="false" outlineLevel="0" collapsed="false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1"/>
      <c r="AM798" s="71"/>
      <c r="AN798" s="71"/>
      <c r="AO798" s="71"/>
      <c r="AP798" s="71"/>
      <c r="AQ798" s="71"/>
      <c r="AR798" s="71"/>
      <c r="AS798" s="71"/>
      <c r="AT798" s="71"/>
      <c r="AU798" s="71"/>
      <c r="AV798" s="71"/>
      <c r="AW798" s="71"/>
      <c r="AX798" s="71"/>
      <c r="AY798" s="71"/>
      <c r="AZ798" s="71"/>
      <c r="BA798" s="71"/>
      <c r="BB798" s="71"/>
      <c r="BC798" s="71"/>
      <c r="BD798" s="71"/>
      <c r="BE798" s="71"/>
      <c r="BF798" s="71"/>
      <c r="BG798" s="71"/>
      <c r="BH798" s="71"/>
      <c r="BI798" s="71"/>
      <c r="BJ798" s="71"/>
      <c r="BK798" s="71"/>
      <c r="BL798" s="71"/>
      <c r="BM798" s="71"/>
      <c r="BN798" s="71"/>
      <c r="BO798" s="71"/>
      <c r="BP798" s="71"/>
      <c r="BQ798" s="71"/>
      <c r="BR798" s="71"/>
      <c r="BS798" s="71"/>
      <c r="BT798" s="71"/>
      <c r="BU798" s="71"/>
      <c r="BV798" s="71"/>
      <c r="BW798" s="71"/>
      <c r="BX798" s="71"/>
      <c r="BY798" s="71"/>
      <c r="BZ798" s="71"/>
      <c r="CA798" s="71"/>
      <c r="CB798" s="71"/>
      <c r="CC798" s="71"/>
      <c r="CD798" s="71"/>
      <c r="CE798" s="71"/>
      <c r="CF798" s="71"/>
      <c r="CG798" s="71"/>
      <c r="CH798" s="71"/>
      <c r="CI798" s="71"/>
      <c r="CJ798" s="71"/>
      <c r="CK798" s="71"/>
      <c r="CL798" s="71"/>
      <c r="CM798" s="71"/>
      <c r="CN798" s="71"/>
      <c r="CO798" s="71"/>
      <c r="CP798" s="71"/>
      <c r="CQ798" s="71"/>
      <c r="CR798" s="71"/>
      <c r="CS798" s="71"/>
      <c r="CT798" s="71"/>
      <c r="CU798" s="71"/>
      <c r="CV798" s="71"/>
      <c r="CW798" s="71"/>
      <c r="CX798" s="71"/>
      <c r="CY798" s="71"/>
      <c r="CZ798" s="71"/>
      <c r="DA798" s="71"/>
      <c r="DB798" s="71"/>
      <c r="DC798" s="71"/>
      <c r="DD798" s="71"/>
      <c r="DE798" s="71"/>
      <c r="DF798" s="71"/>
      <c r="DG798" s="71"/>
      <c r="DH798" s="71"/>
      <c r="DI798" s="71"/>
      <c r="DJ798" s="71"/>
      <c r="DK798" s="71"/>
      <c r="DL798" s="71"/>
      <c r="DM798" s="71"/>
      <c r="DN798" s="71"/>
      <c r="DO798" s="71"/>
      <c r="DP798" s="71"/>
      <c r="DQ798" s="71"/>
      <c r="DR798" s="71"/>
      <c r="DS798" s="71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  <c r="IJ798" s="71"/>
      <c r="IK798" s="71"/>
      <c r="IL798" s="71"/>
      <c r="IM798" s="71"/>
      <c r="IN798" s="71"/>
      <c r="IO798" s="71"/>
      <c r="IP798" s="71"/>
      <c r="IQ798" s="71"/>
      <c r="IR798" s="71"/>
      <c r="IS798" s="71"/>
      <c r="IT798" s="71"/>
      <c r="IU798" s="71"/>
      <c r="IV798" s="71"/>
      <c r="IW798" s="71"/>
    </row>
    <row r="799" customFormat="false" ht="12.75" hidden="false" customHeight="false" outlineLevel="0" collapsed="false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1"/>
      <c r="AM799" s="71"/>
      <c r="AN799" s="71"/>
      <c r="AO799" s="71"/>
      <c r="AP799" s="71"/>
      <c r="AQ799" s="71"/>
      <c r="AR799" s="71"/>
      <c r="AS799" s="71"/>
      <c r="AT799" s="71"/>
      <c r="AU799" s="71"/>
      <c r="AV799" s="71"/>
      <c r="AW799" s="71"/>
      <c r="AX799" s="71"/>
      <c r="AY799" s="71"/>
      <c r="AZ799" s="71"/>
      <c r="BA799" s="71"/>
      <c r="BB799" s="71"/>
      <c r="BC799" s="71"/>
      <c r="BD799" s="71"/>
      <c r="BE799" s="71"/>
      <c r="BF799" s="71"/>
      <c r="BG799" s="71"/>
      <c r="BH799" s="71"/>
      <c r="BI799" s="71"/>
      <c r="BJ799" s="71"/>
      <c r="BK799" s="71"/>
      <c r="BL799" s="71"/>
      <c r="BM799" s="71"/>
      <c r="BN799" s="71"/>
      <c r="BO799" s="71"/>
      <c r="BP799" s="71"/>
      <c r="BQ799" s="71"/>
      <c r="BR799" s="71"/>
      <c r="BS799" s="71"/>
      <c r="BT799" s="71"/>
      <c r="BU799" s="71"/>
      <c r="BV799" s="71"/>
      <c r="BW799" s="71"/>
      <c r="BX799" s="71"/>
      <c r="BY799" s="71"/>
      <c r="BZ799" s="71"/>
      <c r="CA799" s="71"/>
      <c r="CB799" s="71"/>
      <c r="CC799" s="71"/>
      <c r="CD799" s="71"/>
      <c r="CE799" s="71"/>
      <c r="CF799" s="71"/>
      <c r="CG799" s="71"/>
      <c r="CH799" s="71"/>
      <c r="CI799" s="71"/>
      <c r="CJ799" s="71"/>
      <c r="CK799" s="71"/>
      <c r="CL799" s="71"/>
      <c r="CM799" s="71"/>
      <c r="CN799" s="71"/>
      <c r="CO799" s="71"/>
      <c r="CP799" s="71"/>
      <c r="CQ799" s="71"/>
      <c r="CR799" s="71"/>
      <c r="CS799" s="71"/>
      <c r="CT799" s="71"/>
      <c r="CU799" s="71"/>
      <c r="CV799" s="71"/>
      <c r="CW799" s="71"/>
      <c r="CX799" s="71"/>
      <c r="CY799" s="71"/>
      <c r="CZ799" s="71"/>
      <c r="DA799" s="71"/>
      <c r="DB799" s="71"/>
      <c r="DC799" s="71"/>
      <c r="DD799" s="71"/>
      <c r="DE799" s="71"/>
      <c r="DF799" s="71"/>
      <c r="DG799" s="71"/>
      <c r="DH799" s="71"/>
      <c r="DI799" s="71"/>
      <c r="DJ799" s="71"/>
      <c r="DK799" s="71"/>
      <c r="DL799" s="71"/>
      <c r="DM799" s="71"/>
      <c r="DN799" s="71"/>
      <c r="DO799" s="71"/>
      <c r="DP799" s="71"/>
      <c r="DQ799" s="71"/>
      <c r="DR799" s="71"/>
      <c r="DS799" s="71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  <c r="IJ799" s="71"/>
      <c r="IK799" s="71"/>
      <c r="IL799" s="71"/>
      <c r="IM799" s="71"/>
      <c r="IN799" s="71"/>
      <c r="IO799" s="71"/>
      <c r="IP799" s="71"/>
      <c r="IQ799" s="71"/>
      <c r="IR799" s="71"/>
      <c r="IS799" s="71"/>
      <c r="IT799" s="71"/>
      <c r="IU799" s="71"/>
      <c r="IV799" s="71"/>
      <c r="IW799" s="71"/>
    </row>
    <row r="800" customFormat="false" ht="12.75" hidden="false" customHeight="false" outlineLevel="0" collapsed="false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1"/>
      <c r="AM800" s="71"/>
      <c r="AN800" s="71"/>
      <c r="AO800" s="71"/>
      <c r="AP800" s="71"/>
      <c r="AQ800" s="71"/>
      <c r="AR800" s="71"/>
      <c r="AS800" s="71"/>
      <c r="AT800" s="71"/>
      <c r="AU800" s="71"/>
      <c r="AV800" s="71"/>
      <c r="AW800" s="71"/>
      <c r="AX800" s="71"/>
      <c r="AY800" s="71"/>
      <c r="AZ800" s="71"/>
      <c r="BA800" s="71"/>
      <c r="BB800" s="71"/>
      <c r="BC800" s="71"/>
      <c r="BD800" s="71"/>
      <c r="BE800" s="71"/>
      <c r="BF800" s="71"/>
      <c r="BG800" s="71"/>
      <c r="BH800" s="71"/>
      <c r="BI800" s="71"/>
      <c r="BJ800" s="71"/>
      <c r="BK800" s="71"/>
      <c r="BL800" s="71"/>
      <c r="BM800" s="71"/>
      <c r="BN800" s="71"/>
      <c r="BO800" s="71"/>
      <c r="BP800" s="71"/>
      <c r="BQ800" s="71"/>
      <c r="BR800" s="71"/>
      <c r="BS800" s="71"/>
      <c r="BT800" s="71"/>
      <c r="BU800" s="71"/>
      <c r="BV800" s="71"/>
      <c r="BW800" s="71"/>
      <c r="BX800" s="71"/>
      <c r="BY800" s="71"/>
      <c r="BZ800" s="71"/>
      <c r="CA800" s="71"/>
      <c r="CB800" s="71"/>
      <c r="CC800" s="71"/>
      <c r="CD800" s="71"/>
      <c r="CE800" s="71"/>
      <c r="CF800" s="71"/>
      <c r="CG800" s="71"/>
      <c r="CH800" s="71"/>
      <c r="CI800" s="71"/>
      <c r="CJ800" s="71"/>
      <c r="CK800" s="71"/>
      <c r="CL800" s="71"/>
      <c r="CM800" s="71"/>
      <c r="CN800" s="71"/>
      <c r="CO800" s="71"/>
      <c r="CP800" s="71"/>
      <c r="CQ800" s="71"/>
      <c r="CR800" s="71"/>
      <c r="CS800" s="71"/>
      <c r="CT800" s="71"/>
      <c r="CU800" s="71"/>
      <c r="CV800" s="71"/>
      <c r="CW800" s="71"/>
      <c r="CX800" s="71"/>
      <c r="CY800" s="71"/>
      <c r="CZ800" s="71"/>
      <c r="DA800" s="71"/>
      <c r="DB800" s="71"/>
      <c r="DC800" s="71"/>
      <c r="DD800" s="71"/>
      <c r="DE800" s="71"/>
      <c r="DF800" s="71"/>
      <c r="DG800" s="71"/>
      <c r="DH800" s="71"/>
      <c r="DI800" s="71"/>
      <c r="DJ800" s="71"/>
      <c r="DK800" s="71"/>
      <c r="DL800" s="71"/>
      <c r="DM800" s="71"/>
      <c r="DN800" s="71"/>
      <c r="DO800" s="71"/>
      <c r="DP800" s="71"/>
      <c r="DQ800" s="71"/>
      <c r="DR800" s="71"/>
      <c r="DS800" s="71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  <c r="IJ800" s="71"/>
      <c r="IK800" s="71"/>
      <c r="IL800" s="71"/>
      <c r="IM800" s="71"/>
      <c r="IN800" s="71"/>
      <c r="IO800" s="71"/>
      <c r="IP800" s="71"/>
      <c r="IQ800" s="71"/>
      <c r="IR800" s="71"/>
      <c r="IS800" s="71"/>
      <c r="IT800" s="71"/>
      <c r="IU800" s="71"/>
      <c r="IV800" s="71"/>
      <c r="IW800" s="71"/>
    </row>
    <row r="801" customFormat="false" ht="12.75" hidden="false" customHeight="false" outlineLevel="0" collapsed="false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1"/>
      <c r="AM801" s="71"/>
      <c r="AN801" s="71"/>
      <c r="AO801" s="71"/>
      <c r="AP801" s="71"/>
      <c r="AQ801" s="71"/>
      <c r="AR801" s="71"/>
      <c r="AS801" s="71"/>
      <c r="AT801" s="71"/>
      <c r="AU801" s="71"/>
      <c r="AV801" s="71"/>
      <c r="AW801" s="71"/>
      <c r="AX801" s="71"/>
      <c r="AY801" s="71"/>
      <c r="AZ801" s="71"/>
      <c r="BA801" s="71"/>
      <c r="BB801" s="71"/>
      <c r="BC801" s="71"/>
      <c r="BD801" s="71"/>
      <c r="BE801" s="71"/>
      <c r="BF801" s="71"/>
      <c r="BG801" s="71"/>
      <c r="BH801" s="71"/>
      <c r="BI801" s="71"/>
      <c r="BJ801" s="71"/>
      <c r="BK801" s="71"/>
      <c r="BL801" s="71"/>
      <c r="BM801" s="71"/>
      <c r="BN801" s="71"/>
      <c r="BO801" s="71"/>
      <c r="BP801" s="71"/>
      <c r="BQ801" s="71"/>
      <c r="BR801" s="71"/>
      <c r="BS801" s="71"/>
      <c r="BT801" s="71"/>
      <c r="BU801" s="71"/>
      <c r="BV801" s="71"/>
      <c r="BW801" s="71"/>
      <c r="BX801" s="71"/>
      <c r="BY801" s="71"/>
      <c r="BZ801" s="71"/>
      <c r="CA801" s="71"/>
      <c r="CB801" s="71"/>
      <c r="CC801" s="71"/>
      <c r="CD801" s="71"/>
      <c r="CE801" s="71"/>
      <c r="CF801" s="71"/>
      <c r="CG801" s="71"/>
      <c r="CH801" s="71"/>
      <c r="CI801" s="71"/>
      <c r="CJ801" s="71"/>
      <c r="CK801" s="71"/>
      <c r="CL801" s="71"/>
      <c r="CM801" s="71"/>
      <c r="CN801" s="71"/>
      <c r="CO801" s="71"/>
      <c r="CP801" s="71"/>
      <c r="CQ801" s="71"/>
      <c r="CR801" s="71"/>
      <c r="CS801" s="71"/>
      <c r="CT801" s="71"/>
      <c r="CU801" s="71"/>
      <c r="CV801" s="71"/>
      <c r="CW801" s="71"/>
      <c r="CX801" s="71"/>
      <c r="CY801" s="71"/>
      <c r="CZ801" s="71"/>
      <c r="DA801" s="71"/>
      <c r="DB801" s="71"/>
      <c r="DC801" s="71"/>
      <c r="DD801" s="71"/>
      <c r="DE801" s="71"/>
      <c r="DF801" s="71"/>
      <c r="DG801" s="71"/>
      <c r="DH801" s="71"/>
      <c r="DI801" s="71"/>
      <c r="DJ801" s="71"/>
      <c r="DK801" s="71"/>
      <c r="DL801" s="71"/>
      <c r="DM801" s="71"/>
      <c r="DN801" s="71"/>
      <c r="DO801" s="71"/>
      <c r="DP801" s="71"/>
      <c r="DQ801" s="71"/>
      <c r="DR801" s="71"/>
      <c r="DS801" s="71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  <c r="IJ801" s="71"/>
      <c r="IK801" s="71"/>
      <c r="IL801" s="71"/>
      <c r="IM801" s="71"/>
      <c r="IN801" s="71"/>
      <c r="IO801" s="71"/>
      <c r="IP801" s="71"/>
      <c r="IQ801" s="71"/>
      <c r="IR801" s="71"/>
      <c r="IS801" s="71"/>
      <c r="IT801" s="71"/>
      <c r="IU801" s="71"/>
      <c r="IV801" s="71"/>
      <c r="IW801" s="71"/>
    </row>
    <row r="802" customFormat="false" ht="12.75" hidden="false" customHeight="false" outlineLevel="0" collapsed="false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1"/>
      <c r="AM802" s="71"/>
      <c r="AN802" s="71"/>
      <c r="AO802" s="71"/>
      <c r="AP802" s="71"/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  <c r="BC802" s="71"/>
      <c r="BD802" s="71"/>
      <c r="BE802" s="71"/>
      <c r="BF802" s="71"/>
      <c r="BG802" s="71"/>
      <c r="BH802" s="71"/>
      <c r="BI802" s="71"/>
      <c r="BJ802" s="71"/>
      <c r="BK802" s="71"/>
      <c r="BL802" s="71"/>
      <c r="BM802" s="71"/>
      <c r="BN802" s="71"/>
      <c r="BO802" s="71"/>
      <c r="BP802" s="71"/>
      <c r="BQ802" s="71"/>
      <c r="BR802" s="71"/>
      <c r="BS802" s="71"/>
      <c r="BT802" s="71"/>
      <c r="BU802" s="71"/>
      <c r="BV802" s="71"/>
      <c r="BW802" s="71"/>
      <c r="BX802" s="71"/>
      <c r="BY802" s="71"/>
      <c r="BZ802" s="71"/>
      <c r="CA802" s="71"/>
      <c r="CB802" s="71"/>
      <c r="CC802" s="71"/>
      <c r="CD802" s="71"/>
      <c r="CE802" s="71"/>
      <c r="CF802" s="71"/>
      <c r="CG802" s="71"/>
      <c r="CH802" s="71"/>
      <c r="CI802" s="71"/>
      <c r="CJ802" s="71"/>
      <c r="CK802" s="71"/>
      <c r="CL802" s="71"/>
      <c r="CM802" s="71"/>
      <c r="CN802" s="71"/>
      <c r="CO802" s="71"/>
      <c r="CP802" s="71"/>
      <c r="CQ802" s="71"/>
      <c r="CR802" s="71"/>
      <c r="CS802" s="71"/>
      <c r="CT802" s="71"/>
      <c r="CU802" s="71"/>
      <c r="CV802" s="71"/>
      <c r="CW802" s="71"/>
      <c r="CX802" s="71"/>
      <c r="CY802" s="71"/>
      <c r="CZ802" s="71"/>
      <c r="DA802" s="71"/>
      <c r="DB802" s="71"/>
      <c r="DC802" s="71"/>
      <c r="DD802" s="71"/>
      <c r="DE802" s="71"/>
      <c r="DF802" s="71"/>
      <c r="DG802" s="71"/>
      <c r="DH802" s="71"/>
      <c r="DI802" s="71"/>
      <c r="DJ802" s="71"/>
      <c r="DK802" s="71"/>
      <c r="DL802" s="71"/>
      <c r="DM802" s="71"/>
      <c r="DN802" s="71"/>
      <c r="DO802" s="71"/>
      <c r="DP802" s="71"/>
      <c r="DQ802" s="71"/>
      <c r="DR802" s="71"/>
      <c r="DS802" s="71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  <c r="IJ802" s="71"/>
      <c r="IK802" s="71"/>
      <c r="IL802" s="71"/>
      <c r="IM802" s="71"/>
      <c r="IN802" s="71"/>
      <c r="IO802" s="71"/>
      <c r="IP802" s="71"/>
      <c r="IQ802" s="71"/>
      <c r="IR802" s="71"/>
      <c r="IS802" s="71"/>
      <c r="IT802" s="71"/>
      <c r="IU802" s="71"/>
      <c r="IV802" s="71"/>
      <c r="IW802" s="71"/>
    </row>
    <row r="803" customFormat="false" ht="12.75" hidden="false" customHeight="false" outlineLevel="0" collapsed="false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1"/>
      <c r="AM803" s="71"/>
      <c r="AN803" s="71"/>
      <c r="AO803" s="71"/>
      <c r="AP803" s="71"/>
      <c r="AQ803" s="71"/>
      <c r="AR803" s="71"/>
      <c r="AS803" s="71"/>
      <c r="AT803" s="71"/>
      <c r="AU803" s="71"/>
      <c r="AV803" s="71"/>
      <c r="AW803" s="71"/>
      <c r="AX803" s="71"/>
      <c r="AY803" s="71"/>
      <c r="AZ803" s="71"/>
      <c r="BA803" s="71"/>
      <c r="BB803" s="71"/>
      <c r="BC803" s="71"/>
      <c r="BD803" s="71"/>
      <c r="BE803" s="71"/>
      <c r="BF803" s="71"/>
      <c r="BG803" s="71"/>
      <c r="BH803" s="71"/>
      <c r="BI803" s="71"/>
      <c r="BJ803" s="71"/>
      <c r="BK803" s="71"/>
      <c r="BL803" s="71"/>
      <c r="BM803" s="71"/>
      <c r="BN803" s="71"/>
      <c r="BO803" s="71"/>
      <c r="BP803" s="71"/>
      <c r="BQ803" s="71"/>
      <c r="BR803" s="71"/>
      <c r="BS803" s="71"/>
      <c r="BT803" s="71"/>
      <c r="BU803" s="71"/>
      <c r="BV803" s="71"/>
      <c r="BW803" s="71"/>
      <c r="BX803" s="71"/>
      <c r="BY803" s="71"/>
      <c r="BZ803" s="71"/>
      <c r="CA803" s="71"/>
      <c r="CB803" s="71"/>
      <c r="CC803" s="71"/>
      <c r="CD803" s="71"/>
      <c r="CE803" s="71"/>
      <c r="CF803" s="71"/>
      <c r="CG803" s="71"/>
      <c r="CH803" s="71"/>
      <c r="CI803" s="71"/>
      <c r="CJ803" s="71"/>
      <c r="CK803" s="71"/>
      <c r="CL803" s="71"/>
      <c r="CM803" s="71"/>
      <c r="CN803" s="71"/>
      <c r="CO803" s="71"/>
      <c r="CP803" s="71"/>
      <c r="CQ803" s="71"/>
      <c r="CR803" s="71"/>
      <c r="CS803" s="71"/>
      <c r="CT803" s="71"/>
      <c r="CU803" s="71"/>
      <c r="CV803" s="71"/>
      <c r="CW803" s="71"/>
      <c r="CX803" s="71"/>
      <c r="CY803" s="71"/>
      <c r="CZ803" s="71"/>
      <c r="DA803" s="71"/>
      <c r="DB803" s="71"/>
      <c r="DC803" s="71"/>
      <c r="DD803" s="71"/>
      <c r="DE803" s="71"/>
      <c r="DF803" s="71"/>
      <c r="DG803" s="71"/>
      <c r="DH803" s="71"/>
      <c r="DI803" s="71"/>
      <c r="DJ803" s="71"/>
      <c r="DK803" s="71"/>
      <c r="DL803" s="71"/>
      <c r="DM803" s="71"/>
      <c r="DN803" s="71"/>
      <c r="DO803" s="71"/>
      <c r="DP803" s="71"/>
      <c r="DQ803" s="71"/>
      <c r="DR803" s="71"/>
      <c r="DS803" s="71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  <c r="IJ803" s="71"/>
      <c r="IK803" s="71"/>
      <c r="IL803" s="71"/>
      <c r="IM803" s="71"/>
      <c r="IN803" s="71"/>
      <c r="IO803" s="71"/>
      <c r="IP803" s="71"/>
      <c r="IQ803" s="71"/>
      <c r="IR803" s="71"/>
      <c r="IS803" s="71"/>
      <c r="IT803" s="71"/>
      <c r="IU803" s="71"/>
      <c r="IV803" s="71"/>
      <c r="IW803" s="71"/>
    </row>
    <row r="804" customFormat="false" ht="12.75" hidden="false" customHeight="false" outlineLevel="0" collapsed="false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1"/>
      <c r="AM804" s="71"/>
      <c r="AN804" s="71"/>
      <c r="AO804" s="71"/>
      <c r="AP804" s="71"/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  <c r="BC804" s="71"/>
      <c r="BD804" s="71"/>
      <c r="BE804" s="71"/>
      <c r="BF804" s="71"/>
      <c r="BG804" s="71"/>
      <c r="BH804" s="71"/>
      <c r="BI804" s="71"/>
      <c r="BJ804" s="71"/>
      <c r="BK804" s="71"/>
      <c r="BL804" s="71"/>
      <c r="BM804" s="71"/>
      <c r="BN804" s="71"/>
      <c r="BO804" s="71"/>
      <c r="BP804" s="71"/>
      <c r="BQ804" s="71"/>
      <c r="BR804" s="71"/>
      <c r="BS804" s="71"/>
      <c r="BT804" s="71"/>
      <c r="BU804" s="71"/>
      <c r="BV804" s="71"/>
      <c r="BW804" s="71"/>
      <c r="BX804" s="71"/>
      <c r="BY804" s="71"/>
      <c r="BZ804" s="71"/>
      <c r="CA804" s="71"/>
      <c r="CB804" s="71"/>
      <c r="CC804" s="71"/>
      <c r="CD804" s="71"/>
      <c r="CE804" s="71"/>
      <c r="CF804" s="71"/>
      <c r="CG804" s="71"/>
      <c r="CH804" s="71"/>
      <c r="CI804" s="71"/>
      <c r="CJ804" s="71"/>
      <c r="CK804" s="71"/>
      <c r="CL804" s="71"/>
      <c r="CM804" s="71"/>
      <c r="CN804" s="71"/>
      <c r="CO804" s="71"/>
      <c r="CP804" s="71"/>
      <c r="CQ804" s="71"/>
      <c r="CR804" s="71"/>
      <c r="CS804" s="71"/>
      <c r="CT804" s="71"/>
      <c r="CU804" s="71"/>
      <c r="CV804" s="71"/>
      <c r="CW804" s="71"/>
      <c r="CX804" s="71"/>
      <c r="CY804" s="71"/>
      <c r="CZ804" s="71"/>
      <c r="DA804" s="71"/>
      <c r="DB804" s="71"/>
      <c r="DC804" s="71"/>
      <c r="DD804" s="71"/>
      <c r="DE804" s="71"/>
      <c r="DF804" s="71"/>
      <c r="DG804" s="71"/>
      <c r="DH804" s="71"/>
      <c r="DI804" s="71"/>
      <c r="DJ804" s="71"/>
      <c r="DK804" s="71"/>
      <c r="DL804" s="71"/>
      <c r="DM804" s="71"/>
      <c r="DN804" s="71"/>
      <c r="DO804" s="71"/>
      <c r="DP804" s="71"/>
      <c r="DQ804" s="71"/>
      <c r="DR804" s="71"/>
      <c r="DS804" s="71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  <c r="IJ804" s="71"/>
      <c r="IK804" s="71"/>
      <c r="IL804" s="71"/>
      <c r="IM804" s="71"/>
      <c r="IN804" s="71"/>
      <c r="IO804" s="71"/>
      <c r="IP804" s="71"/>
      <c r="IQ804" s="71"/>
      <c r="IR804" s="71"/>
      <c r="IS804" s="71"/>
      <c r="IT804" s="71"/>
      <c r="IU804" s="71"/>
      <c r="IV804" s="71"/>
      <c r="IW804" s="71"/>
    </row>
    <row r="805" customFormat="false" ht="12.75" hidden="false" customHeight="false" outlineLevel="0" collapsed="false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1"/>
      <c r="AM805" s="71"/>
      <c r="AN805" s="71"/>
      <c r="AO805" s="71"/>
      <c r="AP805" s="71"/>
      <c r="AQ805" s="71"/>
      <c r="AR805" s="71"/>
      <c r="AS805" s="71"/>
      <c r="AT805" s="71"/>
      <c r="AU805" s="71"/>
      <c r="AV805" s="71"/>
      <c r="AW805" s="71"/>
      <c r="AX805" s="71"/>
      <c r="AY805" s="71"/>
      <c r="AZ805" s="71"/>
      <c r="BA805" s="71"/>
      <c r="BB805" s="71"/>
      <c r="BC805" s="71"/>
      <c r="BD805" s="71"/>
      <c r="BE805" s="71"/>
      <c r="BF805" s="71"/>
      <c r="BG805" s="71"/>
      <c r="BH805" s="71"/>
      <c r="BI805" s="71"/>
      <c r="BJ805" s="71"/>
      <c r="BK805" s="71"/>
      <c r="BL805" s="71"/>
      <c r="BM805" s="71"/>
      <c r="BN805" s="71"/>
      <c r="BO805" s="71"/>
      <c r="BP805" s="71"/>
      <c r="BQ805" s="71"/>
      <c r="BR805" s="71"/>
      <c r="BS805" s="71"/>
      <c r="BT805" s="71"/>
      <c r="BU805" s="71"/>
      <c r="BV805" s="71"/>
      <c r="BW805" s="71"/>
      <c r="BX805" s="71"/>
      <c r="BY805" s="71"/>
      <c r="BZ805" s="71"/>
      <c r="CA805" s="71"/>
      <c r="CB805" s="71"/>
      <c r="CC805" s="71"/>
      <c r="CD805" s="71"/>
      <c r="CE805" s="71"/>
      <c r="CF805" s="71"/>
      <c r="CG805" s="71"/>
      <c r="CH805" s="71"/>
      <c r="CI805" s="71"/>
      <c r="CJ805" s="71"/>
      <c r="CK805" s="71"/>
      <c r="CL805" s="71"/>
      <c r="CM805" s="71"/>
      <c r="CN805" s="71"/>
      <c r="CO805" s="71"/>
      <c r="CP805" s="71"/>
      <c r="CQ805" s="71"/>
      <c r="CR805" s="71"/>
      <c r="CS805" s="71"/>
      <c r="CT805" s="71"/>
      <c r="CU805" s="71"/>
      <c r="CV805" s="71"/>
      <c r="CW805" s="71"/>
      <c r="CX805" s="71"/>
      <c r="CY805" s="71"/>
      <c r="CZ805" s="71"/>
      <c r="DA805" s="71"/>
      <c r="DB805" s="71"/>
      <c r="DC805" s="71"/>
      <c r="DD805" s="71"/>
      <c r="DE805" s="71"/>
      <c r="DF805" s="71"/>
      <c r="DG805" s="71"/>
      <c r="DH805" s="71"/>
      <c r="DI805" s="71"/>
      <c r="DJ805" s="71"/>
      <c r="DK805" s="71"/>
      <c r="DL805" s="71"/>
      <c r="DM805" s="71"/>
      <c r="DN805" s="71"/>
      <c r="DO805" s="71"/>
      <c r="DP805" s="71"/>
      <c r="DQ805" s="71"/>
      <c r="DR805" s="71"/>
      <c r="DS805" s="71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  <c r="IJ805" s="71"/>
      <c r="IK805" s="71"/>
      <c r="IL805" s="71"/>
      <c r="IM805" s="71"/>
      <c r="IN805" s="71"/>
      <c r="IO805" s="71"/>
      <c r="IP805" s="71"/>
      <c r="IQ805" s="71"/>
      <c r="IR805" s="71"/>
      <c r="IS805" s="71"/>
      <c r="IT805" s="71"/>
      <c r="IU805" s="71"/>
      <c r="IV805" s="71"/>
      <c r="IW805" s="71"/>
    </row>
    <row r="806" customFormat="false" ht="12.75" hidden="false" customHeight="false" outlineLevel="0" collapsed="false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1"/>
      <c r="AM806" s="71"/>
      <c r="AN806" s="71"/>
      <c r="AO806" s="71"/>
      <c r="AP806" s="71"/>
      <c r="AQ806" s="71"/>
      <c r="AR806" s="71"/>
      <c r="AS806" s="71"/>
      <c r="AT806" s="71"/>
      <c r="AU806" s="71"/>
      <c r="AV806" s="71"/>
      <c r="AW806" s="71"/>
      <c r="AX806" s="71"/>
      <c r="AY806" s="71"/>
      <c r="AZ806" s="71"/>
      <c r="BA806" s="71"/>
      <c r="BB806" s="71"/>
      <c r="BC806" s="71"/>
      <c r="BD806" s="71"/>
      <c r="BE806" s="71"/>
      <c r="BF806" s="71"/>
      <c r="BG806" s="71"/>
      <c r="BH806" s="71"/>
      <c r="BI806" s="71"/>
      <c r="BJ806" s="71"/>
      <c r="BK806" s="71"/>
      <c r="BL806" s="71"/>
      <c r="BM806" s="71"/>
      <c r="BN806" s="71"/>
      <c r="BO806" s="71"/>
      <c r="BP806" s="71"/>
      <c r="BQ806" s="71"/>
      <c r="BR806" s="71"/>
      <c r="BS806" s="71"/>
      <c r="BT806" s="71"/>
      <c r="BU806" s="71"/>
      <c r="BV806" s="71"/>
      <c r="BW806" s="71"/>
      <c r="BX806" s="71"/>
      <c r="BY806" s="71"/>
      <c r="BZ806" s="71"/>
      <c r="CA806" s="71"/>
      <c r="CB806" s="71"/>
      <c r="CC806" s="71"/>
      <c r="CD806" s="71"/>
      <c r="CE806" s="71"/>
      <c r="CF806" s="71"/>
      <c r="CG806" s="71"/>
      <c r="CH806" s="71"/>
      <c r="CI806" s="71"/>
      <c r="CJ806" s="71"/>
      <c r="CK806" s="71"/>
      <c r="CL806" s="71"/>
      <c r="CM806" s="71"/>
      <c r="CN806" s="71"/>
      <c r="CO806" s="71"/>
      <c r="CP806" s="71"/>
      <c r="CQ806" s="71"/>
      <c r="CR806" s="71"/>
      <c r="CS806" s="71"/>
      <c r="CT806" s="71"/>
      <c r="CU806" s="71"/>
      <c r="CV806" s="71"/>
      <c r="CW806" s="71"/>
      <c r="CX806" s="71"/>
      <c r="CY806" s="71"/>
      <c r="CZ806" s="71"/>
      <c r="DA806" s="71"/>
      <c r="DB806" s="71"/>
      <c r="DC806" s="71"/>
      <c r="DD806" s="71"/>
      <c r="DE806" s="71"/>
      <c r="DF806" s="71"/>
      <c r="DG806" s="71"/>
      <c r="DH806" s="71"/>
      <c r="DI806" s="71"/>
      <c r="DJ806" s="71"/>
      <c r="DK806" s="71"/>
      <c r="DL806" s="71"/>
      <c r="DM806" s="71"/>
      <c r="DN806" s="71"/>
      <c r="DO806" s="71"/>
      <c r="DP806" s="71"/>
      <c r="DQ806" s="71"/>
      <c r="DR806" s="71"/>
      <c r="DS806" s="71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  <c r="IJ806" s="71"/>
      <c r="IK806" s="71"/>
      <c r="IL806" s="71"/>
      <c r="IM806" s="71"/>
      <c r="IN806" s="71"/>
      <c r="IO806" s="71"/>
      <c r="IP806" s="71"/>
      <c r="IQ806" s="71"/>
      <c r="IR806" s="71"/>
      <c r="IS806" s="71"/>
      <c r="IT806" s="71"/>
      <c r="IU806" s="71"/>
      <c r="IV806" s="71"/>
      <c r="IW806" s="71"/>
    </row>
    <row r="807" customFormat="false" ht="12.75" hidden="false" customHeight="false" outlineLevel="0" collapsed="false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1"/>
      <c r="AM807" s="71"/>
      <c r="AN807" s="71"/>
      <c r="AO807" s="71"/>
      <c r="AP807" s="71"/>
      <c r="AQ807" s="71"/>
      <c r="AR807" s="71"/>
      <c r="AS807" s="71"/>
      <c r="AT807" s="71"/>
      <c r="AU807" s="71"/>
      <c r="AV807" s="71"/>
      <c r="AW807" s="71"/>
      <c r="AX807" s="71"/>
      <c r="AY807" s="71"/>
      <c r="AZ807" s="71"/>
      <c r="BA807" s="71"/>
      <c r="BB807" s="71"/>
      <c r="BC807" s="71"/>
      <c r="BD807" s="71"/>
      <c r="BE807" s="71"/>
      <c r="BF807" s="71"/>
      <c r="BG807" s="71"/>
      <c r="BH807" s="71"/>
      <c r="BI807" s="71"/>
      <c r="BJ807" s="71"/>
      <c r="BK807" s="71"/>
      <c r="BL807" s="71"/>
      <c r="BM807" s="71"/>
      <c r="BN807" s="71"/>
      <c r="BO807" s="71"/>
      <c r="BP807" s="71"/>
      <c r="BQ807" s="71"/>
      <c r="BR807" s="71"/>
      <c r="BS807" s="71"/>
      <c r="BT807" s="71"/>
      <c r="BU807" s="71"/>
      <c r="BV807" s="71"/>
      <c r="BW807" s="71"/>
      <c r="BX807" s="71"/>
      <c r="BY807" s="71"/>
      <c r="BZ807" s="71"/>
      <c r="CA807" s="71"/>
      <c r="CB807" s="71"/>
      <c r="CC807" s="71"/>
      <c r="CD807" s="71"/>
      <c r="CE807" s="71"/>
      <c r="CF807" s="71"/>
      <c r="CG807" s="71"/>
      <c r="CH807" s="71"/>
      <c r="CI807" s="71"/>
      <c r="CJ807" s="71"/>
      <c r="CK807" s="71"/>
      <c r="CL807" s="71"/>
      <c r="CM807" s="71"/>
      <c r="CN807" s="71"/>
      <c r="CO807" s="71"/>
      <c r="CP807" s="71"/>
      <c r="CQ807" s="71"/>
      <c r="CR807" s="71"/>
      <c r="CS807" s="71"/>
      <c r="CT807" s="71"/>
      <c r="CU807" s="71"/>
      <c r="CV807" s="71"/>
      <c r="CW807" s="71"/>
      <c r="CX807" s="71"/>
      <c r="CY807" s="71"/>
      <c r="CZ807" s="71"/>
      <c r="DA807" s="71"/>
      <c r="DB807" s="71"/>
      <c r="DC807" s="71"/>
      <c r="DD807" s="71"/>
      <c r="DE807" s="71"/>
      <c r="DF807" s="71"/>
      <c r="DG807" s="71"/>
      <c r="DH807" s="71"/>
      <c r="DI807" s="71"/>
      <c r="DJ807" s="71"/>
      <c r="DK807" s="71"/>
      <c r="DL807" s="71"/>
      <c r="DM807" s="71"/>
      <c r="DN807" s="71"/>
      <c r="DO807" s="71"/>
      <c r="DP807" s="71"/>
      <c r="DQ807" s="71"/>
      <c r="DR807" s="71"/>
      <c r="DS807" s="71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  <c r="IJ807" s="71"/>
      <c r="IK807" s="71"/>
      <c r="IL807" s="71"/>
      <c r="IM807" s="71"/>
      <c r="IN807" s="71"/>
      <c r="IO807" s="71"/>
      <c r="IP807" s="71"/>
      <c r="IQ807" s="71"/>
      <c r="IR807" s="71"/>
      <c r="IS807" s="71"/>
      <c r="IT807" s="71"/>
      <c r="IU807" s="71"/>
      <c r="IV807" s="71"/>
      <c r="IW807" s="71"/>
    </row>
    <row r="808" customFormat="false" ht="12.75" hidden="false" customHeight="false" outlineLevel="0" collapsed="false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1"/>
      <c r="AM808" s="71"/>
      <c r="AN808" s="71"/>
      <c r="AO808" s="71"/>
      <c r="AP808" s="71"/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  <c r="BC808" s="71"/>
      <c r="BD808" s="71"/>
      <c r="BE808" s="71"/>
      <c r="BF808" s="71"/>
      <c r="BG808" s="71"/>
      <c r="BH808" s="71"/>
      <c r="BI808" s="71"/>
      <c r="BJ808" s="71"/>
      <c r="BK808" s="71"/>
      <c r="BL808" s="71"/>
      <c r="BM808" s="71"/>
      <c r="BN808" s="71"/>
      <c r="BO808" s="71"/>
      <c r="BP808" s="71"/>
      <c r="BQ808" s="71"/>
      <c r="BR808" s="71"/>
      <c r="BS808" s="71"/>
      <c r="BT808" s="71"/>
      <c r="BU808" s="71"/>
      <c r="BV808" s="71"/>
      <c r="BW808" s="71"/>
      <c r="BX808" s="71"/>
      <c r="BY808" s="71"/>
      <c r="BZ808" s="71"/>
      <c r="CA808" s="71"/>
      <c r="CB808" s="71"/>
      <c r="CC808" s="71"/>
      <c r="CD808" s="71"/>
      <c r="CE808" s="71"/>
      <c r="CF808" s="71"/>
      <c r="CG808" s="71"/>
      <c r="CH808" s="71"/>
      <c r="CI808" s="71"/>
      <c r="CJ808" s="71"/>
      <c r="CK808" s="71"/>
      <c r="CL808" s="71"/>
      <c r="CM808" s="71"/>
      <c r="CN808" s="71"/>
      <c r="CO808" s="71"/>
      <c r="CP808" s="71"/>
      <c r="CQ808" s="71"/>
      <c r="CR808" s="71"/>
      <c r="CS808" s="71"/>
      <c r="CT808" s="71"/>
      <c r="CU808" s="71"/>
      <c r="CV808" s="71"/>
      <c r="CW808" s="71"/>
      <c r="CX808" s="71"/>
      <c r="CY808" s="71"/>
      <c r="CZ808" s="71"/>
      <c r="DA808" s="71"/>
      <c r="DB808" s="71"/>
      <c r="DC808" s="71"/>
      <c r="DD808" s="71"/>
      <c r="DE808" s="71"/>
      <c r="DF808" s="71"/>
      <c r="DG808" s="71"/>
      <c r="DH808" s="71"/>
      <c r="DI808" s="71"/>
      <c r="DJ808" s="71"/>
      <c r="DK808" s="71"/>
      <c r="DL808" s="71"/>
      <c r="DM808" s="71"/>
      <c r="DN808" s="71"/>
      <c r="DO808" s="71"/>
      <c r="DP808" s="71"/>
      <c r="DQ808" s="71"/>
      <c r="DR808" s="71"/>
      <c r="DS808" s="71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  <c r="IJ808" s="71"/>
      <c r="IK808" s="71"/>
      <c r="IL808" s="71"/>
      <c r="IM808" s="71"/>
      <c r="IN808" s="71"/>
      <c r="IO808" s="71"/>
      <c r="IP808" s="71"/>
      <c r="IQ808" s="71"/>
      <c r="IR808" s="71"/>
      <c r="IS808" s="71"/>
      <c r="IT808" s="71"/>
      <c r="IU808" s="71"/>
      <c r="IV808" s="71"/>
      <c r="IW808" s="71"/>
    </row>
    <row r="809" customFormat="false" ht="12.75" hidden="false" customHeight="false" outlineLevel="0" collapsed="false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1"/>
      <c r="AM809" s="71"/>
      <c r="AN809" s="71"/>
      <c r="AO809" s="71"/>
      <c r="AP809" s="71"/>
      <c r="AQ809" s="71"/>
      <c r="AR809" s="71"/>
      <c r="AS809" s="71"/>
      <c r="AT809" s="71"/>
      <c r="AU809" s="71"/>
      <c r="AV809" s="71"/>
      <c r="AW809" s="71"/>
      <c r="AX809" s="71"/>
      <c r="AY809" s="71"/>
      <c r="AZ809" s="71"/>
      <c r="BA809" s="71"/>
      <c r="BB809" s="71"/>
      <c r="BC809" s="71"/>
      <c r="BD809" s="71"/>
      <c r="BE809" s="71"/>
      <c r="BF809" s="71"/>
      <c r="BG809" s="71"/>
      <c r="BH809" s="71"/>
      <c r="BI809" s="71"/>
      <c r="BJ809" s="71"/>
      <c r="BK809" s="71"/>
      <c r="BL809" s="71"/>
      <c r="BM809" s="71"/>
      <c r="BN809" s="71"/>
      <c r="BO809" s="71"/>
      <c r="BP809" s="71"/>
      <c r="BQ809" s="71"/>
      <c r="BR809" s="71"/>
      <c r="BS809" s="71"/>
      <c r="BT809" s="71"/>
      <c r="BU809" s="71"/>
      <c r="BV809" s="71"/>
      <c r="BW809" s="71"/>
      <c r="BX809" s="71"/>
      <c r="BY809" s="71"/>
      <c r="BZ809" s="71"/>
      <c r="CA809" s="71"/>
      <c r="CB809" s="71"/>
      <c r="CC809" s="71"/>
      <c r="CD809" s="71"/>
      <c r="CE809" s="71"/>
      <c r="CF809" s="71"/>
      <c r="CG809" s="71"/>
      <c r="CH809" s="71"/>
      <c r="CI809" s="71"/>
      <c r="CJ809" s="71"/>
      <c r="CK809" s="71"/>
      <c r="CL809" s="71"/>
      <c r="CM809" s="71"/>
      <c r="CN809" s="71"/>
      <c r="CO809" s="71"/>
      <c r="CP809" s="71"/>
      <c r="CQ809" s="71"/>
      <c r="CR809" s="71"/>
      <c r="CS809" s="71"/>
      <c r="CT809" s="71"/>
      <c r="CU809" s="71"/>
      <c r="CV809" s="71"/>
      <c r="CW809" s="71"/>
      <c r="CX809" s="71"/>
      <c r="CY809" s="71"/>
      <c r="CZ809" s="71"/>
      <c r="DA809" s="71"/>
      <c r="DB809" s="71"/>
      <c r="DC809" s="71"/>
      <c r="DD809" s="71"/>
      <c r="DE809" s="71"/>
      <c r="DF809" s="71"/>
      <c r="DG809" s="71"/>
      <c r="DH809" s="71"/>
      <c r="DI809" s="71"/>
      <c r="DJ809" s="71"/>
      <c r="DK809" s="71"/>
      <c r="DL809" s="71"/>
      <c r="DM809" s="71"/>
      <c r="DN809" s="71"/>
      <c r="DO809" s="71"/>
      <c r="DP809" s="71"/>
      <c r="DQ809" s="71"/>
      <c r="DR809" s="71"/>
      <c r="DS809" s="71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  <c r="IJ809" s="71"/>
      <c r="IK809" s="71"/>
      <c r="IL809" s="71"/>
      <c r="IM809" s="71"/>
      <c r="IN809" s="71"/>
      <c r="IO809" s="71"/>
      <c r="IP809" s="71"/>
      <c r="IQ809" s="71"/>
      <c r="IR809" s="71"/>
      <c r="IS809" s="71"/>
      <c r="IT809" s="71"/>
      <c r="IU809" s="71"/>
      <c r="IV809" s="71"/>
      <c r="IW809" s="71"/>
    </row>
    <row r="810" customFormat="false" ht="12.75" hidden="false" customHeight="false" outlineLevel="0" collapsed="false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/>
      <c r="AO810" s="71"/>
      <c r="AP810" s="71"/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  <c r="BC810" s="71"/>
      <c r="BD810" s="71"/>
      <c r="BE810" s="71"/>
      <c r="BF810" s="71"/>
      <c r="BG810" s="71"/>
      <c r="BH810" s="71"/>
      <c r="BI810" s="71"/>
      <c r="BJ810" s="71"/>
      <c r="BK810" s="71"/>
      <c r="BL810" s="71"/>
      <c r="BM810" s="71"/>
      <c r="BN810" s="71"/>
      <c r="BO810" s="71"/>
      <c r="BP810" s="71"/>
      <c r="BQ810" s="71"/>
      <c r="BR810" s="71"/>
      <c r="BS810" s="71"/>
      <c r="BT810" s="71"/>
      <c r="BU810" s="71"/>
      <c r="BV810" s="71"/>
      <c r="BW810" s="71"/>
      <c r="BX810" s="71"/>
      <c r="BY810" s="71"/>
      <c r="BZ810" s="71"/>
      <c r="CA810" s="71"/>
      <c r="CB810" s="71"/>
      <c r="CC810" s="71"/>
      <c r="CD810" s="71"/>
      <c r="CE810" s="71"/>
      <c r="CF810" s="71"/>
      <c r="CG810" s="71"/>
      <c r="CH810" s="71"/>
      <c r="CI810" s="71"/>
      <c r="CJ810" s="71"/>
      <c r="CK810" s="71"/>
      <c r="CL810" s="71"/>
      <c r="CM810" s="71"/>
      <c r="CN810" s="71"/>
      <c r="CO810" s="71"/>
      <c r="CP810" s="71"/>
      <c r="CQ810" s="71"/>
      <c r="CR810" s="71"/>
      <c r="CS810" s="71"/>
      <c r="CT810" s="71"/>
      <c r="CU810" s="71"/>
      <c r="CV810" s="71"/>
      <c r="CW810" s="71"/>
      <c r="CX810" s="71"/>
      <c r="CY810" s="71"/>
      <c r="CZ810" s="71"/>
      <c r="DA810" s="71"/>
      <c r="DB810" s="71"/>
      <c r="DC810" s="71"/>
      <c r="DD810" s="71"/>
      <c r="DE810" s="71"/>
      <c r="DF810" s="71"/>
      <c r="DG810" s="71"/>
      <c r="DH810" s="71"/>
      <c r="DI810" s="71"/>
      <c r="DJ810" s="71"/>
      <c r="DK810" s="71"/>
      <c r="DL810" s="71"/>
      <c r="DM810" s="71"/>
      <c r="DN810" s="71"/>
      <c r="DO810" s="71"/>
      <c r="DP810" s="71"/>
      <c r="DQ810" s="71"/>
      <c r="DR810" s="71"/>
      <c r="DS810" s="71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  <c r="IJ810" s="71"/>
      <c r="IK810" s="71"/>
      <c r="IL810" s="71"/>
      <c r="IM810" s="71"/>
      <c r="IN810" s="71"/>
      <c r="IO810" s="71"/>
      <c r="IP810" s="71"/>
      <c r="IQ810" s="71"/>
      <c r="IR810" s="71"/>
      <c r="IS810" s="71"/>
      <c r="IT810" s="71"/>
      <c r="IU810" s="71"/>
      <c r="IV810" s="71"/>
      <c r="IW810" s="71"/>
    </row>
    <row r="811" customFormat="false" ht="12.75" hidden="false" customHeight="false" outlineLevel="0" collapsed="false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1"/>
      <c r="AM811" s="71"/>
      <c r="AN811" s="71"/>
      <c r="AO811" s="71"/>
      <c r="AP811" s="71"/>
      <c r="AQ811" s="71"/>
      <c r="AR811" s="71"/>
      <c r="AS811" s="71"/>
      <c r="AT811" s="71"/>
      <c r="AU811" s="71"/>
      <c r="AV811" s="71"/>
      <c r="AW811" s="71"/>
      <c r="AX811" s="71"/>
      <c r="AY811" s="71"/>
      <c r="AZ811" s="71"/>
      <c r="BA811" s="71"/>
      <c r="BB811" s="71"/>
      <c r="BC811" s="71"/>
      <c r="BD811" s="71"/>
      <c r="BE811" s="71"/>
      <c r="BF811" s="71"/>
      <c r="BG811" s="71"/>
      <c r="BH811" s="71"/>
      <c r="BI811" s="71"/>
      <c r="BJ811" s="71"/>
      <c r="BK811" s="71"/>
      <c r="BL811" s="71"/>
      <c r="BM811" s="71"/>
      <c r="BN811" s="71"/>
      <c r="BO811" s="71"/>
      <c r="BP811" s="71"/>
      <c r="BQ811" s="71"/>
      <c r="BR811" s="71"/>
      <c r="BS811" s="71"/>
      <c r="BT811" s="71"/>
      <c r="BU811" s="71"/>
      <c r="BV811" s="71"/>
      <c r="BW811" s="71"/>
      <c r="BX811" s="71"/>
      <c r="BY811" s="71"/>
      <c r="BZ811" s="71"/>
      <c r="CA811" s="71"/>
      <c r="CB811" s="71"/>
      <c r="CC811" s="71"/>
      <c r="CD811" s="71"/>
      <c r="CE811" s="71"/>
      <c r="CF811" s="71"/>
      <c r="CG811" s="71"/>
      <c r="CH811" s="71"/>
      <c r="CI811" s="71"/>
      <c r="CJ811" s="71"/>
      <c r="CK811" s="71"/>
      <c r="CL811" s="71"/>
      <c r="CM811" s="71"/>
      <c r="CN811" s="71"/>
      <c r="CO811" s="71"/>
      <c r="CP811" s="71"/>
      <c r="CQ811" s="71"/>
      <c r="CR811" s="71"/>
      <c r="CS811" s="71"/>
      <c r="CT811" s="71"/>
      <c r="CU811" s="71"/>
      <c r="CV811" s="71"/>
      <c r="CW811" s="71"/>
      <c r="CX811" s="71"/>
      <c r="CY811" s="71"/>
      <c r="CZ811" s="71"/>
      <c r="DA811" s="71"/>
      <c r="DB811" s="71"/>
      <c r="DC811" s="71"/>
      <c r="DD811" s="71"/>
      <c r="DE811" s="71"/>
      <c r="DF811" s="71"/>
      <c r="DG811" s="71"/>
      <c r="DH811" s="71"/>
      <c r="DI811" s="71"/>
      <c r="DJ811" s="71"/>
      <c r="DK811" s="71"/>
      <c r="DL811" s="71"/>
      <c r="DM811" s="71"/>
      <c r="DN811" s="71"/>
      <c r="DO811" s="71"/>
      <c r="DP811" s="71"/>
      <c r="DQ811" s="71"/>
      <c r="DR811" s="71"/>
      <c r="DS811" s="71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  <c r="IJ811" s="71"/>
      <c r="IK811" s="71"/>
      <c r="IL811" s="71"/>
      <c r="IM811" s="71"/>
      <c r="IN811" s="71"/>
      <c r="IO811" s="71"/>
      <c r="IP811" s="71"/>
      <c r="IQ811" s="71"/>
      <c r="IR811" s="71"/>
      <c r="IS811" s="71"/>
      <c r="IT811" s="71"/>
      <c r="IU811" s="71"/>
      <c r="IV811" s="71"/>
      <c r="IW811" s="71"/>
    </row>
    <row r="812" customFormat="false" ht="12.75" hidden="false" customHeight="false" outlineLevel="0" collapsed="false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1"/>
      <c r="AM812" s="71"/>
      <c r="AN812" s="71"/>
      <c r="AO812" s="71"/>
      <c r="AP812" s="71"/>
      <c r="AQ812" s="71"/>
      <c r="AR812" s="71"/>
      <c r="AS812" s="71"/>
      <c r="AT812" s="71"/>
      <c r="AU812" s="71"/>
      <c r="AV812" s="71"/>
      <c r="AW812" s="71"/>
      <c r="AX812" s="71"/>
      <c r="AY812" s="71"/>
      <c r="AZ812" s="71"/>
      <c r="BA812" s="71"/>
      <c r="BB812" s="71"/>
      <c r="BC812" s="71"/>
      <c r="BD812" s="71"/>
      <c r="BE812" s="71"/>
      <c r="BF812" s="71"/>
      <c r="BG812" s="71"/>
      <c r="BH812" s="71"/>
      <c r="BI812" s="71"/>
      <c r="BJ812" s="71"/>
      <c r="BK812" s="71"/>
      <c r="BL812" s="71"/>
      <c r="BM812" s="71"/>
      <c r="BN812" s="71"/>
      <c r="BO812" s="71"/>
      <c r="BP812" s="71"/>
      <c r="BQ812" s="71"/>
      <c r="BR812" s="71"/>
      <c r="BS812" s="71"/>
      <c r="BT812" s="71"/>
      <c r="BU812" s="71"/>
      <c r="BV812" s="71"/>
      <c r="BW812" s="71"/>
      <c r="BX812" s="71"/>
      <c r="BY812" s="71"/>
      <c r="BZ812" s="71"/>
      <c r="CA812" s="71"/>
      <c r="CB812" s="71"/>
      <c r="CC812" s="71"/>
      <c r="CD812" s="71"/>
      <c r="CE812" s="71"/>
      <c r="CF812" s="71"/>
      <c r="CG812" s="71"/>
      <c r="CH812" s="71"/>
      <c r="CI812" s="71"/>
      <c r="CJ812" s="71"/>
      <c r="CK812" s="71"/>
      <c r="CL812" s="71"/>
      <c r="CM812" s="71"/>
      <c r="CN812" s="71"/>
      <c r="CO812" s="71"/>
      <c r="CP812" s="71"/>
      <c r="CQ812" s="71"/>
      <c r="CR812" s="71"/>
      <c r="CS812" s="71"/>
      <c r="CT812" s="71"/>
      <c r="CU812" s="71"/>
      <c r="CV812" s="71"/>
      <c r="CW812" s="71"/>
      <c r="CX812" s="71"/>
      <c r="CY812" s="71"/>
      <c r="CZ812" s="71"/>
      <c r="DA812" s="71"/>
      <c r="DB812" s="71"/>
      <c r="DC812" s="71"/>
      <c r="DD812" s="71"/>
      <c r="DE812" s="71"/>
      <c r="DF812" s="71"/>
      <c r="DG812" s="71"/>
      <c r="DH812" s="71"/>
      <c r="DI812" s="71"/>
      <c r="DJ812" s="71"/>
      <c r="DK812" s="71"/>
      <c r="DL812" s="71"/>
      <c r="DM812" s="71"/>
      <c r="DN812" s="71"/>
      <c r="DO812" s="71"/>
      <c r="DP812" s="71"/>
      <c r="DQ812" s="71"/>
      <c r="DR812" s="71"/>
      <c r="DS812" s="71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  <c r="IJ812" s="71"/>
      <c r="IK812" s="71"/>
      <c r="IL812" s="71"/>
      <c r="IM812" s="71"/>
      <c r="IN812" s="71"/>
      <c r="IO812" s="71"/>
      <c r="IP812" s="71"/>
      <c r="IQ812" s="71"/>
      <c r="IR812" s="71"/>
      <c r="IS812" s="71"/>
      <c r="IT812" s="71"/>
      <c r="IU812" s="71"/>
      <c r="IV812" s="71"/>
      <c r="IW812" s="71"/>
    </row>
    <row r="813" customFormat="false" ht="12.75" hidden="false" customHeight="false" outlineLevel="0" collapsed="false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1"/>
      <c r="AM813" s="71"/>
      <c r="AN813" s="71"/>
      <c r="AO813" s="71"/>
      <c r="AP813" s="71"/>
      <c r="AQ813" s="71"/>
      <c r="AR813" s="71"/>
      <c r="AS813" s="71"/>
      <c r="AT813" s="71"/>
      <c r="AU813" s="71"/>
      <c r="AV813" s="71"/>
      <c r="AW813" s="71"/>
      <c r="AX813" s="71"/>
      <c r="AY813" s="71"/>
      <c r="AZ813" s="71"/>
      <c r="BA813" s="71"/>
      <c r="BB813" s="71"/>
      <c r="BC813" s="71"/>
      <c r="BD813" s="71"/>
      <c r="BE813" s="71"/>
      <c r="BF813" s="71"/>
      <c r="BG813" s="71"/>
      <c r="BH813" s="71"/>
      <c r="BI813" s="71"/>
      <c r="BJ813" s="71"/>
      <c r="BK813" s="71"/>
      <c r="BL813" s="71"/>
      <c r="BM813" s="71"/>
      <c r="BN813" s="71"/>
      <c r="BO813" s="71"/>
      <c r="BP813" s="71"/>
      <c r="BQ813" s="71"/>
      <c r="BR813" s="71"/>
      <c r="BS813" s="71"/>
      <c r="BT813" s="71"/>
      <c r="BU813" s="71"/>
      <c r="BV813" s="71"/>
      <c r="BW813" s="71"/>
      <c r="BX813" s="71"/>
      <c r="BY813" s="71"/>
      <c r="BZ813" s="71"/>
      <c r="CA813" s="71"/>
      <c r="CB813" s="71"/>
      <c r="CC813" s="71"/>
      <c r="CD813" s="71"/>
      <c r="CE813" s="71"/>
      <c r="CF813" s="71"/>
      <c r="CG813" s="71"/>
      <c r="CH813" s="71"/>
      <c r="CI813" s="71"/>
      <c r="CJ813" s="71"/>
      <c r="CK813" s="71"/>
      <c r="CL813" s="71"/>
      <c r="CM813" s="71"/>
      <c r="CN813" s="71"/>
      <c r="CO813" s="71"/>
      <c r="CP813" s="71"/>
      <c r="CQ813" s="71"/>
      <c r="CR813" s="71"/>
      <c r="CS813" s="71"/>
      <c r="CT813" s="71"/>
      <c r="CU813" s="71"/>
      <c r="CV813" s="71"/>
      <c r="CW813" s="71"/>
      <c r="CX813" s="71"/>
      <c r="CY813" s="71"/>
      <c r="CZ813" s="71"/>
      <c r="DA813" s="71"/>
      <c r="DB813" s="71"/>
      <c r="DC813" s="71"/>
      <c r="DD813" s="71"/>
      <c r="DE813" s="71"/>
      <c r="DF813" s="71"/>
      <c r="DG813" s="71"/>
      <c r="DH813" s="71"/>
      <c r="DI813" s="71"/>
      <c r="DJ813" s="71"/>
      <c r="DK813" s="71"/>
      <c r="DL813" s="71"/>
      <c r="DM813" s="71"/>
      <c r="DN813" s="71"/>
      <c r="DO813" s="71"/>
      <c r="DP813" s="71"/>
      <c r="DQ813" s="71"/>
      <c r="DR813" s="71"/>
      <c r="DS813" s="71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  <c r="IJ813" s="71"/>
      <c r="IK813" s="71"/>
      <c r="IL813" s="71"/>
      <c r="IM813" s="71"/>
      <c r="IN813" s="71"/>
      <c r="IO813" s="71"/>
      <c r="IP813" s="71"/>
      <c r="IQ813" s="71"/>
      <c r="IR813" s="71"/>
      <c r="IS813" s="71"/>
      <c r="IT813" s="71"/>
      <c r="IU813" s="71"/>
      <c r="IV813" s="71"/>
      <c r="IW813" s="71"/>
    </row>
    <row r="814" customFormat="false" ht="12.75" hidden="false" customHeight="false" outlineLevel="0" collapsed="false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  <c r="BC814" s="71"/>
      <c r="BD814" s="71"/>
      <c r="BE814" s="71"/>
      <c r="BF814" s="71"/>
      <c r="BG814" s="71"/>
      <c r="BH814" s="71"/>
      <c r="BI814" s="71"/>
      <c r="BJ814" s="71"/>
      <c r="BK814" s="71"/>
      <c r="BL814" s="71"/>
      <c r="BM814" s="71"/>
      <c r="BN814" s="71"/>
      <c r="BO814" s="71"/>
      <c r="BP814" s="71"/>
      <c r="BQ814" s="71"/>
      <c r="BR814" s="71"/>
      <c r="BS814" s="71"/>
      <c r="BT814" s="71"/>
      <c r="BU814" s="71"/>
      <c r="BV814" s="71"/>
      <c r="BW814" s="71"/>
      <c r="BX814" s="71"/>
      <c r="BY814" s="71"/>
      <c r="BZ814" s="71"/>
      <c r="CA814" s="71"/>
      <c r="CB814" s="71"/>
      <c r="CC814" s="71"/>
      <c r="CD814" s="71"/>
      <c r="CE814" s="71"/>
      <c r="CF814" s="71"/>
      <c r="CG814" s="71"/>
      <c r="CH814" s="71"/>
      <c r="CI814" s="71"/>
      <c r="CJ814" s="71"/>
      <c r="CK814" s="71"/>
      <c r="CL814" s="71"/>
      <c r="CM814" s="71"/>
      <c r="CN814" s="71"/>
      <c r="CO814" s="71"/>
      <c r="CP814" s="71"/>
      <c r="CQ814" s="71"/>
      <c r="CR814" s="71"/>
      <c r="CS814" s="71"/>
      <c r="CT814" s="71"/>
      <c r="CU814" s="71"/>
      <c r="CV814" s="71"/>
      <c r="CW814" s="71"/>
      <c r="CX814" s="71"/>
      <c r="CY814" s="71"/>
      <c r="CZ814" s="71"/>
      <c r="DA814" s="71"/>
      <c r="DB814" s="71"/>
      <c r="DC814" s="71"/>
      <c r="DD814" s="71"/>
      <c r="DE814" s="71"/>
      <c r="DF814" s="71"/>
      <c r="DG814" s="71"/>
      <c r="DH814" s="71"/>
      <c r="DI814" s="71"/>
      <c r="DJ814" s="71"/>
      <c r="DK814" s="71"/>
      <c r="DL814" s="71"/>
      <c r="DM814" s="71"/>
      <c r="DN814" s="71"/>
      <c r="DO814" s="71"/>
      <c r="DP814" s="71"/>
      <c r="DQ814" s="71"/>
      <c r="DR814" s="71"/>
      <c r="DS814" s="71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  <c r="IJ814" s="71"/>
      <c r="IK814" s="71"/>
      <c r="IL814" s="71"/>
      <c r="IM814" s="71"/>
      <c r="IN814" s="71"/>
      <c r="IO814" s="71"/>
      <c r="IP814" s="71"/>
      <c r="IQ814" s="71"/>
      <c r="IR814" s="71"/>
      <c r="IS814" s="71"/>
      <c r="IT814" s="71"/>
      <c r="IU814" s="71"/>
      <c r="IV814" s="71"/>
      <c r="IW814" s="71"/>
    </row>
    <row r="815" customFormat="false" ht="12.75" hidden="false" customHeight="false" outlineLevel="0" collapsed="false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AZ815" s="71"/>
      <c r="BA815" s="71"/>
      <c r="BB815" s="71"/>
      <c r="BC815" s="71"/>
      <c r="BD815" s="71"/>
      <c r="BE815" s="71"/>
      <c r="BF815" s="71"/>
      <c r="BG815" s="71"/>
      <c r="BH815" s="71"/>
      <c r="BI815" s="71"/>
      <c r="BJ815" s="71"/>
      <c r="BK815" s="71"/>
      <c r="BL815" s="71"/>
      <c r="BM815" s="71"/>
      <c r="BN815" s="71"/>
      <c r="BO815" s="71"/>
      <c r="BP815" s="71"/>
      <c r="BQ815" s="71"/>
      <c r="BR815" s="71"/>
      <c r="BS815" s="71"/>
      <c r="BT815" s="71"/>
      <c r="BU815" s="71"/>
      <c r="BV815" s="71"/>
      <c r="BW815" s="71"/>
      <c r="BX815" s="71"/>
      <c r="BY815" s="71"/>
      <c r="BZ815" s="71"/>
      <c r="CA815" s="71"/>
      <c r="CB815" s="71"/>
      <c r="CC815" s="71"/>
      <c r="CD815" s="71"/>
      <c r="CE815" s="71"/>
      <c r="CF815" s="71"/>
      <c r="CG815" s="71"/>
      <c r="CH815" s="71"/>
      <c r="CI815" s="71"/>
      <c r="CJ815" s="71"/>
      <c r="CK815" s="71"/>
      <c r="CL815" s="71"/>
      <c r="CM815" s="71"/>
      <c r="CN815" s="71"/>
      <c r="CO815" s="71"/>
      <c r="CP815" s="71"/>
      <c r="CQ815" s="71"/>
      <c r="CR815" s="71"/>
      <c r="CS815" s="71"/>
      <c r="CT815" s="71"/>
      <c r="CU815" s="71"/>
      <c r="CV815" s="71"/>
      <c r="CW815" s="71"/>
      <c r="CX815" s="71"/>
      <c r="CY815" s="71"/>
      <c r="CZ815" s="71"/>
      <c r="DA815" s="71"/>
      <c r="DB815" s="71"/>
      <c r="DC815" s="71"/>
      <c r="DD815" s="71"/>
      <c r="DE815" s="71"/>
      <c r="DF815" s="71"/>
      <c r="DG815" s="71"/>
      <c r="DH815" s="71"/>
      <c r="DI815" s="71"/>
      <c r="DJ815" s="71"/>
      <c r="DK815" s="71"/>
      <c r="DL815" s="71"/>
      <c r="DM815" s="71"/>
      <c r="DN815" s="71"/>
      <c r="DO815" s="71"/>
      <c r="DP815" s="71"/>
      <c r="DQ815" s="71"/>
      <c r="DR815" s="71"/>
      <c r="DS815" s="71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  <c r="IJ815" s="71"/>
      <c r="IK815" s="71"/>
      <c r="IL815" s="71"/>
      <c r="IM815" s="71"/>
      <c r="IN815" s="71"/>
      <c r="IO815" s="71"/>
      <c r="IP815" s="71"/>
      <c r="IQ815" s="71"/>
      <c r="IR815" s="71"/>
      <c r="IS815" s="71"/>
      <c r="IT815" s="71"/>
      <c r="IU815" s="71"/>
      <c r="IV815" s="71"/>
      <c r="IW815" s="71"/>
    </row>
    <row r="816" customFormat="false" ht="12.75" hidden="false" customHeight="false" outlineLevel="0" collapsed="false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AZ816" s="71"/>
      <c r="BA816" s="71"/>
      <c r="BB816" s="71"/>
      <c r="BC816" s="71"/>
      <c r="BD816" s="71"/>
      <c r="BE816" s="71"/>
      <c r="BF816" s="71"/>
      <c r="BG816" s="71"/>
      <c r="BH816" s="71"/>
      <c r="BI816" s="71"/>
      <c r="BJ816" s="71"/>
      <c r="BK816" s="71"/>
      <c r="BL816" s="71"/>
      <c r="BM816" s="71"/>
      <c r="BN816" s="71"/>
      <c r="BO816" s="71"/>
      <c r="BP816" s="71"/>
      <c r="BQ816" s="71"/>
      <c r="BR816" s="71"/>
      <c r="BS816" s="71"/>
      <c r="BT816" s="71"/>
      <c r="BU816" s="71"/>
      <c r="BV816" s="71"/>
      <c r="BW816" s="71"/>
      <c r="BX816" s="71"/>
      <c r="BY816" s="71"/>
      <c r="BZ816" s="71"/>
      <c r="CA816" s="71"/>
      <c r="CB816" s="71"/>
      <c r="CC816" s="71"/>
      <c r="CD816" s="71"/>
      <c r="CE816" s="71"/>
      <c r="CF816" s="71"/>
      <c r="CG816" s="71"/>
      <c r="CH816" s="71"/>
      <c r="CI816" s="71"/>
      <c r="CJ816" s="71"/>
      <c r="CK816" s="71"/>
      <c r="CL816" s="71"/>
      <c r="CM816" s="71"/>
      <c r="CN816" s="71"/>
      <c r="CO816" s="71"/>
      <c r="CP816" s="71"/>
      <c r="CQ816" s="71"/>
      <c r="CR816" s="71"/>
      <c r="CS816" s="71"/>
      <c r="CT816" s="71"/>
      <c r="CU816" s="71"/>
      <c r="CV816" s="71"/>
      <c r="CW816" s="71"/>
      <c r="CX816" s="71"/>
      <c r="CY816" s="71"/>
      <c r="CZ816" s="71"/>
      <c r="DA816" s="71"/>
      <c r="DB816" s="71"/>
      <c r="DC816" s="71"/>
      <c r="DD816" s="71"/>
      <c r="DE816" s="71"/>
      <c r="DF816" s="71"/>
      <c r="DG816" s="71"/>
      <c r="DH816" s="71"/>
      <c r="DI816" s="71"/>
      <c r="DJ816" s="71"/>
      <c r="DK816" s="71"/>
      <c r="DL816" s="71"/>
      <c r="DM816" s="71"/>
      <c r="DN816" s="71"/>
      <c r="DO816" s="71"/>
      <c r="DP816" s="71"/>
      <c r="DQ816" s="71"/>
      <c r="DR816" s="71"/>
      <c r="DS816" s="71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  <c r="IJ816" s="71"/>
      <c r="IK816" s="71"/>
      <c r="IL816" s="71"/>
      <c r="IM816" s="71"/>
      <c r="IN816" s="71"/>
      <c r="IO816" s="71"/>
      <c r="IP816" s="71"/>
      <c r="IQ816" s="71"/>
      <c r="IR816" s="71"/>
      <c r="IS816" s="71"/>
      <c r="IT816" s="71"/>
      <c r="IU816" s="71"/>
      <c r="IV816" s="71"/>
      <c r="IW816" s="71"/>
    </row>
    <row r="817" customFormat="false" ht="12.75" hidden="false" customHeight="false" outlineLevel="0" collapsed="false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  <c r="BC817" s="71"/>
      <c r="BD817" s="71"/>
      <c r="BE817" s="71"/>
      <c r="BF817" s="71"/>
      <c r="BG817" s="71"/>
      <c r="BH817" s="71"/>
      <c r="BI817" s="71"/>
      <c r="BJ817" s="71"/>
      <c r="BK817" s="71"/>
      <c r="BL817" s="71"/>
      <c r="BM817" s="71"/>
      <c r="BN817" s="71"/>
      <c r="BO817" s="71"/>
      <c r="BP817" s="71"/>
      <c r="BQ817" s="71"/>
      <c r="BR817" s="71"/>
      <c r="BS817" s="71"/>
      <c r="BT817" s="71"/>
      <c r="BU817" s="71"/>
      <c r="BV817" s="71"/>
      <c r="BW817" s="71"/>
      <c r="BX817" s="71"/>
      <c r="BY817" s="71"/>
      <c r="BZ817" s="71"/>
      <c r="CA817" s="71"/>
      <c r="CB817" s="71"/>
      <c r="CC817" s="71"/>
      <c r="CD817" s="71"/>
      <c r="CE817" s="71"/>
      <c r="CF817" s="71"/>
      <c r="CG817" s="71"/>
      <c r="CH817" s="71"/>
      <c r="CI817" s="71"/>
      <c r="CJ817" s="71"/>
      <c r="CK817" s="71"/>
      <c r="CL817" s="71"/>
      <c r="CM817" s="71"/>
      <c r="CN817" s="71"/>
      <c r="CO817" s="71"/>
      <c r="CP817" s="71"/>
      <c r="CQ817" s="71"/>
      <c r="CR817" s="71"/>
      <c r="CS817" s="71"/>
      <c r="CT817" s="71"/>
      <c r="CU817" s="71"/>
      <c r="CV817" s="71"/>
      <c r="CW817" s="71"/>
      <c r="CX817" s="71"/>
      <c r="CY817" s="71"/>
      <c r="CZ817" s="71"/>
      <c r="DA817" s="71"/>
      <c r="DB817" s="71"/>
      <c r="DC817" s="71"/>
      <c r="DD817" s="71"/>
      <c r="DE817" s="71"/>
      <c r="DF817" s="71"/>
      <c r="DG817" s="71"/>
      <c r="DH817" s="71"/>
      <c r="DI817" s="71"/>
      <c r="DJ817" s="71"/>
      <c r="DK817" s="71"/>
      <c r="DL817" s="71"/>
      <c r="DM817" s="71"/>
      <c r="DN817" s="71"/>
      <c r="DO817" s="71"/>
      <c r="DP817" s="71"/>
      <c r="DQ817" s="71"/>
      <c r="DR817" s="71"/>
      <c r="DS817" s="71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  <c r="IJ817" s="71"/>
      <c r="IK817" s="71"/>
      <c r="IL817" s="71"/>
      <c r="IM817" s="71"/>
      <c r="IN817" s="71"/>
      <c r="IO817" s="71"/>
      <c r="IP817" s="71"/>
      <c r="IQ817" s="71"/>
      <c r="IR817" s="71"/>
      <c r="IS817" s="71"/>
      <c r="IT817" s="71"/>
      <c r="IU817" s="71"/>
      <c r="IV817" s="71"/>
      <c r="IW817" s="71"/>
    </row>
    <row r="818" customFormat="false" ht="12.75" hidden="false" customHeight="false" outlineLevel="0" collapsed="false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AZ818" s="71"/>
      <c r="BA818" s="71"/>
      <c r="BB818" s="71"/>
      <c r="BC818" s="71"/>
      <c r="BD818" s="71"/>
      <c r="BE818" s="71"/>
      <c r="BF818" s="71"/>
      <c r="BG818" s="71"/>
      <c r="BH818" s="71"/>
      <c r="BI818" s="71"/>
      <c r="BJ818" s="71"/>
      <c r="BK818" s="71"/>
      <c r="BL818" s="71"/>
      <c r="BM818" s="71"/>
      <c r="BN818" s="71"/>
      <c r="BO818" s="71"/>
      <c r="BP818" s="71"/>
      <c r="BQ818" s="71"/>
      <c r="BR818" s="71"/>
      <c r="BS818" s="71"/>
      <c r="BT818" s="71"/>
      <c r="BU818" s="71"/>
      <c r="BV818" s="71"/>
      <c r="BW818" s="71"/>
      <c r="BX818" s="71"/>
      <c r="BY818" s="71"/>
      <c r="BZ818" s="71"/>
      <c r="CA818" s="71"/>
      <c r="CB818" s="71"/>
      <c r="CC818" s="71"/>
      <c r="CD818" s="71"/>
      <c r="CE818" s="71"/>
      <c r="CF818" s="71"/>
      <c r="CG818" s="71"/>
      <c r="CH818" s="71"/>
      <c r="CI818" s="71"/>
      <c r="CJ818" s="71"/>
      <c r="CK818" s="71"/>
      <c r="CL818" s="71"/>
      <c r="CM818" s="71"/>
      <c r="CN818" s="71"/>
      <c r="CO818" s="71"/>
      <c r="CP818" s="71"/>
      <c r="CQ818" s="71"/>
      <c r="CR818" s="71"/>
      <c r="CS818" s="71"/>
      <c r="CT818" s="71"/>
      <c r="CU818" s="71"/>
      <c r="CV818" s="71"/>
      <c r="CW818" s="71"/>
      <c r="CX818" s="71"/>
      <c r="CY818" s="71"/>
      <c r="CZ818" s="71"/>
      <c r="DA818" s="71"/>
      <c r="DB818" s="71"/>
      <c r="DC818" s="71"/>
      <c r="DD818" s="71"/>
      <c r="DE818" s="71"/>
      <c r="DF818" s="71"/>
      <c r="DG818" s="71"/>
      <c r="DH818" s="71"/>
      <c r="DI818" s="71"/>
      <c r="DJ818" s="71"/>
      <c r="DK818" s="71"/>
      <c r="DL818" s="71"/>
      <c r="DM818" s="71"/>
      <c r="DN818" s="71"/>
      <c r="DO818" s="71"/>
      <c r="DP818" s="71"/>
      <c r="DQ818" s="71"/>
      <c r="DR818" s="71"/>
      <c r="DS818" s="71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  <c r="IJ818" s="71"/>
      <c r="IK818" s="71"/>
      <c r="IL818" s="71"/>
      <c r="IM818" s="71"/>
      <c r="IN818" s="71"/>
      <c r="IO818" s="71"/>
      <c r="IP818" s="71"/>
      <c r="IQ818" s="71"/>
      <c r="IR818" s="71"/>
      <c r="IS818" s="71"/>
      <c r="IT818" s="71"/>
      <c r="IU818" s="71"/>
      <c r="IV818" s="71"/>
      <c r="IW818" s="71"/>
    </row>
    <row r="819" customFormat="false" ht="12.75" hidden="false" customHeight="false" outlineLevel="0" collapsed="false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AZ819" s="71"/>
      <c r="BA819" s="71"/>
      <c r="BB819" s="71"/>
      <c r="BC819" s="71"/>
      <c r="BD819" s="71"/>
      <c r="BE819" s="71"/>
      <c r="BF819" s="71"/>
      <c r="BG819" s="71"/>
      <c r="BH819" s="71"/>
      <c r="BI819" s="71"/>
      <c r="BJ819" s="71"/>
      <c r="BK819" s="71"/>
      <c r="BL819" s="71"/>
      <c r="BM819" s="71"/>
      <c r="BN819" s="71"/>
      <c r="BO819" s="71"/>
      <c r="BP819" s="71"/>
      <c r="BQ819" s="71"/>
      <c r="BR819" s="71"/>
      <c r="BS819" s="71"/>
      <c r="BT819" s="71"/>
      <c r="BU819" s="71"/>
      <c r="BV819" s="71"/>
      <c r="BW819" s="71"/>
      <c r="BX819" s="71"/>
      <c r="BY819" s="71"/>
      <c r="BZ819" s="71"/>
      <c r="CA819" s="71"/>
      <c r="CB819" s="71"/>
      <c r="CC819" s="71"/>
      <c r="CD819" s="71"/>
      <c r="CE819" s="71"/>
      <c r="CF819" s="71"/>
      <c r="CG819" s="71"/>
      <c r="CH819" s="71"/>
      <c r="CI819" s="71"/>
      <c r="CJ819" s="71"/>
      <c r="CK819" s="71"/>
      <c r="CL819" s="71"/>
      <c r="CM819" s="71"/>
      <c r="CN819" s="71"/>
      <c r="CO819" s="71"/>
      <c r="CP819" s="71"/>
      <c r="CQ819" s="71"/>
      <c r="CR819" s="71"/>
      <c r="CS819" s="71"/>
      <c r="CT819" s="71"/>
      <c r="CU819" s="71"/>
      <c r="CV819" s="71"/>
      <c r="CW819" s="71"/>
      <c r="CX819" s="71"/>
      <c r="CY819" s="71"/>
      <c r="CZ819" s="71"/>
      <c r="DA819" s="71"/>
      <c r="DB819" s="71"/>
      <c r="DC819" s="71"/>
      <c r="DD819" s="71"/>
      <c r="DE819" s="71"/>
      <c r="DF819" s="71"/>
      <c r="DG819" s="71"/>
      <c r="DH819" s="71"/>
      <c r="DI819" s="71"/>
      <c r="DJ819" s="71"/>
      <c r="DK819" s="71"/>
      <c r="DL819" s="71"/>
      <c r="DM819" s="71"/>
      <c r="DN819" s="71"/>
      <c r="DO819" s="71"/>
      <c r="DP819" s="71"/>
      <c r="DQ819" s="71"/>
      <c r="DR819" s="71"/>
      <c r="DS819" s="71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  <c r="IJ819" s="71"/>
      <c r="IK819" s="71"/>
      <c r="IL819" s="71"/>
      <c r="IM819" s="71"/>
      <c r="IN819" s="71"/>
      <c r="IO819" s="71"/>
      <c r="IP819" s="71"/>
      <c r="IQ819" s="71"/>
      <c r="IR819" s="71"/>
      <c r="IS819" s="71"/>
      <c r="IT819" s="71"/>
      <c r="IU819" s="71"/>
      <c r="IV819" s="71"/>
      <c r="IW819" s="71"/>
    </row>
    <row r="820" customFormat="false" ht="12.75" hidden="false" customHeight="false" outlineLevel="0" collapsed="false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  <c r="BC820" s="71"/>
      <c r="BD820" s="71"/>
      <c r="BE820" s="71"/>
      <c r="BF820" s="71"/>
      <c r="BG820" s="71"/>
      <c r="BH820" s="71"/>
      <c r="BI820" s="71"/>
      <c r="BJ820" s="71"/>
      <c r="BK820" s="71"/>
      <c r="BL820" s="71"/>
      <c r="BM820" s="71"/>
      <c r="BN820" s="71"/>
      <c r="BO820" s="71"/>
      <c r="BP820" s="71"/>
      <c r="BQ820" s="71"/>
      <c r="BR820" s="71"/>
      <c r="BS820" s="71"/>
      <c r="BT820" s="71"/>
      <c r="BU820" s="71"/>
      <c r="BV820" s="71"/>
      <c r="BW820" s="71"/>
      <c r="BX820" s="71"/>
      <c r="BY820" s="71"/>
      <c r="BZ820" s="71"/>
      <c r="CA820" s="71"/>
      <c r="CB820" s="71"/>
      <c r="CC820" s="71"/>
      <c r="CD820" s="71"/>
      <c r="CE820" s="71"/>
      <c r="CF820" s="71"/>
      <c r="CG820" s="71"/>
      <c r="CH820" s="71"/>
      <c r="CI820" s="71"/>
      <c r="CJ820" s="71"/>
      <c r="CK820" s="71"/>
      <c r="CL820" s="71"/>
      <c r="CM820" s="71"/>
      <c r="CN820" s="71"/>
      <c r="CO820" s="71"/>
      <c r="CP820" s="71"/>
      <c r="CQ820" s="71"/>
      <c r="CR820" s="71"/>
      <c r="CS820" s="71"/>
      <c r="CT820" s="71"/>
      <c r="CU820" s="71"/>
      <c r="CV820" s="71"/>
      <c r="CW820" s="71"/>
      <c r="CX820" s="71"/>
      <c r="CY820" s="71"/>
      <c r="CZ820" s="71"/>
      <c r="DA820" s="71"/>
      <c r="DB820" s="71"/>
      <c r="DC820" s="71"/>
      <c r="DD820" s="71"/>
      <c r="DE820" s="71"/>
      <c r="DF820" s="71"/>
      <c r="DG820" s="71"/>
      <c r="DH820" s="71"/>
      <c r="DI820" s="71"/>
      <c r="DJ820" s="71"/>
      <c r="DK820" s="71"/>
      <c r="DL820" s="71"/>
      <c r="DM820" s="71"/>
      <c r="DN820" s="71"/>
      <c r="DO820" s="71"/>
      <c r="DP820" s="71"/>
      <c r="DQ820" s="71"/>
      <c r="DR820" s="71"/>
      <c r="DS820" s="71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  <c r="IJ820" s="71"/>
      <c r="IK820" s="71"/>
      <c r="IL820" s="71"/>
      <c r="IM820" s="71"/>
      <c r="IN820" s="71"/>
      <c r="IO820" s="71"/>
      <c r="IP820" s="71"/>
      <c r="IQ820" s="71"/>
      <c r="IR820" s="71"/>
      <c r="IS820" s="71"/>
      <c r="IT820" s="71"/>
      <c r="IU820" s="71"/>
      <c r="IV820" s="71"/>
      <c r="IW820" s="71"/>
    </row>
    <row r="821" customFormat="false" ht="12.75" hidden="false" customHeight="false" outlineLevel="0" collapsed="false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/>
      <c r="BX821" s="71"/>
      <c r="BY821" s="71"/>
      <c r="BZ821" s="71"/>
      <c r="CA821" s="71"/>
      <c r="CB821" s="71"/>
      <c r="CC821" s="71"/>
      <c r="CD821" s="71"/>
      <c r="CE821" s="71"/>
      <c r="CF821" s="71"/>
      <c r="CG821" s="71"/>
      <c r="CH821" s="71"/>
      <c r="CI821" s="71"/>
      <c r="CJ821" s="71"/>
      <c r="CK821" s="71"/>
      <c r="CL821" s="71"/>
      <c r="CM821" s="71"/>
      <c r="CN821" s="71"/>
      <c r="CO821" s="71"/>
      <c r="CP821" s="71"/>
      <c r="CQ821" s="71"/>
      <c r="CR821" s="71"/>
      <c r="CS821" s="71"/>
      <c r="CT821" s="71"/>
      <c r="CU821" s="71"/>
      <c r="CV821" s="71"/>
      <c r="CW821" s="71"/>
      <c r="CX821" s="71"/>
      <c r="CY821" s="71"/>
      <c r="CZ821" s="71"/>
      <c r="DA821" s="71"/>
      <c r="DB821" s="71"/>
      <c r="DC821" s="71"/>
      <c r="DD821" s="71"/>
      <c r="DE821" s="71"/>
      <c r="DF821" s="71"/>
      <c r="DG821" s="71"/>
      <c r="DH821" s="71"/>
      <c r="DI821" s="71"/>
      <c r="DJ821" s="71"/>
      <c r="DK821" s="71"/>
      <c r="DL821" s="71"/>
      <c r="DM821" s="71"/>
      <c r="DN821" s="71"/>
      <c r="DO821" s="71"/>
      <c r="DP821" s="71"/>
      <c r="DQ821" s="71"/>
      <c r="DR821" s="71"/>
      <c r="DS821" s="71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  <c r="IJ821" s="71"/>
      <c r="IK821" s="71"/>
      <c r="IL821" s="71"/>
      <c r="IM821" s="71"/>
      <c r="IN821" s="71"/>
      <c r="IO821" s="71"/>
      <c r="IP821" s="71"/>
      <c r="IQ821" s="71"/>
      <c r="IR821" s="71"/>
      <c r="IS821" s="71"/>
      <c r="IT821" s="71"/>
      <c r="IU821" s="71"/>
      <c r="IV821" s="71"/>
      <c r="IW821" s="71"/>
    </row>
    <row r="822" customFormat="false" ht="12.75" hidden="false" customHeight="false" outlineLevel="0" collapsed="false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AZ822" s="71"/>
      <c r="BA822" s="71"/>
      <c r="BB822" s="71"/>
      <c r="BC822" s="71"/>
      <c r="BD822" s="71"/>
      <c r="BE822" s="71"/>
      <c r="BF822" s="71"/>
      <c r="BG822" s="71"/>
      <c r="BH822" s="71"/>
      <c r="BI822" s="71"/>
      <c r="BJ822" s="71"/>
      <c r="BK822" s="71"/>
      <c r="BL822" s="71"/>
      <c r="BM822" s="71"/>
      <c r="BN822" s="71"/>
      <c r="BO822" s="71"/>
      <c r="BP822" s="71"/>
      <c r="BQ822" s="71"/>
      <c r="BR822" s="71"/>
      <c r="BS822" s="71"/>
      <c r="BT822" s="71"/>
      <c r="BU822" s="71"/>
      <c r="BV822" s="71"/>
      <c r="BW822" s="71"/>
      <c r="BX822" s="71"/>
      <c r="BY822" s="71"/>
      <c r="BZ822" s="71"/>
      <c r="CA822" s="71"/>
      <c r="CB822" s="71"/>
      <c r="CC822" s="71"/>
      <c r="CD822" s="71"/>
      <c r="CE822" s="71"/>
      <c r="CF822" s="71"/>
      <c r="CG822" s="71"/>
      <c r="CH822" s="71"/>
      <c r="CI822" s="71"/>
      <c r="CJ822" s="71"/>
      <c r="CK822" s="71"/>
      <c r="CL822" s="71"/>
      <c r="CM822" s="71"/>
      <c r="CN822" s="71"/>
      <c r="CO822" s="71"/>
      <c r="CP822" s="71"/>
      <c r="CQ822" s="71"/>
      <c r="CR822" s="71"/>
      <c r="CS822" s="71"/>
      <c r="CT822" s="71"/>
      <c r="CU822" s="71"/>
      <c r="CV822" s="71"/>
      <c r="CW822" s="71"/>
      <c r="CX822" s="71"/>
      <c r="CY822" s="71"/>
      <c r="CZ822" s="71"/>
      <c r="DA822" s="71"/>
      <c r="DB822" s="71"/>
      <c r="DC822" s="71"/>
      <c r="DD822" s="71"/>
      <c r="DE822" s="71"/>
      <c r="DF822" s="71"/>
      <c r="DG822" s="71"/>
      <c r="DH822" s="71"/>
      <c r="DI822" s="71"/>
      <c r="DJ822" s="71"/>
      <c r="DK822" s="71"/>
      <c r="DL822" s="71"/>
      <c r="DM822" s="71"/>
      <c r="DN822" s="71"/>
      <c r="DO822" s="71"/>
      <c r="DP822" s="71"/>
      <c r="DQ822" s="71"/>
      <c r="DR822" s="71"/>
      <c r="DS822" s="71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  <c r="IJ822" s="71"/>
      <c r="IK822" s="71"/>
      <c r="IL822" s="71"/>
      <c r="IM822" s="71"/>
      <c r="IN822" s="71"/>
      <c r="IO822" s="71"/>
      <c r="IP822" s="71"/>
      <c r="IQ822" s="71"/>
      <c r="IR822" s="71"/>
      <c r="IS822" s="71"/>
      <c r="IT822" s="71"/>
      <c r="IU822" s="71"/>
      <c r="IV822" s="71"/>
      <c r="IW822" s="71"/>
    </row>
    <row r="823" customFormat="false" ht="12.75" hidden="false" customHeight="false" outlineLevel="0" collapsed="false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/>
      <c r="BB823" s="71"/>
      <c r="BC823" s="71"/>
      <c r="BD823" s="71"/>
      <c r="BE823" s="71"/>
      <c r="BF823" s="71"/>
      <c r="BG823" s="71"/>
      <c r="BH823" s="71"/>
      <c r="BI823" s="71"/>
      <c r="BJ823" s="71"/>
      <c r="BK823" s="71"/>
      <c r="BL823" s="71"/>
      <c r="BM823" s="71"/>
      <c r="BN823" s="71"/>
      <c r="BO823" s="71"/>
      <c r="BP823" s="71"/>
      <c r="BQ823" s="71"/>
      <c r="BR823" s="71"/>
      <c r="BS823" s="71"/>
      <c r="BT823" s="71"/>
      <c r="BU823" s="71"/>
      <c r="BV823" s="71"/>
      <c r="BW823" s="71"/>
      <c r="BX823" s="71"/>
      <c r="BY823" s="71"/>
      <c r="BZ823" s="71"/>
      <c r="CA823" s="71"/>
      <c r="CB823" s="71"/>
      <c r="CC823" s="71"/>
      <c r="CD823" s="71"/>
      <c r="CE823" s="71"/>
      <c r="CF823" s="71"/>
      <c r="CG823" s="71"/>
      <c r="CH823" s="71"/>
      <c r="CI823" s="71"/>
      <c r="CJ823" s="71"/>
      <c r="CK823" s="71"/>
      <c r="CL823" s="71"/>
      <c r="CM823" s="71"/>
      <c r="CN823" s="71"/>
      <c r="CO823" s="71"/>
      <c r="CP823" s="71"/>
      <c r="CQ823" s="71"/>
      <c r="CR823" s="71"/>
      <c r="CS823" s="71"/>
      <c r="CT823" s="71"/>
      <c r="CU823" s="71"/>
      <c r="CV823" s="71"/>
      <c r="CW823" s="71"/>
      <c r="CX823" s="71"/>
      <c r="CY823" s="71"/>
      <c r="CZ823" s="71"/>
      <c r="DA823" s="71"/>
      <c r="DB823" s="71"/>
      <c r="DC823" s="71"/>
      <c r="DD823" s="71"/>
      <c r="DE823" s="71"/>
      <c r="DF823" s="71"/>
      <c r="DG823" s="71"/>
      <c r="DH823" s="71"/>
      <c r="DI823" s="71"/>
      <c r="DJ823" s="71"/>
      <c r="DK823" s="71"/>
      <c r="DL823" s="71"/>
      <c r="DM823" s="71"/>
      <c r="DN823" s="71"/>
      <c r="DO823" s="71"/>
      <c r="DP823" s="71"/>
      <c r="DQ823" s="71"/>
      <c r="DR823" s="71"/>
      <c r="DS823" s="71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  <c r="IJ823" s="71"/>
      <c r="IK823" s="71"/>
      <c r="IL823" s="71"/>
      <c r="IM823" s="71"/>
      <c r="IN823" s="71"/>
      <c r="IO823" s="71"/>
      <c r="IP823" s="71"/>
      <c r="IQ823" s="71"/>
      <c r="IR823" s="71"/>
      <c r="IS823" s="71"/>
      <c r="IT823" s="71"/>
      <c r="IU823" s="71"/>
      <c r="IV823" s="71"/>
      <c r="IW823" s="71"/>
    </row>
    <row r="824" customFormat="false" ht="12.75" hidden="false" customHeight="false" outlineLevel="0" collapsed="false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AZ824" s="71"/>
      <c r="BA824" s="71"/>
      <c r="BB824" s="71"/>
      <c r="BC824" s="71"/>
      <c r="BD824" s="71"/>
      <c r="BE824" s="71"/>
      <c r="BF824" s="71"/>
      <c r="BG824" s="71"/>
      <c r="BH824" s="71"/>
      <c r="BI824" s="71"/>
      <c r="BJ824" s="71"/>
      <c r="BK824" s="71"/>
      <c r="BL824" s="71"/>
      <c r="BM824" s="71"/>
      <c r="BN824" s="71"/>
      <c r="BO824" s="71"/>
      <c r="BP824" s="71"/>
      <c r="BQ824" s="71"/>
      <c r="BR824" s="71"/>
      <c r="BS824" s="71"/>
      <c r="BT824" s="71"/>
      <c r="BU824" s="71"/>
      <c r="BV824" s="71"/>
      <c r="BW824" s="71"/>
      <c r="BX824" s="71"/>
      <c r="BY824" s="71"/>
      <c r="BZ824" s="71"/>
      <c r="CA824" s="71"/>
      <c r="CB824" s="71"/>
      <c r="CC824" s="71"/>
      <c r="CD824" s="71"/>
      <c r="CE824" s="71"/>
      <c r="CF824" s="71"/>
      <c r="CG824" s="71"/>
      <c r="CH824" s="71"/>
      <c r="CI824" s="71"/>
      <c r="CJ824" s="71"/>
      <c r="CK824" s="71"/>
      <c r="CL824" s="71"/>
      <c r="CM824" s="71"/>
      <c r="CN824" s="71"/>
      <c r="CO824" s="71"/>
      <c r="CP824" s="71"/>
      <c r="CQ824" s="71"/>
      <c r="CR824" s="71"/>
      <c r="CS824" s="71"/>
      <c r="CT824" s="71"/>
      <c r="CU824" s="71"/>
      <c r="CV824" s="71"/>
      <c r="CW824" s="71"/>
      <c r="CX824" s="71"/>
      <c r="CY824" s="71"/>
      <c r="CZ824" s="71"/>
      <c r="DA824" s="71"/>
      <c r="DB824" s="71"/>
      <c r="DC824" s="71"/>
      <c r="DD824" s="71"/>
      <c r="DE824" s="71"/>
      <c r="DF824" s="71"/>
      <c r="DG824" s="71"/>
      <c r="DH824" s="71"/>
      <c r="DI824" s="71"/>
      <c r="DJ824" s="71"/>
      <c r="DK824" s="71"/>
      <c r="DL824" s="71"/>
      <c r="DM824" s="71"/>
      <c r="DN824" s="71"/>
      <c r="DO824" s="71"/>
      <c r="DP824" s="71"/>
      <c r="DQ824" s="71"/>
      <c r="DR824" s="71"/>
      <c r="DS824" s="71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  <c r="IJ824" s="71"/>
      <c r="IK824" s="71"/>
      <c r="IL824" s="71"/>
      <c r="IM824" s="71"/>
      <c r="IN824" s="71"/>
      <c r="IO824" s="71"/>
      <c r="IP824" s="71"/>
      <c r="IQ824" s="71"/>
      <c r="IR824" s="71"/>
      <c r="IS824" s="71"/>
      <c r="IT824" s="71"/>
      <c r="IU824" s="71"/>
      <c r="IV824" s="71"/>
      <c r="IW824" s="71"/>
    </row>
    <row r="825" customFormat="false" ht="12.75" hidden="false" customHeight="false" outlineLevel="0" collapsed="false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  <c r="BC825" s="71"/>
      <c r="BD825" s="71"/>
      <c r="BE825" s="71"/>
      <c r="BF825" s="71"/>
      <c r="BG825" s="71"/>
      <c r="BH825" s="71"/>
      <c r="BI825" s="71"/>
      <c r="BJ825" s="71"/>
      <c r="BK825" s="71"/>
      <c r="BL825" s="71"/>
      <c r="BM825" s="71"/>
      <c r="BN825" s="71"/>
      <c r="BO825" s="71"/>
      <c r="BP825" s="71"/>
      <c r="BQ825" s="71"/>
      <c r="BR825" s="71"/>
      <c r="BS825" s="71"/>
      <c r="BT825" s="71"/>
      <c r="BU825" s="71"/>
      <c r="BV825" s="71"/>
      <c r="BW825" s="71"/>
      <c r="BX825" s="71"/>
      <c r="BY825" s="71"/>
      <c r="BZ825" s="71"/>
      <c r="CA825" s="71"/>
      <c r="CB825" s="71"/>
      <c r="CC825" s="71"/>
      <c r="CD825" s="71"/>
      <c r="CE825" s="71"/>
      <c r="CF825" s="71"/>
      <c r="CG825" s="71"/>
      <c r="CH825" s="71"/>
      <c r="CI825" s="71"/>
      <c r="CJ825" s="71"/>
      <c r="CK825" s="71"/>
      <c r="CL825" s="71"/>
      <c r="CM825" s="71"/>
      <c r="CN825" s="71"/>
      <c r="CO825" s="71"/>
      <c r="CP825" s="71"/>
      <c r="CQ825" s="71"/>
      <c r="CR825" s="71"/>
      <c r="CS825" s="71"/>
      <c r="CT825" s="71"/>
      <c r="CU825" s="71"/>
      <c r="CV825" s="71"/>
      <c r="CW825" s="71"/>
      <c r="CX825" s="71"/>
      <c r="CY825" s="71"/>
      <c r="CZ825" s="71"/>
      <c r="DA825" s="71"/>
      <c r="DB825" s="71"/>
      <c r="DC825" s="71"/>
      <c r="DD825" s="71"/>
      <c r="DE825" s="71"/>
      <c r="DF825" s="71"/>
      <c r="DG825" s="71"/>
      <c r="DH825" s="71"/>
      <c r="DI825" s="71"/>
      <c r="DJ825" s="71"/>
      <c r="DK825" s="71"/>
      <c r="DL825" s="71"/>
      <c r="DM825" s="71"/>
      <c r="DN825" s="71"/>
      <c r="DO825" s="71"/>
      <c r="DP825" s="71"/>
      <c r="DQ825" s="71"/>
      <c r="DR825" s="71"/>
      <c r="DS825" s="71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  <c r="IJ825" s="71"/>
      <c r="IK825" s="71"/>
      <c r="IL825" s="71"/>
      <c r="IM825" s="71"/>
      <c r="IN825" s="71"/>
      <c r="IO825" s="71"/>
      <c r="IP825" s="71"/>
      <c r="IQ825" s="71"/>
      <c r="IR825" s="71"/>
      <c r="IS825" s="71"/>
      <c r="IT825" s="71"/>
      <c r="IU825" s="71"/>
      <c r="IV825" s="71"/>
      <c r="IW825" s="71"/>
    </row>
    <row r="826" customFormat="false" ht="12.75" hidden="false" customHeight="false" outlineLevel="0" collapsed="false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1"/>
      <c r="BD826" s="71"/>
      <c r="BE826" s="71"/>
      <c r="BF826" s="71"/>
      <c r="BG826" s="71"/>
      <c r="BH826" s="71"/>
      <c r="BI826" s="71"/>
      <c r="BJ826" s="71"/>
      <c r="BK826" s="71"/>
      <c r="BL826" s="71"/>
      <c r="BM826" s="71"/>
      <c r="BN826" s="71"/>
      <c r="BO826" s="71"/>
      <c r="BP826" s="71"/>
      <c r="BQ826" s="71"/>
      <c r="BR826" s="71"/>
      <c r="BS826" s="71"/>
      <c r="BT826" s="71"/>
      <c r="BU826" s="71"/>
      <c r="BV826" s="71"/>
      <c r="BW826" s="71"/>
      <c r="BX826" s="71"/>
      <c r="BY826" s="71"/>
      <c r="BZ826" s="71"/>
      <c r="CA826" s="71"/>
      <c r="CB826" s="71"/>
      <c r="CC826" s="71"/>
      <c r="CD826" s="71"/>
      <c r="CE826" s="71"/>
      <c r="CF826" s="71"/>
      <c r="CG826" s="71"/>
      <c r="CH826" s="71"/>
      <c r="CI826" s="71"/>
      <c r="CJ826" s="71"/>
      <c r="CK826" s="71"/>
      <c r="CL826" s="71"/>
      <c r="CM826" s="71"/>
      <c r="CN826" s="71"/>
      <c r="CO826" s="71"/>
      <c r="CP826" s="71"/>
      <c r="CQ826" s="71"/>
      <c r="CR826" s="71"/>
      <c r="CS826" s="71"/>
      <c r="CT826" s="71"/>
      <c r="CU826" s="71"/>
      <c r="CV826" s="71"/>
      <c r="CW826" s="71"/>
      <c r="CX826" s="71"/>
      <c r="CY826" s="71"/>
      <c r="CZ826" s="71"/>
      <c r="DA826" s="71"/>
      <c r="DB826" s="71"/>
      <c r="DC826" s="71"/>
      <c r="DD826" s="71"/>
      <c r="DE826" s="71"/>
      <c r="DF826" s="71"/>
      <c r="DG826" s="71"/>
      <c r="DH826" s="71"/>
      <c r="DI826" s="71"/>
      <c r="DJ826" s="71"/>
      <c r="DK826" s="71"/>
      <c r="DL826" s="71"/>
      <c r="DM826" s="71"/>
      <c r="DN826" s="71"/>
      <c r="DO826" s="71"/>
      <c r="DP826" s="71"/>
      <c r="DQ826" s="71"/>
      <c r="DR826" s="71"/>
      <c r="DS826" s="71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  <c r="IJ826" s="71"/>
      <c r="IK826" s="71"/>
      <c r="IL826" s="71"/>
      <c r="IM826" s="71"/>
      <c r="IN826" s="71"/>
      <c r="IO826" s="71"/>
      <c r="IP826" s="71"/>
      <c r="IQ826" s="71"/>
      <c r="IR826" s="71"/>
      <c r="IS826" s="71"/>
      <c r="IT826" s="71"/>
      <c r="IU826" s="71"/>
      <c r="IV826" s="71"/>
      <c r="IW826" s="71"/>
    </row>
    <row r="827" customFormat="false" ht="12.75" hidden="false" customHeight="false" outlineLevel="0" collapsed="false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  <c r="BC827" s="71"/>
      <c r="BD827" s="71"/>
      <c r="BE827" s="71"/>
      <c r="BF827" s="71"/>
      <c r="BG827" s="71"/>
      <c r="BH827" s="71"/>
      <c r="BI827" s="71"/>
      <c r="BJ827" s="71"/>
      <c r="BK827" s="71"/>
      <c r="BL827" s="71"/>
      <c r="BM827" s="71"/>
      <c r="BN827" s="71"/>
      <c r="BO827" s="71"/>
      <c r="BP827" s="71"/>
      <c r="BQ827" s="71"/>
      <c r="BR827" s="71"/>
      <c r="BS827" s="71"/>
      <c r="BT827" s="71"/>
      <c r="BU827" s="71"/>
      <c r="BV827" s="71"/>
      <c r="BW827" s="71"/>
      <c r="BX827" s="71"/>
      <c r="BY827" s="71"/>
      <c r="BZ827" s="71"/>
      <c r="CA827" s="71"/>
      <c r="CB827" s="71"/>
      <c r="CC827" s="71"/>
      <c r="CD827" s="71"/>
      <c r="CE827" s="71"/>
      <c r="CF827" s="71"/>
      <c r="CG827" s="71"/>
      <c r="CH827" s="71"/>
      <c r="CI827" s="71"/>
      <c r="CJ827" s="71"/>
      <c r="CK827" s="71"/>
      <c r="CL827" s="71"/>
      <c r="CM827" s="71"/>
      <c r="CN827" s="71"/>
      <c r="CO827" s="71"/>
      <c r="CP827" s="71"/>
      <c r="CQ827" s="71"/>
      <c r="CR827" s="71"/>
      <c r="CS827" s="71"/>
      <c r="CT827" s="71"/>
      <c r="CU827" s="71"/>
      <c r="CV827" s="71"/>
      <c r="CW827" s="71"/>
      <c r="CX827" s="71"/>
      <c r="CY827" s="71"/>
      <c r="CZ827" s="71"/>
      <c r="DA827" s="71"/>
      <c r="DB827" s="71"/>
      <c r="DC827" s="71"/>
      <c r="DD827" s="71"/>
      <c r="DE827" s="71"/>
      <c r="DF827" s="71"/>
      <c r="DG827" s="71"/>
      <c r="DH827" s="71"/>
      <c r="DI827" s="71"/>
      <c r="DJ827" s="71"/>
      <c r="DK827" s="71"/>
      <c r="DL827" s="71"/>
      <c r="DM827" s="71"/>
      <c r="DN827" s="71"/>
      <c r="DO827" s="71"/>
      <c r="DP827" s="71"/>
      <c r="DQ827" s="71"/>
      <c r="DR827" s="71"/>
      <c r="DS827" s="71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  <c r="IJ827" s="71"/>
      <c r="IK827" s="71"/>
      <c r="IL827" s="71"/>
      <c r="IM827" s="71"/>
      <c r="IN827" s="71"/>
      <c r="IO827" s="71"/>
      <c r="IP827" s="71"/>
      <c r="IQ827" s="71"/>
      <c r="IR827" s="71"/>
      <c r="IS827" s="71"/>
      <c r="IT827" s="71"/>
      <c r="IU827" s="71"/>
      <c r="IV827" s="71"/>
      <c r="IW827" s="71"/>
    </row>
    <row r="828" customFormat="false" ht="12.75" hidden="false" customHeight="false" outlineLevel="0" collapsed="false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  <c r="BC828" s="71"/>
      <c r="BD828" s="71"/>
      <c r="BE828" s="71"/>
      <c r="BF828" s="71"/>
      <c r="BG828" s="71"/>
      <c r="BH828" s="71"/>
      <c r="BI828" s="71"/>
      <c r="BJ828" s="71"/>
      <c r="BK828" s="71"/>
      <c r="BL828" s="71"/>
      <c r="BM828" s="71"/>
      <c r="BN828" s="71"/>
      <c r="BO828" s="71"/>
      <c r="BP828" s="71"/>
      <c r="BQ828" s="71"/>
      <c r="BR828" s="71"/>
      <c r="BS828" s="71"/>
      <c r="BT828" s="71"/>
      <c r="BU828" s="71"/>
      <c r="BV828" s="71"/>
      <c r="BW828" s="71"/>
      <c r="BX828" s="71"/>
      <c r="BY828" s="71"/>
      <c r="BZ828" s="71"/>
      <c r="CA828" s="71"/>
      <c r="CB828" s="71"/>
      <c r="CC828" s="71"/>
      <c r="CD828" s="71"/>
      <c r="CE828" s="71"/>
      <c r="CF828" s="71"/>
      <c r="CG828" s="71"/>
      <c r="CH828" s="71"/>
      <c r="CI828" s="71"/>
      <c r="CJ828" s="71"/>
      <c r="CK828" s="71"/>
      <c r="CL828" s="71"/>
      <c r="CM828" s="71"/>
      <c r="CN828" s="71"/>
      <c r="CO828" s="71"/>
      <c r="CP828" s="71"/>
      <c r="CQ828" s="71"/>
      <c r="CR828" s="71"/>
      <c r="CS828" s="71"/>
      <c r="CT828" s="71"/>
      <c r="CU828" s="71"/>
      <c r="CV828" s="71"/>
      <c r="CW828" s="71"/>
      <c r="CX828" s="71"/>
      <c r="CY828" s="71"/>
      <c r="CZ828" s="71"/>
      <c r="DA828" s="71"/>
      <c r="DB828" s="71"/>
      <c r="DC828" s="71"/>
      <c r="DD828" s="71"/>
      <c r="DE828" s="71"/>
      <c r="DF828" s="71"/>
      <c r="DG828" s="71"/>
      <c r="DH828" s="71"/>
      <c r="DI828" s="71"/>
      <c r="DJ828" s="71"/>
      <c r="DK828" s="71"/>
      <c r="DL828" s="71"/>
      <c r="DM828" s="71"/>
      <c r="DN828" s="71"/>
      <c r="DO828" s="71"/>
      <c r="DP828" s="71"/>
      <c r="DQ828" s="71"/>
      <c r="DR828" s="71"/>
      <c r="DS828" s="71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  <c r="IJ828" s="71"/>
      <c r="IK828" s="71"/>
      <c r="IL828" s="71"/>
      <c r="IM828" s="71"/>
      <c r="IN828" s="71"/>
      <c r="IO828" s="71"/>
      <c r="IP828" s="71"/>
      <c r="IQ828" s="71"/>
      <c r="IR828" s="71"/>
      <c r="IS828" s="71"/>
      <c r="IT828" s="71"/>
      <c r="IU828" s="71"/>
      <c r="IV828" s="71"/>
      <c r="IW828" s="71"/>
    </row>
    <row r="829" customFormat="false" ht="12.75" hidden="false" customHeight="false" outlineLevel="0" collapsed="false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  <c r="BC829" s="71"/>
      <c r="BD829" s="71"/>
      <c r="BE829" s="71"/>
      <c r="BF829" s="71"/>
      <c r="BG829" s="71"/>
      <c r="BH829" s="71"/>
      <c r="BI829" s="71"/>
      <c r="BJ829" s="71"/>
      <c r="BK829" s="71"/>
      <c r="BL829" s="71"/>
      <c r="BM829" s="71"/>
      <c r="BN829" s="71"/>
      <c r="BO829" s="71"/>
      <c r="BP829" s="71"/>
      <c r="BQ829" s="71"/>
      <c r="BR829" s="71"/>
      <c r="BS829" s="71"/>
      <c r="BT829" s="71"/>
      <c r="BU829" s="71"/>
      <c r="BV829" s="71"/>
      <c r="BW829" s="71"/>
      <c r="BX829" s="71"/>
      <c r="BY829" s="71"/>
      <c r="BZ829" s="71"/>
      <c r="CA829" s="71"/>
      <c r="CB829" s="71"/>
      <c r="CC829" s="71"/>
      <c r="CD829" s="71"/>
      <c r="CE829" s="71"/>
      <c r="CF829" s="71"/>
      <c r="CG829" s="71"/>
      <c r="CH829" s="71"/>
      <c r="CI829" s="71"/>
      <c r="CJ829" s="71"/>
      <c r="CK829" s="71"/>
      <c r="CL829" s="71"/>
      <c r="CM829" s="71"/>
      <c r="CN829" s="71"/>
      <c r="CO829" s="71"/>
      <c r="CP829" s="71"/>
      <c r="CQ829" s="71"/>
      <c r="CR829" s="71"/>
      <c r="CS829" s="71"/>
      <c r="CT829" s="71"/>
      <c r="CU829" s="71"/>
      <c r="CV829" s="71"/>
      <c r="CW829" s="71"/>
      <c r="CX829" s="71"/>
      <c r="CY829" s="71"/>
      <c r="CZ829" s="71"/>
      <c r="DA829" s="71"/>
      <c r="DB829" s="71"/>
      <c r="DC829" s="71"/>
      <c r="DD829" s="71"/>
      <c r="DE829" s="71"/>
      <c r="DF829" s="71"/>
      <c r="DG829" s="71"/>
      <c r="DH829" s="71"/>
      <c r="DI829" s="71"/>
      <c r="DJ829" s="71"/>
      <c r="DK829" s="71"/>
      <c r="DL829" s="71"/>
      <c r="DM829" s="71"/>
      <c r="DN829" s="71"/>
      <c r="DO829" s="71"/>
      <c r="DP829" s="71"/>
      <c r="DQ829" s="71"/>
      <c r="DR829" s="71"/>
      <c r="DS829" s="71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  <c r="IJ829" s="71"/>
      <c r="IK829" s="71"/>
      <c r="IL829" s="71"/>
      <c r="IM829" s="71"/>
      <c r="IN829" s="71"/>
      <c r="IO829" s="71"/>
      <c r="IP829" s="71"/>
      <c r="IQ829" s="71"/>
      <c r="IR829" s="71"/>
      <c r="IS829" s="71"/>
      <c r="IT829" s="71"/>
      <c r="IU829" s="71"/>
      <c r="IV829" s="71"/>
      <c r="IW829" s="71"/>
    </row>
    <row r="830" customFormat="false" ht="12.75" hidden="false" customHeight="false" outlineLevel="0" collapsed="false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AZ830" s="71"/>
      <c r="BA830" s="71"/>
      <c r="BB830" s="71"/>
      <c r="BC830" s="71"/>
      <c r="BD830" s="71"/>
      <c r="BE830" s="71"/>
      <c r="BF830" s="71"/>
      <c r="BG830" s="71"/>
      <c r="BH830" s="71"/>
      <c r="BI830" s="71"/>
      <c r="BJ830" s="71"/>
      <c r="BK830" s="71"/>
      <c r="BL830" s="71"/>
      <c r="BM830" s="71"/>
      <c r="BN830" s="71"/>
      <c r="BO830" s="71"/>
      <c r="BP830" s="71"/>
      <c r="BQ830" s="71"/>
      <c r="BR830" s="71"/>
      <c r="BS830" s="71"/>
      <c r="BT830" s="71"/>
      <c r="BU830" s="71"/>
      <c r="BV830" s="71"/>
      <c r="BW830" s="71"/>
      <c r="BX830" s="71"/>
      <c r="BY830" s="71"/>
      <c r="BZ830" s="71"/>
      <c r="CA830" s="71"/>
      <c r="CB830" s="71"/>
      <c r="CC830" s="71"/>
      <c r="CD830" s="71"/>
      <c r="CE830" s="71"/>
      <c r="CF830" s="71"/>
      <c r="CG830" s="71"/>
      <c r="CH830" s="71"/>
      <c r="CI830" s="71"/>
      <c r="CJ830" s="71"/>
      <c r="CK830" s="71"/>
      <c r="CL830" s="71"/>
      <c r="CM830" s="71"/>
      <c r="CN830" s="71"/>
      <c r="CO830" s="71"/>
      <c r="CP830" s="71"/>
      <c r="CQ830" s="71"/>
      <c r="CR830" s="71"/>
      <c r="CS830" s="71"/>
      <c r="CT830" s="71"/>
      <c r="CU830" s="71"/>
      <c r="CV830" s="71"/>
      <c r="CW830" s="71"/>
      <c r="CX830" s="71"/>
      <c r="CY830" s="71"/>
      <c r="CZ830" s="71"/>
      <c r="DA830" s="71"/>
      <c r="DB830" s="71"/>
      <c r="DC830" s="71"/>
      <c r="DD830" s="71"/>
      <c r="DE830" s="71"/>
      <c r="DF830" s="71"/>
      <c r="DG830" s="71"/>
      <c r="DH830" s="71"/>
      <c r="DI830" s="71"/>
      <c r="DJ830" s="71"/>
      <c r="DK830" s="71"/>
      <c r="DL830" s="71"/>
      <c r="DM830" s="71"/>
      <c r="DN830" s="71"/>
      <c r="DO830" s="71"/>
      <c r="DP830" s="71"/>
      <c r="DQ830" s="71"/>
      <c r="DR830" s="71"/>
      <c r="DS830" s="71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  <c r="IJ830" s="71"/>
      <c r="IK830" s="71"/>
      <c r="IL830" s="71"/>
      <c r="IM830" s="71"/>
      <c r="IN830" s="71"/>
      <c r="IO830" s="71"/>
      <c r="IP830" s="71"/>
      <c r="IQ830" s="71"/>
      <c r="IR830" s="71"/>
      <c r="IS830" s="71"/>
      <c r="IT830" s="71"/>
      <c r="IU830" s="71"/>
      <c r="IV830" s="71"/>
      <c r="IW830" s="71"/>
    </row>
    <row r="831" customFormat="false" ht="12.75" hidden="false" customHeight="false" outlineLevel="0" collapsed="false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AZ831" s="71"/>
      <c r="BA831" s="71"/>
      <c r="BB831" s="71"/>
      <c r="BC831" s="71"/>
      <c r="BD831" s="71"/>
      <c r="BE831" s="71"/>
      <c r="BF831" s="71"/>
      <c r="BG831" s="71"/>
      <c r="BH831" s="71"/>
      <c r="BI831" s="71"/>
      <c r="BJ831" s="71"/>
      <c r="BK831" s="71"/>
      <c r="BL831" s="71"/>
      <c r="BM831" s="71"/>
      <c r="BN831" s="71"/>
      <c r="BO831" s="71"/>
      <c r="BP831" s="71"/>
      <c r="BQ831" s="71"/>
      <c r="BR831" s="71"/>
      <c r="BS831" s="71"/>
      <c r="BT831" s="71"/>
      <c r="BU831" s="71"/>
      <c r="BV831" s="71"/>
      <c r="BW831" s="71"/>
      <c r="BX831" s="71"/>
      <c r="BY831" s="71"/>
      <c r="BZ831" s="71"/>
      <c r="CA831" s="71"/>
      <c r="CB831" s="71"/>
      <c r="CC831" s="71"/>
      <c r="CD831" s="71"/>
      <c r="CE831" s="71"/>
      <c r="CF831" s="71"/>
      <c r="CG831" s="71"/>
      <c r="CH831" s="71"/>
      <c r="CI831" s="71"/>
      <c r="CJ831" s="71"/>
      <c r="CK831" s="71"/>
      <c r="CL831" s="71"/>
      <c r="CM831" s="71"/>
      <c r="CN831" s="71"/>
      <c r="CO831" s="71"/>
      <c r="CP831" s="71"/>
      <c r="CQ831" s="71"/>
      <c r="CR831" s="71"/>
      <c r="CS831" s="71"/>
      <c r="CT831" s="71"/>
      <c r="CU831" s="71"/>
      <c r="CV831" s="71"/>
      <c r="CW831" s="71"/>
      <c r="CX831" s="71"/>
      <c r="CY831" s="71"/>
      <c r="CZ831" s="71"/>
      <c r="DA831" s="71"/>
      <c r="DB831" s="71"/>
      <c r="DC831" s="71"/>
      <c r="DD831" s="71"/>
      <c r="DE831" s="71"/>
      <c r="DF831" s="71"/>
      <c r="DG831" s="71"/>
      <c r="DH831" s="71"/>
      <c r="DI831" s="71"/>
      <c r="DJ831" s="71"/>
      <c r="DK831" s="71"/>
      <c r="DL831" s="71"/>
      <c r="DM831" s="71"/>
      <c r="DN831" s="71"/>
      <c r="DO831" s="71"/>
      <c r="DP831" s="71"/>
      <c r="DQ831" s="71"/>
      <c r="DR831" s="71"/>
      <c r="DS831" s="71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  <c r="IJ831" s="71"/>
      <c r="IK831" s="71"/>
      <c r="IL831" s="71"/>
      <c r="IM831" s="71"/>
      <c r="IN831" s="71"/>
      <c r="IO831" s="71"/>
      <c r="IP831" s="71"/>
      <c r="IQ831" s="71"/>
      <c r="IR831" s="71"/>
      <c r="IS831" s="71"/>
      <c r="IT831" s="71"/>
      <c r="IU831" s="71"/>
      <c r="IV831" s="71"/>
      <c r="IW831" s="71"/>
    </row>
    <row r="832" customFormat="false" ht="12.75" hidden="false" customHeight="false" outlineLevel="0" collapsed="false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AZ832" s="71"/>
      <c r="BA832" s="71"/>
      <c r="BB832" s="71"/>
      <c r="BC832" s="71"/>
      <c r="BD832" s="71"/>
      <c r="BE832" s="71"/>
      <c r="BF832" s="71"/>
      <c r="BG832" s="71"/>
      <c r="BH832" s="71"/>
      <c r="BI832" s="71"/>
      <c r="BJ832" s="71"/>
      <c r="BK832" s="71"/>
      <c r="BL832" s="71"/>
      <c r="BM832" s="71"/>
      <c r="BN832" s="71"/>
      <c r="BO832" s="71"/>
      <c r="BP832" s="71"/>
      <c r="BQ832" s="71"/>
      <c r="BR832" s="71"/>
      <c r="BS832" s="71"/>
      <c r="BT832" s="71"/>
      <c r="BU832" s="71"/>
      <c r="BV832" s="71"/>
      <c r="BW832" s="71"/>
      <c r="BX832" s="71"/>
      <c r="BY832" s="71"/>
      <c r="BZ832" s="71"/>
      <c r="CA832" s="71"/>
      <c r="CB832" s="71"/>
      <c r="CC832" s="71"/>
      <c r="CD832" s="71"/>
      <c r="CE832" s="71"/>
      <c r="CF832" s="71"/>
      <c r="CG832" s="71"/>
      <c r="CH832" s="71"/>
      <c r="CI832" s="71"/>
      <c r="CJ832" s="71"/>
      <c r="CK832" s="71"/>
      <c r="CL832" s="71"/>
      <c r="CM832" s="71"/>
      <c r="CN832" s="71"/>
      <c r="CO832" s="71"/>
      <c r="CP832" s="71"/>
      <c r="CQ832" s="71"/>
      <c r="CR832" s="71"/>
      <c r="CS832" s="71"/>
      <c r="CT832" s="71"/>
      <c r="CU832" s="71"/>
      <c r="CV832" s="71"/>
      <c r="CW832" s="71"/>
      <c r="CX832" s="71"/>
      <c r="CY832" s="71"/>
      <c r="CZ832" s="71"/>
      <c r="DA832" s="71"/>
      <c r="DB832" s="71"/>
      <c r="DC832" s="71"/>
      <c r="DD832" s="71"/>
      <c r="DE832" s="71"/>
      <c r="DF832" s="71"/>
      <c r="DG832" s="71"/>
      <c r="DH832" s="71"/>
      <c r="DI832" s="71"/>
      <c r="DJ832" s="71"/>
      <c r="DK832" s="71"/>
      <c r="DL832" s="71"/>
      <c r="DM832" s="71"/>
      <c r="DN832" s="71"/>
      <c r="DO832" s="71"/>
      <c r="DP832" s="71"/>
      <c r="DQ832" s="71"/>
      <c r="DR832" s="71"/>
      <c r="DS832" s="71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  <c r="IJ832" s="71"/>
      <c r="IK832" s="71"/>
      <c r="IL832" s="71"/>
      <c r="IM832" s="71"/>
      <c r="IN832" s="71"/>
      <c r="IO832" s="71"/>
      <c r="IP832" s="71"/>
      <c r="IQ832" s="71"/>
      <c r="IR832" s="71"/>
      <c r="IS832" s="71"/>
      <c r="IT832" s="71"/>
      <c r="IU832" s="71"/>
      <c r="IV832" s="71"/>
      <c r="IW832" s="71"/>
    </row>
    <row r="833" customFormat="false" ht="12.75" hidden="false" customHeight="false" outlineLevel="0" collapsed="false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  <c r="BC833" s="71"/>
      <c r="BD833" s="71"/>
      <c r="BE833" s="71"/>
      <c r="BF833" s="71"/>
      <c r="BG833" s="71"/>
      <c r="BH833" s="71"/>
      <c r="BI833" s="71"/>
      <c r="BJ833" s="71"/>
      <c r="BK833" s="71"/>
      <c r="BL833" s="71"/>
      <c r="BM833" s="71"/>
      <c r="BN833" s="71"/>
      <c r="BO833" s="71"/>
      <c r="BP833" s="71"/>
      <c r="BQ833" s="71"/>
      <c r="BR833" s="71"/>
      <c r="BS833" s="71"/>
      <c r="BT833" s="71"/>
      <c r="BU833" s="71"/>
      <c r="BV833" s="71"/>
      <c r="BW833" s="71"/>
      <c r="BX833" s="71"/>
      <c r="BY833" s="71"/>
      <c r="BZ833" s="71"/>
      <c r="CA833" s="71"/>
      <c r="CB833" s="71"/>
      <c r="CC833" s="71"/>
      <c r="CD833" s="71"/>
      <c r="CE833" s="71"/>
      <c r="CF833" s="71"/>
      <c r="CG833" s="71"/>
      <c r="CH833" s="71"/>
      <c r="CI833" s="71"/>
      <c r="CJ833" s="71"/>
      <c r="CK833" s="71"/>
      <c r="CL833" s="71"/>
      <c r="CM833" s="71"/>
      <c r="CN833" s="71"/>
      <c r="CO833" s="71"/>
      <c r="CP833" s="71"/>
      <c r="CQ833" s="71"/>
      <c r="CR833" s="71"/>
      <c r="CS833" s="71"/>
      <c r="CT833" s="71"/>
      <c r="CU833" s="71"/>
      <c r="CV833" s="71"/>
      <c r="CW833" s="71"/>
      <c r="CX833" s="71"/>
      <c r="CY833" s="71"/>
      <c r="CZ833" s="71"/>
      <c r="DA833" s="71"/>
      <c r="DB833" s="71"/>
      <c r="DC833" s="71"/>
      <c r="DD833" s="71"/>
      <c r="DE833" s="71"/>
      <c r="DF833" s="71"/>
      <c r="DG833" s="71"/>
      <c r="DH833" s="71"/>
      <c r="DI833" s="71"/>
      <c r="DJ833" s="71"/>
      <c r="DK833" s="71"/>
      <c r="DL833" s="71"/>
      <c r="DM833" s="71"/>
      <c r="DN833" s="71"/>
      <c r="DO833" s="71"/>
      <c r="DP833" s="71"/>
      <c r="DQ833" s="71"/>
      <c r="DR833" s="71"/>
      <c r="DS833" s="71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  <c r="IJ833" s="71"/>
      <c r="IK833" s="71"/>
      <c r="IL833" s="71"/>
      <c r="IM833" s="71"/>
      <c r="IN833" s="71"/>
      <c r="IO833" s="71"/>
      <c r="IP833" s="71"/>
      <c r="IQ833" s="71"/>
      <c r="IR833" s="71"/>
      <c r="IS833" s="71"/>
      <c r="IT833" s="71"/>
      <c r="IU833" s="71"/>
      <c r="IV833" s="71"/>
      <c r="IW833" s="71"/>
    </row>
    <row r="834" customFormat="false" ht="12.75" hidden="false" customHeight="false" outlineLevel="0" collapsed="false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  <c r="BC834" s="71"/>
      <c r="BD834" s="71"/>
      <c r="BE834" s="71"/>
      <c r="BF834" s="71"/>
      <c r="BG834" s="71"/>
      <c r="BH834" s="71"/>
      <c r="BI834" s="71"/>
      <c r="BJ834" s="71"/>
      <c r="BK834" s="71"/>
      <c r="BL834" s="71"/>
      <c r="BM834" s="71"/>
      <c r="BN834" s="71"/>
      <c r="BO834" s="71"/>
      <c r="BP834" s="71"/>
      <c r="BQ834" s="71"/>
      <c r="BR834" s="71"/>
      <c r="BS834" s="71"/>
      <c r="BT834" s="71"/>
      <c r="BU834" s="71"/>
      <c r="BV834" s="71"/>
      <c r="BW834" s="71"/>
      <c r="BX834" s="71"/>
      <c r="BY834" s="71"/>
      <c r="BZ834" s="71"/>
      <c r="CA834" s="71"/>
      <c r="CB834" s="71"/>
      <c r="CC834" s="71"/>
      <c r="CD834" s="71"/>
      <c r="CE834" s="71"/>
      <c r="CF834" s="71"/>
      <c r="CG834" s="71"/>
      <c r="CH834" s="71"/>
      <c r="CI834" s="71"/>
      <c r="CJ834" s="71"/>
      <c r="CK834" s="71"/>
      <c r="CL834" s="71"/>
      <c r="CM834" s="71"/>
      <c r="CN834" s="71"/>
      <c r="CO834" s="71"/>
      <c r="CP834" s="71"/>
      <c r="CQ834" s="71"/>
      <c r="CR834" s="71"/>
      <c r="CS834" s="71"/>
      <c r="CT834" s="71"/>
      <c r="CU834" s="71"/>
      <c r="CV834" s="71"/>
      <c r="CW834" s="71"/>
      <c r="CX834" s="71"/>
      <c r="CY834" s="71"/>
      <c r="CZ834" s="71"/>
      <c r="DA834" s="71"/>
      <c r="DB834" s="71"/>
      <c r="DC834" s="71"/>
      <c r="DD834" s="71"/>
      <c r="DE834" s="71"/>
      <c r="DF834" s="71"/>
      <c r="DG834" s="71"/>
      <c r="DH834" s="71"/>
      <c r="DI834" s="71"/>
      <c r="DJ834" s="71"/>
      <c r="DK834" s="71"/>
      <c r="DL834" s="71"/>
      <c r="DM834" s="71"/>
      <c r="DN834" s="71"/>
      <c r="DO834" s="71"/>
      <c r="DP834" s="71"/>
      <c r="DQ834" s="71"/>
      <c r="DR834" s="71"/>
      <c r="DS834" s="71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  <c r="IJ834" s="71"/>
      <c r="IK834" s="71"/>
      <c r="IL834" s="71"/>
      <c r="IM834" s="71"/>
      <c r="IN834" s="71"/>
      <c r="IO834" s="71"/>
      <c r="IP834" s="71"/>
      <c r="IQ834" s="71"/>
      <c r="IR834" s="71"/>
      <c r="IS834" s="71"/>
      <c r="IT834" s="71"/>
      <c r="IU834" s="71"/>
      <c r="IV834" s="71"/>
      <c r="IW834" s="71"/>
    </row>
    <row r="835" customFormat="false" ht="12.75" hidden="false" customHeight="false" outlineLevel="0" collapsed="false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  <c r="BC835" s="71"/>
      <c r="BD835" s="71"/>
      <c r="BE835" s="71"/>
      <c r="BF835" s="71"/>
      <c r="BG835" s="71"/>
      <c r="BH835" s="71"/>
      <c r="BI835" s="71"/>
      <c r="BJ835" s="71"/>
      <c r="BK835" s="71"/>
      <c r="BL835" s="71"/>
      <c r="BM835" s="71"/>
      <c r="BN835" s="71"/>
      <c r="BO835" s="71"/>
      <c r="BP835" s="71"/>
      <c r="BQ835" s="71"/>
      <c r="BR835" s="71"/>
      <c r="BS835" s="71"/>
      <c r="BT835" s="71"/>
      <c r="BU835" s="71"/>
      <c r="BV835" s="71"/>
      <c r="BW835" s="71"/>
      <c r="BX835" s="71"/>
      <c r="BY835" s="71"/>
      <c r="BZ835" s="71"/>
      <c r="CA835" s="71"/>
      <c r="CB835" s="71"/>
      <c r="CC835" s="71"/>
      <c r="CD835" s="71"/>
      <c r="CE835" s="71"/>
      <c r="CF835" s="71"/>
      <c r="CG835" s="71"/>
      <c r="CH835" s="71"/>
      <c r="CI835" s="71"/>
      <c r="CJ835" s="71"/>
      <c r="CK835" s="71"/>
      <c r="CL835" s="71"/>
      <c r="CM835" s="71"/>
      <c r="CN835" s="71"/>
      <c r="CO835" s="71"/>
      <c r="CP835" s="71"/>
      <c r="CQ835" s="71"/>
      <c r="CR835" s="71"/>
      <c r="CS835" s="71"/>
      <c r="CT835" s="71"/>
      <c r="CU835" s="71"/>
      <c r="CV835" s="71"/>
      <c r="CW835" s="71"/>
      <c r="CX835" s="71"/>
      <c r="CY835" s="71"/>
      <c r="CZ835" s="71"/>
      <c r="DA835" s="71"/>
      <c r="DB835" s="71"/>
      <c r="DC835" s="71"/>
      <c r="DD835" s="71"/>
      <c r="DE835" s="71"/>
      <c r="DF835" s="71"/>
      <c r="DG835" s="71"/>
      <c r="DH835" s="71"/>
      <c r="DI835" s="71"/>
      <c r="DJ835" s="71"/>
      <c r="DK835" s="71"/>
      <c r="DL835" s="71"/>
      <c r="DM835" s="71"/>
      <c r="DN835" s="71"/>
      <c r="DO835" s="71"/>
      <c r="DP835" s="71"/>
      <c r="DQ835" s="71"/>
      <c r="DR835" s="71"/>
      <c r="DS835" s="71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  <c r="IJ835" s="71"/>
      <c r="IK835" s="71"/>
      <c r="IL835" s="71"/>
      <c r="IM835" s="71"/>
      <c r="IN835" s="71"/>
      <c r="IO835" s="71"/>
      <c r="IP835" s="71"/>
      <c r="IQ835" s="71"/>
      <c r="IR835" s="71"/>
      <c r="IS835" s="71"/>
      <c r="IT835" s="71"/>
      <c r="IU835" s="71"/>
      <c r="IV835" s="71"/>
      <c r="IW835" s="71"/>
    </row>
    <row r="836" customFormat="false" ht="12.75" hidden="false" customHeight="false" outlineLevel="0" collapsed="false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AZ836" s="71"/>
      <c r="BA836" s="71"/>
      <c r="BB836" s="71"/>
      <c r="BC836" s="71"/>
      <c r="BD836" s="71"/>
      <c r="BE836" s="71"/>
      <c r="BF836" s="71"/>
      <c r="BG836" s="71"/>
      <c r="BH836" s="71"/>
      <c r="BI836" s="71"/>
      <c r="BJ836" s="71"/>
      <c r="BK836" s="71"/>
      <c r="BL836" s="71"/>
      <c r="BM836" s="71"/>
      <c r="BN836" s="71"/>
      <c r="BO836" s="71"/>
      <c r="BP836" s="71"/>
      <c r="BQ836" s="71"/>
      <c r="BR836" s="71"/>
      <c r="BS836" s="71"/>
      <c r="BT836" s="71"/>
      <c r="BU836" s="71"/>
      <c r="BV836" s="71"/>
      <c r="BW836" s="71"/>
      <c r="BX836" s="71"/>
      <c r="BY836" s="71"/>
      <c r="BZ836" s="71"/>
      <c r="CA836" s="71"/>
      <c r="CB836" s="71"/>
      <c r="CC836" s="71"/>
      <c r="CD836" s="71"/>
      <c r="CE836" s="71"/>
      <c r="CF836" s="71"/>
      <c r="CG836" s="71"/>
      <c r="CH836" s="71"/>
      <c r="CI836" s="71"/>
      <c r="CJ836" s="71"/>
      <c r="CK836" s="71"/>
      <c r="CL836" s="71"/>
      <c r="CM836" s="71"/>
      <c r="CN836" s="71"/>
      <c r="CO836" s="71"/>
      <c r="CP836" s="71"/>
      <c r="CQ836" s="71"/>
      <c r="CR836" s="71"/>
      <c r="CS836" s="71"/>
      <c r="CT836" s="71"/>
      <c r="CU836" s="71"/>
      <c r="CV836" s="71"/>
      <c r="CW836" s="71"/>
      <c r="CX836" s="71"/>
      <c r="CY836" s="71"/>
      <c r="CZ836" s="71"/>
      <c r="DA836" s="71"/>
      <c r="DB836" s="71"/>
      <c r="DC836" s="71"/>
      <c r="DD836" s="71"/>
      <c r="DE836" s="71"/>
      <c r="DF836" s="71"/>
      <c r="DG836" s="71"/>
      <c r="DH836" s="71"/>
      <c r="DI836" s="71"/>
      <c r="DJ836" s="71"/>
      <c r="DK836" s="71"/>
      <c r="DL836" s="71"/>
      <c r="DM836" s="71"/>
      <c r="DN836" s="71"/>
      <c r="DO836" s="71"/>
      <c r="DP836" s="71"/>
      <c r="DQ836" s="71"/>
      <c r="DR836" s="71"/>
      <c r="DS836" s="71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  <c r="IJ836" s="71"/>
      <c r="IK836" s="71"/>
      <c r="IL836" s="71"/>
      <c r="IM836" s="71"/>
      <c r="IN836" s="71"/>
      <c r="IO836" s="71"/>
      <c r="IP836" s="71"/>
      <c r="IQ836" s="71"/>
      <c r="IR836" s="71"/>
      <c r="IS836" s="71"/>
      <c r="IT836" s="71"/>
      <c r="IU836" s="71"/>
      <c r="IV836" s="71"/>
      <c r="IW836" s="71"/>
    </row>
    <row r="837" customFormat="false" ht="12.75" hidden="false" customHeight="false" outlineLevel="0" collapsed="false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AZ837" s="71"/>
      <c r="BA837" s="71"/>
      <c r="BB837" s="71"/>
      <c r="BC837" s="71"/>
      <c r="BD837" s="71"/>
      <c r="BE837" s="71"/>
      <c r="BF837" s="71"/>
      <c r="BG837" s="71"/>
      <c r="BH837" s="71"/>
      <c r="BI837" s="71"/>
      <c r="BJ837" s="71"/>
      <c r="BK837" s="71"/>
      <c r="BL837" s="71"/>
      <c r="BM837" s="71"/>
      <c r="BN837" s="71"/>
      <c r="BO837" s="71"/>
      <c r="BP837" s="71"/>
      <c r="BQ837" s="71"/>
      <c r="BR837" s="71"/>
      <c r="BS837" s="71"/>
      <c r="BT837" s="71"/>
      <c r="BU837" s="71"/>
      <c r="BV837" s="71"/>
      <c r="BW837" s="71"/>
      <c r="BX837" s="71"/>
      <c r="BY837" s="71"/>
      <c r="BZ837" s="71"/>
      <c r="CA837" s="71"/>
      <c r="CB837" s="71"/>
      <c r="CC837" s="71"/>
      <c r="CD837" s="71"/>
      <c r="CE837" s="71"/>
      <c r="CF837" s="71"/>
      <c r="CG837" s="71"/>
      <c r="CH837" s="71"/>
      <c r="CI837" s="71"/>
      <c r="CJ837" s="71"/>
      <c r="CK837" s="71"/>
      <c r="CL837" s="71"/>
      <c r="CM837" s="71"/>
      <c r="CN837" s="71"/>
      <c r="CO837" s="71"/>
      <c r="CP837" s="71"/>
      <c r="CQ837" s="71"/>
      <c r="CR837" s="71"/>
      <c r="CS837" s="71"/>
      <c r="CT837" s="71"/>
      <c r="CU837" s="71"/>
      <c r="CV837" s="71"/>
      <c r="CW837" s="71"/>
      <c r="CX837" s="71"/>
      <c r="CY837" s="71"/>
      <c r="CZ837" s="71"/>
      <c r="DA837" s="71"/>
      <c r="DB837" s="71"/>
      <c r="DC837" s="71"/>
      <c r="DD837" s="71"/>
      <c r="DE837" s="71"/>
      <c r="DF837" s="71"/>
      <c r="DG837" s="71"/>
      <c r="DH837" s="71"/>
      <c r="DI837" s="71"/>
      <c r="DJ837" s="71"/>
      <c r="DK837" s="71"/>
      <c r="DL837" s="71"/>
      <c r="DM837" s="71"/>
      <c r="DN837" s="71"/>
      <c r="DO837" s="71"/>
      <c r="DP837" s="71"/>
      <c r="DQ837" s="71"/>
      <c r="DR837" s="71"/>
      <c r="DS837" s="71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  <c r="IJ837" s="71"/>
      <c r="IK837" s="71"/>
      <c r="IL837" s="71"/>
      <c r="IM837" s="71"/>
      <c r="IN837" s="71"/>
      <c r="IO837" s="71"/>
      <c r="IP837" s="71"/>
      <c r="IQ837" s="71"/>
      <c r="IR837" s="71"/>
      <c r="IS837" s="71"/>
      <c r="IT837" s="71"/>
      <c r="IU837" s="71"/>
      <c r="IV837" s="71"/>
      <c r="IW837" s="71"/>
    </row>
    <row r="838" customFormat="false" ht="12.75" hidden="false" customHeight="false" outlineLevel="0" collapsed="false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AZ838" s="71"/>
      <c r="BA838" s="71"/>
      <c r="BB838" s="71"/>
      <c r="BC838" s="71"/>
      <c r="BD838" s="71"/>
      <c r="BE838" s="71"/>
      <c r="BF838" s="71"/>
      <c r="BG838" s="71"/>
      <c r="BH838" s="71"/>
      <c r="BI838" s="71"/>
      <c r="BJ838" s="71"/>
      <c r="BK838" s="71"/>
      <c r="BL838" s="71"/>
      <c r="BM838" s="71"/>
      <c r="BN838" s="71"/>
      <c r="BO838" s="71"/>
      <c r="BP838" s="71"/>
      <c r="BQ838" s="71"/>
      <c r="BR838" s="71"/>
      <c r="BS838" s="71"/>
      <c r="BT838" s="71"/>
      <c r="BU838" s="71"/>
      <c r="BV838" s="71"/>
      <c r="BW838" s="71"/>
      <c r="BX838" s="71"/>
      <c r="BY838" s="71"/>
      <c r="BZ838" s="71"/>
      <c r="CA838" s="71"/>
      <c r="CB838" s="71"/>
      <c r="CC838" s="71"/>
      <c r="CD838" s="71"/>
      <c r="CE838" s="71"/>
      <c r="CF838" s="71"/>
      <c r="CG838" s="71"/>
      <c r="CH838" s="71"/>
      <c r="CI838" s="71"/>
      <c r="CJ838" s="71"/>
      <c r="CK838" s="71"/>
      <c r="CL838" s="71"/>
      <c r="CM838" s="71"/>
      <c r="CN838" s="71"/>
      <c r="CO838" s="71"/>
      <c r="CP838" s="71"/>
      <c r="CQ838" s="71"/>
      <c r="CR838" s="71"/>
      <c r="CS838" s="71"/>
      <c r="CT838" s="71"/>
      <c r="CU838" s="71"/>
      <c r="CV838" s="71"/>
      <c r="CW838" s="71"/>
      <c r="CX838" s="71"/>
      <c r="CY838" s="71"/>
      <c r="CZ838" s="71"/>
      <c r="DA838" s="71"/>
      <c r="DB838" s="71"/>
      <c r="DC838" s="71"/>
      <c r="DD838" s="71"/>
      <c r="DE838" s="71"/>
      <c r="DF838" s="71"/>
      <c r="DG838" s="71"/>
      <c r="DH838" s="71"/>
      <c r="DI838" s="71"/>
      <c r="DJ838" s="71"/>
      <c r="DK838" s="71"/>
      <c r="DL838" s="71"/>
      <c r="DM838" s="71"/>
      <c r="DN838" s="71"/>
      <c r="DO838" s="71"/>
      <c r="DP838" s="71"/>
      <c r="DQ838" s="71"/>
      <c r="DR838" s="71"/>
      <c r="DS838" s="71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  <c r="IJ838" s="71"/>
      <c r="IK838" s="71"/>
      <c r="IL838" s="71"/>
      <c r="IM838" s="71"/>
      <c r="IN838" s="71"/>
      <c r="IO838" s="71"/>
      <c r="IP838" s="71"/>
      <c r="IQ838" s="71"/>
      <c r="IR838" s="71"/>
      <c r="IS838" s="71"/>
      <c r="IT838" s="71"/>
      <c r="IU838" s="71"/>
      <c r="IV838" s="71"/>
      <c r="IW838" s="71"/>
    </row>
    <row r="839" customFormat="false" ht="12.75" hidden="false" customHeight="false" outlineLevel="0" collapsed="false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  <c r="BC839" s="71"/>
      <c r="BD839" s="71"/>
      <c r="BE839" s="71"/>
      <c r="BF839" s="71"/>
      <c r="BG839" s="71"/>
      <c r="BH839" s="71"/>
      <c r="BI839" s="71"/>
      <c r="BJ839" s="71"/>
      <c r="BK839" s="71"/>
      <c r="BL839" s="71"/>
      <c r="BM839" s="71"/>
      <c r="BN839" s="71"/>
      <c r="BO839" s="71"/>
      <c r="BP839" s="71"/>
      <c r="BQ839" s="71"/>
      <c r="BR839" s="71"/>
      <c r="BS839" s="71"/>
      <c r="BT839" s="71"/>
      <c r="BU839" s="71"/>
      <c r="BV839" s="71"/>
      <c r="BW839" s="71"/>
      <c r="BX839" s="71"/>
      <c r="BY839" s="71"/>
      <c r="BZ839" s="71"/>
      <c r="CA839" s="71"/>
      <c r="CB839" s="71"/>
      <c r="CC839" s="71"/>
      <c r="CD839" s="71"/>
      <c r="CE839" s="71"/>
      <c r="CF839" s="71"/>
      <c r="CG839" s="71"/>
      <c r="CH839" s="71"/>
      <c r="CI839" s="71"/>
      <c r="CJ839" s="71"/>
      <c r="CK839" s="71"/>
      <c r="CL839" s="71"/>
      <c r="CM839" s="71"/>
      <c r="CN839" s="71"/>
      <c r="CO839" s="71"/>
      <c r="CP839" s="71"/>
      <c r="CQ839" s="71"/>
      <c r="CR839" s="71"/>
      <c r="CS839" s="71"/>
      <c r="CT839" s="71"/>
      <c r="CU839" s="71"/>
      <c r="CV839" s="71"/>
      <c r="CW839" s="71"/>
      <c r="CX839" s="71"/>
      <c r="CY839" s="71"/>
      <c r="CZ839" s="71"/>
      <c r="DA839" s="71"/>
      <c r="DB839" s="71"/>
      <c r="DC839" s="71"/>
      <c r="DD839" s="71"/>
      <c r="DE839" s="71"/>
      <c r="DF839" s="71"/>
      <c r="DG839" s="71"/>
      <c r="DH839" s="71"/>
      <c r="DI839" s="71"/>
      <c r="DJ839" s="71"/>
      <c r="DK839" s="71"/>
      <c r="DL839" s="71"/>
      <c r="DM839" s="71"/>
      <c r="DN839" s="71"/>
      <c r="DO839" s="71"/>
      <c r="DP839" s="71"/>
      <c r="DQ839" s="71"/>
      <c r="DR839" s="71"/>
      <c r="DS839" s="71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  <c r="IJ839" s="71"/>
      <c r="IK839" s="71"/>
      <c r="IL839" s="71"/>
      <c r="IM839" s="71"/>
      <c r="IN839" s="71"/>
      <c r="IO839" s="71"/>
      <c r="IP839" s="71"/>
      <c r="IQ839" s="71"/>
      <c r="IR839" s="71"/>
      <c r="IS839" s="71"/>
      <c r="IT839" s="71"/>
      <c r="IU839" s="71"/>
      <c r="IV839" s="71"/>
      <c r="IW839" s="71"/>
    </row>
    <row r="840" customFormat="false" ht="12.75" hidden="false" customHeight="false" outlineLevel="0" collapsed="false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AZ840" s="71"/>
      <c r="BA840" s="71"/>
      <c r="BB840" s="71"/>
      <c r="BC840" s="71"/>
      <c r="BD840" s="71"/>
      <c r="BE840" s="71"/>
      <c r="BF840" s="71"/>
      <c r="BG840" s="71"/>
      <c r="BH840" s="71"/>
      <c r="BI840" s="71"/>
      <c r="BJ840" s="71"/>
      <c r="BK840" s="71"/>
      <c r="BL840" s="71"/>
      <c r="BM840" s="71"/>
      <c r="BN840" s="71"/>
      <c r="BO840" s="71"/>
      <c r="BP840" s="71"/>
      <c r="BQ840" s="71"/>
      <c r="BR840" s="71"/>
      <c r="BS840" s="71"/>
      <c r="BT840" s="71"/>
      <c r="BU840" s="71"/>
      <c r="BV840" s="71"/>
      <c r="BW840" s="71"/>
      <c r="BX840" s="71"/>
      <c r="BY840" s="71"/>
      <c r="BZ840" s="71"/>
      <c r="CA840" s="71"/>
      <c r="CB840" s="71"/>
      <c r="CC840" s="71"/>
      <c r="CD840" s="71"/>
      <c r="CE840" s="71"/>
      <c r="CF840" s="71"/>
      <c r="CG840" s="71"/>
      <c r="CH840" s="71"/>
      <c r="CI840" s="71"/>
      <c r="CJ840" s="71"/>
      <c r="CK840" s="71"/>
      <c r="CL840" s="71"/>
      <c r="CM840" s="71"/>
      <c r="CN840" s="71"/>
      <c r="CO840" s="71"/>
      <c r="CP840" s="71"/>
      <c r="CQ840" s="71"/>
      <c r="CR840" s="71"/>
      <c r="CS840" s="71"/>
      <c r="CT840" s="71"/>
      <c r="CU840" s="71"/>
      <c r="CV840" s="71"/>
      <c r="CW840" s="71"/>
      <c r="CX840" s="71"/>
      <c r="CY840" s="71"/>
      <c r="CZ840" s="71"/>
      <c r="DA840" s="71"/>
      <c r="DB840" s="71"/>
      <c r="DC840" s="71"/>
      <c r="DD840" s="71"/>
      <c r="DE840" s="71"/>
      <c r="DF840" s="71"/>
      <c r="DG840" s="71"/>
      <c r="DH840" s="71"/>
      <c r="DI840" s="71"/>
      <c r="DJ840" s="71"/>
      <c r="DK840" s="71"/>
      <c r="DL840" s="71"/>
      <c r="DM840" s="71"/>
      <c r="DN840" s="71"/>
      <c r="DO840" s="71"/>
      <c r="DP840" s="71"/>
      <c r="DQ840" s="71"/>
      <c r="DR840" s="71"/>
      <c r="DS840" s="71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  <c r="IJ840" s="71"/>
      <c r="IK840" s="71"/>
      <c r="IL840" s="71"/>
      <c r="IM840" s="71"/>
      <c r="IN840" s="71"/>
      <c r="IO840" s="71"/>
      <c r="IP840" s="71"/>
      <c r="IQ840" s="71"/>
      <c r="IR840" s="71"/>
      <c r="IS840" s="71"/>
      <c r="IT840" s="71"/>
      <c r="IU840" s="71"/>
      <c r="IV840" s="71"/>
      <c r="IW840" s="71"/>
    </row>
    <row r="841" customFormat="false" ht="12.75" hidden="false" customHeight="false" outlineLevel="0" collapsed="false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AZ841" s="71"/>
      <c r="BA841" s="71"/>
      <c r="BB841" s="71"/>
      <c r="BC841" s="71"/>
      <c r="BD841" s="71"/>
      <c r="BE841" s="71"/>
      <c r="BF841" s="71"/>
      <c r="BG841" s="71"/>
      <c r="BH841" s="71"/>
      <c r="BI841" s="71"/>
      <c r="BJ841" s="71"/>
      <c r="BK841" s="71"/>
      <c r="BL841" s="71"/>
      <c r="BM841" s="71"/>
      <c r="BN841" s="71"/>
      <c r="BO841" s="71"/>
      <c r="BP841" s="71"/>
      <c r="BQ841" s="71"/>
      <c r="BR841" s="71"/>
      <c r="BS841" s="71"/>
      <c r="BT841" s="71"/>
      <c r="BU841" s="71"/>
      <c r="BV841" s="71"/>
      <c r="BW841" s="71"/>
      <c r="BX841" s="71"/>
      <c r="BY841" s="71"/>
      <c r="BZ841" s="71"/>
      <c r="CA841" s="71"/>
      <c r="CB841" s="71"/>
      <c r="CC841" s="71"/>
      <c r="CD841" s="71"/>
      <c r="CE841" s="71"/>
      <c r="CF841" s="71"/>
      <c r="CG841" s="71"/>
      <c r="CH841" s="71"/>
      <c r="CI841" s="71"/>
      <c r="CJ841" s="71"/>
      <c r="CK841" s="71"/>
      <c r="CL841" s="71"/>
      <c r="CM841" s="71"/>
      <c r="CN841" s="71"/>
      <c r="CO841" s="71"/>
      <c r="CP841" s="71"/>
      <c r="CQ841" s="71"/>
      <c r="CR841" s="71"/>
      <c r="CS841" s="71"/>
      <c r="CT841" s="71"/>
      <c r="CU841" s="71"/>
      <c r="CV841" s="71"/>
      <c r="CW841" s="71"/>
      <c r="CX841" s="71"/>
      <c r="CY841" s="71"/>
      <c r="CZ841" s="71"/>
      <c r="DA841" s="71"/>
      <c r="DB841" s="71"/>
      <c r="DC841" s="71"/>
      <c r="DD841" s="71"/>
      <c r="DE841" s="71"/>
      <c r="DF841" s="71"/>
      <c r="DG841" s="71"/>
      <c r="DH841" s="71"/>
      <c r="DI841" s="71"/>
      <c r="DJ841" s="71"/>
      <c r="DK841" s="71"/>
      <c r="DL841" s="71"/>
      <c r="DM841" s="71"/>
      <c r="DN841" s="71"/>
      <c r="DO841" s="71"/>
      <c r="DP841" s="71"/>
      <c r="DQ841" s="71"/>
      <c r="DR841" s="71"/>
      <c r="DS841" s="71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  <c r="IJ841" s="71"/>
      <c r="IK841" s="71"/>
      <c r="IL841" s="71"/>
      <c r="IM841" s="71"/>
      <c r="IN841" s="71"/>
      <c r="IO841" s="71"/>
      <c r="IP841" s="71"/>
      <c r="IQ841" s="71"/>
      <c r="IR841" s="71"/>
      <c r="IS841" s="71"/>
      <c r="IT841" s="71"/>
      <c r="IU841" s="71"/>
      <c r="IV841" s="71"/>
      <c r="IW841" s="71"/>
    </row>
    <row r="842" customFormat="false" ht="12.75" hidden="false" customHeight="false" outlineLevel="0" collapsed="false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AZ842" s="71"/>
      <c r="BA842" s="71"/>
      <c r="BB842" s="71"/>
      <c r="BC842" s="71"/>
      <c r="BD842" s="71"/>
      <c r="BE842" s="71"/>
      <c r="BF842" s="71"/>
      <c r="BG842" s="71"/>
      <c r="BH842" s="71"/>
      <c r="BI842" s="71"/>
      <c r="BJ842" s="71"/>
      <c r="BK842" s="71"/>
      <c r="BL842" s="71"/>
      <c r="BM842" s="71"/>
      <c r="BN842" s="71"/>
      <c r="BO842" s="71"/>
      <c r="BP842" s="71"/>
      <c r="BQ842" s="71"/>
      <c r="BR842" s="71"/>
      <c r="BS842" s="71"/>
      <c r="BT842" s="71"/>
      <c r="BU842" s="71"/>
      <c r="BV842" s="71"/>
      <c r="BW842" s="71"/>
      <c r="BX842" s="71"/>
      <c r="BY842" s="71"/>
      <c r="BZ842" s="71"/>
      <c r="CA842" s="71"/>
      <c r="CB842" s="71"/>
      <c r="CC842" s="71"/>
      <c r="CD842" s="71"/>
      <c r="CE842" s="71"/>
      <c r="CF842" s="71"/>
      <c r="CG842" s="71"/>
      <c r="CH842" s="71"/>
      <c r="CI842" s="71"/>
      <c r="CJ842" s="71"/>
      <c r="CK842" s="71"/>
      <c r="CL842" s="71"/>
      <c r="CM842" s="71"/>
      <c r="CN842" s="71"/>
      <c r="CO842" s="71"/>
      <c r="CP842" s="71"/>
      <c r="CQ842" s="71"/>
      <c r="CR842" s="71"/>
      <c r="CS842" s="71"/>
      <c r="CT842" s="71"/>
      <c r="CU842" s="71"/>
      <c r="CV842" s="71"/>
      <c r="CW842" s="71"/>
      <c r="CX842" s="71"/>
      <c r="CY842" s="71"/>
      <c r="CZ842" s="71"/>
      <c r="DA842" s="71"/>
      <c r="DB842" s="71"/>
      <c r="DC842" s="71"/>
      <c r="DD842" s="71"/>
      <c r="DE842" s="71"/>
      <c r="DF842" s="71"/>
      <c r="DG842" s="71"/>
      <c r="DH842" s="71"/>
      <c r="DI842" s="71"/>
      <c r="DJ842" s="71"/>
      <c r="DK842" s="71"/>
      <c r="DL842" s="71"/>
      <c r="DM842" s="71"/>
      <c r="DN842" s="71"/>
      <c r="DO842" s="71"/>
      <c r="DP842" s="71"/>
      <c r="DQ842" s="71"/>
      <c r="DR842" s="71"/>
      <c r="DS842" s="71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  <c r="IJ842" s="71"/>
      <c r="IK842" s="71"/>
      <c r="IL842" s="71"/>
      <c r="IM842" s="71"/>
      <c r="IN842" s="71"/>
      <c r="IO842" s="71"/>
      <c r="IP842" s="71"/>
      <c r="IQ842" s="71"/>
      <c r="IR842" s="71"/>
      <c r="IS842" s="71"/>
      <c r="IT842" s="71"/>
      <c r="IU842" s="71"/>
      <c r="IV842" s="71"/>
      <c r="IW842" s="71"/>
    </row>
    <row r="843" customFormat="false" ht="12.75" hidden="false" customHeight="false" outlineLevel="0" collapsed="false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AZ843" s="71"/>
      <c r="BA843" s="71"/>
      <c r="BB843" s="71"/>
      <c r="BC843" s="71"/>
      <c r="BD843" s="71"/>
      <c r="BE843" s="71"/>
      <c r="BF843" s="71"/>
      <c r="BG843" s="71"/>
      <c r="BH843" s="71"/>
      <c r="BI843" s="71"/>
      <c r="BJ843" s="71"/>
      <c r="BK843" s="71"/>
      <c r="BL843" s="71"/>
      <c r="BM843" s="71"/>
      <c r="BN843" s="71"/>
      <c r="BO843" s="71"/>
      <c r="BP843" s="71"/>
      <c r="BQ843" s="71"/>
      <c r="BR843" s="71"/>
      <c r="BS843" s="71"/>
      <c r="BT843" s="71"/>
      <c r="BU843" s="71"/>
      <c r="BV843" s="71"/>
      <c r="BW843" s="71"/>
      <c r="BX843" s="71"/>
      <c r="BY843" s="71"/>
      <c r="BZ843" s="71"/>
      <c r="CA843" s="71"/>
      <c r="CB843" s="71"/>
      <c r="CC843" s="71"/>
      <c r="CD843" s="71"/>
      <c r="CE843" s="71"/>
      <c r="CF843" s="71"/>
      <c r="CG843" s="71"/>
      <c r="CH843" s="71"/>
      <c r="CI843" s="71"/>
      <c r="CJ843" s="71"/>
      <c r="CK843" s="71"/>
      <c r="CL843" s="71"/>
      <c r="CM843" s="71"/>
      <c r="CN843" s="71"/>
      <c r="CO843" s="71"/>
      <c r="CP843" s="71"/>
      <c r="CQ843" s="71"/>
      <c r="CR843" s="71"/>
      <c r="CS843" s="71"/>
      <c r="CT843" s="71"/>
      <c r="CU843" s="71"/>
      <c r="CV843" s="71"/>
      <c r="CW843" s="71"/>
      <c r="CX843" s="71"/>
      <c r="CY843" s="71"/>
      <c r="CZ843" s="71"/>
      <c r="DA843" s="71"/>
      <c r="DB843" s="71"/>
      <c r="DC843" s="71"/>
      <c r="DD843" s="71"/>
      <c r="DE843" s="71"/>
      <c r="DF843" s="71"/>
      <c r="DG843" s="71"/>
      <c r="DH843" s="71"/>
      <c r="DI843" s="71"/>
      <c r="DJ843" s="71"/>
      <c r="DK843" s="71"/>
      <c r="DL843" s="71"/>
      <c r="DM843" s="71"/>
      <c r="DN843" s="71"/>
      <c r="DO843" s="71"/>
      <c r="DP843" s="71"/>
      <c r="DQ843" s="71"/>
      <c r="DR843" s="71"/>
      <c r="DS843" s="71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  <c r="IJ843" s="71"/>
      <c r="IK843" s="71"/>
      <c r="IL843" s="71"/>
      <c r="IM843" s="71"/>
      <c r="IN843" s="71"/>
      <c r="IO843" s="71"/>
      <c r="IP843" s="71"/>
      <c r="IQ843" s="71"/>
      <c r="IR843" s="71"/>
      <c r="IS843" s="71"/>
      <c r="IT843" s="71"/>
      <c r="IU843" s="71"/>
      <c r="IV843" s="71"/>
      <c r="IW843" s="71"/>
    </row>
    <row r="844" customFormat="false" ht="12.75" hidden="false" customHeight="false" outlineLevel="0" collapsed="false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  <c r="BC844" s="71"/>
      <c r="BD844" s="71"/>
      <c r="BE844" s="71"/>
      <c r="BF844" s="71"/>
      <c r="BG844" s="71"/>
      <c r="BH844" s="71"/>
      <c r="BI844" s="71"/>
      <c r="BJ844" s="71"/>
      <c r="BK844" s="71"/>
      <c r="BL844" s="71"/>
      <c r="BM844" s="71"/>
      <c r="BN844" s="71"/>
      <c r="BO844" s="71"/>
      <c r="BP844" s="71"/>
      <c r="BQ844" s="71"/>
      <c r="BR844" s="71"/>
      <c r="BS844" s="71"/>
      <c r="BT844" s="71"/>
      <c r="BU844" s="71"/>
      <c r="BV844" s="71"/>
      <c r="BW844" s="71"/>
      <c r="BX844" s="71"/>
      <c r="BY844" s="71"/>
      <c r="BZ844" s="71"/>
      <c r="CA844" s="71"/>
      <c r="CB844" s="71"/>
      <c r="CC844" s="71"/>
      <c r="CD844" s="71"/>
      <c r="CE844" s="71"/>
      <c r="CF844" s="71"/>
      <c r="CG844" s="71"/>
      <c r="CH844" s="71"/>
      <c r="CI844" s="71"/>
      <c r="CJ844" s="71"/>
      <c r="CK844" s="71"/>
      <c r="CL844" s="71"/>
      <c r="CM844" s="71"/>
      <c r="CN844" s="71"/>
      <c r="CO844" s="71"/>
      <c r="CP844" s="71"/>
      <c r="CQ844" s="71"/>
      <c r="CR844" s="71"/>
      <c r="CS844" s="71"/>
      <c r="CT844" s="71"/>
      <c r="CU844" s="71"/>
      <c r="CV844" s="71"/>
      <c r="CW844" s="71"/>
      <c r="CX844" s="71"/>
      <c r="CY844" s="71"/>
      <c r="CZ844" s="71"/>
      <c r="DA844" s="71"/>
      <c r="DB844" s="71"/>
      <c r="DC844" s="71"/>
      <c r="DD844" s="71"/>
      <c r="DE844" s="71"/>
      <c r="DF844" s="71"/>
      <c r="DG844" s="71"/>
      <c r="DH844" s="71"/>
      <c r="DI844" s="71"/>
      <c r="DJ844" s="71"/>
      <c r="DK844" s="71"/>
      <c r="DL844" s="71"/>
      <c r="DM844" s="71"/>
      <c r="DN844" s="71"/>
      <c r="DO844" s="71"/>
      <c r="DP844" s="71"/>
      <c r="DQ844" s="71"/>
      <c r="DR844" s="71"/>
      <c r="DS844" s="71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  <c r="IJ844" s="71"/>
      <c r="IK844" s="71"/>
      <c r="IL844" s="71"/>
      <c r="IM844" s="71"/>
      <c r="IN844" s="71"/>
      <c r="IO844" s="71"/>
      <c r="IP844" s="71"/>
      <c r="IQ844" s="71"/>
      <c r="IR844" s="71"/>
      <c r="IS844" s="71"/>
      <c r="IT844" s="71"/>
      <c r="IU844" s="71"/>
      <c r="IV844" s="71"/>
      <c r="IW844" s="71"/>
    </row>
    <row r="845" customFormat="false" ht="12.75" hidden="false" customHeight="false" outlineLevel="0" collapsed="false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AZ845" s="71"/>
      <c r="BA845" s="71"/>
      <c r="BB845" s="71"/>
      <c r="BC845" s="71"/>
      <c r="BD845" s="71"/>
      <c r="BE845" s="71"/>
      <c r="BF845" s="71"/>
      <c r="BG845" s="71"/>
      <c r="BH845" s="71"/>
      <c r="BI845" s="71"/>
      <c r="BJ845" s="71"/>
      <c r="BK845" s="71"/>
      <c r="BL845" s="71"/>
      <c r="BM845" s="71"/>
      <c r="BN845" s="71"/>
      <c r="BO845" s="71"/>
      <c r="BP845" s="71"/>
      <c r="BQ845" s="71"/>
      <c r="BR845" s="71"/>
      <c r="BS845" s="71"/>
      <c r="BT845" s="71"/>
      <c r="BU845" s="71"/>
      <c r="BV845" s="71"/>
      <c r="BW845" s="71"/>
      <c r="BX845" s="71"/>
      <c r="BY845" s="71"/>
      <c r="BZ845" s="71"/>
      <c r="CA845" s="71"/>
      <c r="CB845" s="71"/>
      <c r="CC845" s="71"/>
      <c r="CD845" s="71"/>
      <c r="CE845" s="71"/>
      <c r="CF845" s="71"/>
      <c r="CG845" s="71"/>
      <c r="CH845" s="71"/>
      <c r="CI845" s="71"/>
      <c r="CJ845" s="71"/>
      <c r="CK845" s="71"/>
      <c r="CL845" s="71"/>
      <c r="CM845" s="71"/>
      <c r="CN845" s="71"/>
      <c r="CO845" s="71"/>
      <c r="CP845" s="71"/>
      <c r="CQ845" s="71"/>
      <c r="CR845" s="71"/>
      <c r="CS845" s="71"/>
      <c r="CT845" s="71"/>
      <c r="CU845" s="71"/>
      <c r="CV845" s="71"/>
      <c r="CW845" s="71"/>
      <c r="CX845" s="71"/>
      <c r="CY845" s="71"/>
      <c r="CZ845" s="71"/>
      <c r="DA845" s="71"/>
      <c r="DB845" s="71"/>
      <c r="DC845" s="71"/>
      <c r="DD845" s="71"/>
      <c r="DE845" s="71"/>
      <c r="DF845" s="71"/>
      <c r="DG845" s="71"/>
      <c r="DH845" s="71"/>
      <c r="DI845" s="71"/>
      <c r="DJ845" s="71"/>
      <c r="DK845" s="71"/>
      <c r="DL845" s="71"/>
      <c r="DM845" s="71"/>
      <c r="DN845" s="71"/>
      <c r="DO845" s="71"/>
      <c r="DP845" s="71"/>
      <c r="DQ845" s="71"/>
      <c r="DR845" s="71"/>
      <c r="DS845" s="71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  <c r="IJ845" s="71"/>
      <c r="IK845" s="71"/>
      <c r="IL845" s="71"/>
      <c r="IM845" s="71"/>
      <c r="IN845" s="71"/>
      <c r="IO845" s="71"/>
      <c r="IP845" s="71"/>
      <c r="IQ845" s="71"/>
      <c r="IR845" s="71"/>
      <c r="IS845" s="71"/>
      <c r="IT845" s="71"/>
      <c r="IU845" s="71"/>
      <c r="IV845" s="71"/>
      <c r="IW845" s="71"/>
    </row>
    <row r="846" customFormat="false" ht="12.75" hidden="false" customHeight="false" outlineLevel="0" collapsed="false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  <c r="BC846" s="71"/>
      <c r="BD846" s="71"/>
      <c r="BE846" s="71"/>
      <c r="BF846" s="71"/>
      <c r="BG846" s="71"/>
      <c r="BH846" s="71"/>
      <c r="BI846" s="71"/>
      <c r="BJ846" s="71"/>
      <c r="BK846" s="71"/>
      <c r="BL846" s="71"/>
      <c r="BM846" s="71"/>
      <c r="BN846" s="71"/>
      <c r="BO846" s="71"/>
      <c r="BP846" s="71"/>
      <c r="BQ846" s="71"/>
      <c r="BR846" s="71"/>
      <c r="BS846" s="71"/>
      <c r="BT846" s="71"/>
      <c r="BU846" s="71"/>
      <c r="BV846" s="71"/>
      <c r="BW846" s="71"/>
      <c r="BX846" s="71"/>
      <c r="BY846" s="71"/>
      <c r="BZ846" s="71"/>
      <c r="CA846" s="71"/>
      <c r="CB846" s="71"/>
      <c r="CC846" s="71"/>
      <c r="CD846" s="71"/>
      <c r="CE846" s="71"/>
      <c r="CF846" s="71"/>
      <c r="CG846" s="71"/>
      <c r="CH846" s="71"/>
      <c r="CI846" s="71"/>
      <c r="CJ846" s="71"/>
      <c r="CK846" s="71"/>
      <c r="CL846" s="71"/>
      <c r="CM846" s="71"/>
      <c r="CN846" s="71"/>
      <c r="CO846" s="71"/>
      <c r="CP846" s="71"/>
      <c r="CQ846" s="71"/>
      <c r="CR846" s="71"/>
      <c r="CS846" s="71"/>
      <c r="CT846" s="71"/>
      <c r="CU846" s="71"/>
      <c r="CV846" s="71"/>
      <c r="CW846" s="71"/>
      <c r="CX846" s="71"/>
      <c r="CY846" s="71"/>
      <c r="CZ846" s="71"/>
      <c r="DA846" s="71"/>
      <c r="DB846" s="71"/>
      <c r="DC846" s="71"/>
      <c r="DD846" s="71"/>
      <c r="DE846" s="71"/>
      <c r="DF846" s="71"/>
      <c r="DG846" s="71"/>
      <c r="DH846" s="71"/>
      <c r="DI846" s="71"/>
      <c r="DJ846" s="71"/>
      <c r="DK846" s="71"/>
      <c r="DL846" s="71"/>
      <c r="DM846" s="71"/>
      <c r="DN846" s="71"/>
      <c r="DO846" s="71"/>
      <c r="DP846" s="71"/>
      <c r="DQ846" s="71"/>
      <c r="DR846" s="71"/>
      <c r="DS846" s="71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  <c r="IJ846" s="71"/>
      <c r="IK846" s="71"/>
      <c r="IL846" s="71"/>
      <c r="IM846" s="71"/>
      <c r="IN846" s="71"/>
      <c r="IO846" s="71"/>
      <c r="IP846" s="71"/>
      <c r="IQ846" s="71"/>
      <c r="IR846" s="71"/>
      <c r="IS846" s="71"/>
      <c r="IT846" s="71"/>
      <c r="IU846" s="71"/>
      <c r="IV846" s="71"/>
      <c r="IW846" s="71"/>
    </row>
    <row r="847" customFormat="false" ht="12.75" hidden="false" customHeight="false" outlineLevel="0" collapsed="false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AZ847" s="71"/>
      <c r="BA847" s="71"/>
      <c r="BB847" s="71"/>
      <c r="BC847" s="71"/>
      <c r="BD847" s="71"/>
      <c r="BE847" s="71"/>
      <c r="BF847" s="71"/>
      <c r="BG847" s="71"/>
      <c r="BH847" s="71"/>
      <c r="BI847" s="71"/>
      <c r="BJ847" s="71"/>
      <c r="BK847" s="71"/>
      <c r="BL847" s="71"/>
      <c r="BM847" s="71"/>
      <c r="BN847" s="71"/>
      <c r="BO847" s="71"/>
      <c r="BP847" s="71"/>
      <c r="BQ847" s="71"/>
      <c r="BR847" s="71"/>
      <c r="BS847" s="71"/>
      <c r="BT847" s="71"/>
      <c r="BU847" s="71"/>
      <c r="BV847" s="71"/>
      <c r="BW847" s="71"/>
      <c r="BX847" s="71"/>
      <c r="BY847" s="71"/>
      <c r="BZ847" s="71"/>
      <c r="CA847" s="71"/>
      <c r="CB847" s="71"/>
      <c r="CC847" s="71"/>
      <c r="CD847" s="71"/>
      <c r="CE847" s="71"/>
      <c r="CF847" s="71"/>
      <c r="CG847" s="71"/>
      <c r="CH847" s="71"/>
      <c r="CI847" s="71"/>
      <c r="CJ847" s="71"/>
      <c r="CK847" s="71"/>
      <c r="CL847" s="71"/>
      <c r="CM847" s="71"/>
      <c r="CN847" s="71"/>
      <c r="CO847" s="71"/>
      <c r="CP847" s="71"/>
      <c r="CQ847" s="71"/>
      <c r="CR847" s="71"/>
      <c r="CS847" s="71"/>
      <c r="CT847" s="71"/>
      <c r="CU847" s="71"/>
      <c r="CV847" s="71"/>
      <c r="CW847" s="71"/>
      <c r="CX847" s="71"/>
      <c r="CY847" s="71"/>
      <c r="CZ847" s="71"/>
      <c r="DA847" s="71"/>
      <c r="DB847" s="71"/>
      <c r="DC847" s="71"/>
      <c r="DD847" s="71"/>
      <c r="DE847" s="71"/>
      <c r="DF847" s="71"/>
      <c r="DG847" s="71"/>
      <c r="DH847" s="71"/>
      <c r="DI847" s="71"/>
      <c r="DJ847" s="71"/>
      <c r="DK847" s="71"/>
      <c r="DL847" s="71"/>
      <c r="DM847" s="71"/>
      <c r="DN847" s="71"/>
      <c r="DO847" s="71"/>
      <c r="DP847" s="71"/>
      <c r="DQ847" s="71"/>
      <c r="DR847" s="71"/>
      <c r="DS847" s="71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  <c r="IJ847" s="71"/>
      <c r="IK847" s="71"/>
      <c r="IL847" s="71"/>
      <c r="IM847" s="71"/>
      <c r="IN847" s="71"/>
      <c r="IO847" s="71"/>
      <c r="IP847" s="71"/>
      <c r="IQ847" s="71"/>
      <c r="IR847" s="71"/>
      <c r="IS847" s="71"/>
      <c r="IT847" s="71"/>
      <c r="IU847" s="71"/>
      <c r="IV847" s="71"/>
      <c r="IW847" s="71"/>
    </row>
    <row r="848" customFormat="false" ht="12.75" hidden="false" customHeight="false" outlineLevel="0" collapsed="false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AZ848" s="71"/>
      <c r="BA848" s="71"/>
      <c r="BB848" s="71"/>
      <c r="BC848" s="71"/>
      <c r="BD848" s="71"/>
      <c r="BE848" s="71"/>
      <c r="BF848" s="71"/>
      <c r="BG848" s="71"/>
      <c r="BH848" s="71"/>
      <c r="BI848" s="71"/>
      <c r="BJ848" s="71"/>
      <c r="BK848" s="71"/>
      <c r="BL848" s="71"/>
      <c r="BM848" s="71"/>
      <c r="BN848" s="71"/>
      <c r="BO848" s="71"/>
      <c r="BP848" s="71"/>
      <c r="BQ848" s="71"/>
      <c r="BR848" s="71"/>
      <c r="BS848" s="71"/>
      <c r="BT848" s="71"/>
      <c r="BU848" s="71"/>
      <c r="BV848" s="71"/>
      <c r="BW848" s="71"/>
      <c r="BX848" s="71"/>
      <c r="BY848" s="71"/>
      <c r="BZ848" s="71"/>
      <c r="CA848" s="71"/>
      <c r="CB848" s="71"/>
      <c r="CC848" s="71"/>
      <c r="CD848" s="71"/>
      <c r="CE848" s="71"/>
      <c r="CF848" s="71"/>
      <c r="CG848" s="71"/>
      <c r="CH848" s="71"/>
      <c r="CI848" s="71"/>
      <c r="CJ848" s="71"/>
      <c r="CK848" s="71"/>
      <c r="CL848" s="71"/>
      <c r="CM848" s="71"/>
      <c r="CN848" s="71"/>
      <c r="CO848" s="71"/>
      <c r="CP848" s="71"/>
      <c r="CQ848" s="71"/>
      <c r="CR848" s="71"/>
      <c r="CS848" s="71"/>
      <c r="CT848" s="71"/>
      <c r="CU848" s="71"/>
      <c r="CV848" s="71"/>
      <c r="CW848" s="71"/>
      <c r="CX848" s="71"/>
      <c r="CY848" s="71"/>
      <c r="CZ848" s="71"/>
      <c r="DA848" s="71"/>
      <c r="DB848" s="71"/>
      <c r="DC848" s="71"/>
      <c r="DD848" s="71"/>
      <c r="DE848" s="71"/>
      <c r="DF848" s="71"/>
      <c r="DG848" s="71"/>
      <c r="DH848" s="71"/>
      <c r="DI848" s="71"/>
      <c r="DJ848" s="71"/>
      <c r="DK848" s="71"/>
      <c r="DL848" s="71"/>
      <c r="DM848" s="71"/>
      <c r="DN848" s="71"/>
      <c r="DO848" s="71"/>
      <c r="DP848" s="71"/>
      <c r="DQ848" s="71"/>
      <c r="DR848" s="71"/>
      <c r="DS848" s="71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  <c r="IJ848" s="71"/>
      <c r="IK848" s="71"/>
      <c r="IL848" s="71"/>
      <c r="IM848" s="71"/>
      <c r="IN848" s="71"/>
      <c r="IO848" s="71"/>
      <c r="IP848" s="71"/>
      <c r="IQ848" s="71"/>
      <c r="IR848" s="71"/>
      <c r="IS848" s="71"/>
      <c r="IT848" s="71"/>
      <c r="IU848" s="71"/>
      <c r="IV848" s="71"/>
      <c r="IW848" s="71"/>
    </row>
    <row r="849" customFormat="false" ht="12.75" hidden="false" customHeight="false" outlineLevel="0" collapsed="false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AZ849" s="71"/>
      <c r="BA849" s="71"/>
      <c r="BB849" s="71"/>
      <c r="BC849" s="71"/>
      <c r="BD849" s="71"/>
      <c r="BE849" s="71"/>
      <c r="BF849" s="71"/>
      <c r="BG849" s="71"/>
      <c r="BH849" s="71"/>
      <c r="BI849" s="71"/>
      <c r="BJ849" s="71"/>
      <c r="BK849" s="71"/>
      <c r="BL849" s="71"/>
      <c r="BM849" s="71"/>
      <c r="BN849" s="71"/>
      <c r="BO849" s="71"/>
      <c r="BP849" s="71"/>
      <c r="BQ849" s="71"/>
      <c r="BR849" s="71"/>
      <c r="BS849" s="71"/>
      <c r="BT849" s="71"/>
      <c r="BU849" s="71"/>
      <c r="BV849" s="71"/>
      <c r="BW849" s="71"/>
      <c r="BX849" s="71"/>
      <c r="BY849" s="71"/>
      <c r="BZ849" s="71"/>
      <c r="CA849" s="71"/>
      <c r="CB849" s="71"/>
      <c r="CC849" s="71"/>
      <c r="CD849" s="71"/>
      <c r="CE849" s="71"/>
      <c r="CF849" s="71"/>
      <c r="CG849" s="71"/>
      <c r="CH849" s="71"/>
      <c r="CI849" s="71"/>
      <c r="CJ849" s="71"/>
      <c r="CK849" s="71"/>
      <c r="CL849" s="71"/>
      <c r="CM849" s="71"/>
      <c r="CN849" s="71"/>
      <c r="CO849" s="71"/>
      <c r="CP849" s="71"/>
      <c r="CQ849" s="71"/>
      <c r="CR849" s="71"/>
      <c r="CS849" s="71"/>
      <c r="CT849" s="71"/>
      <c r="CU849" s="71"/>
      <c r="CV849" s="71"/>
      <c r="CW849" s="71"/>
      <c r="CX849" s="71"/>
      <c r="CY849" s="71"/>
      <c r="CZ849" s="71"/>
      <c r="DA849" s="71"/>
      <c r="DB849" s="71"/>
      <c r="DC849" s="71"/>
      <c r="DD849" s="71"/>
      <c r="DE849" s="71"/>
      <c r="DF849" s="71"/>
      <c r="DG849" s="71"/>
      <c r="DH849" s="71"/>
      <c r="DI849" s="71"/>
      <c r="DJ849" s="71"/>
      <c r="DK849" s="71"/>
      <c r="DL849" s="71"/>
      <c r="DM849" s="71"/>
      <c r="DN849" s="71"/>
      <c r="DO849" s="71"/>
      <c r="DP849" s="71"/>
      <c r="DQ849" s="71"/>
      <c r="DR849" s="71"/>
      <c r="DS849" s="71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  <c r="IJ849" s="71"/>
      <c r="IK849" s="71"/>
      <c r="IL849" s="71"/>
      <c r="IM849" s="71"/>
      <c r="IN849" s="71"/>
      <c r="IO849" s="71"/>
      <c r="IP849" s="71"/>
      <c r="IQ849" s="71"/>
      <c r="IR849" s="71"/>
      <c r="IS849" s="71"/>
      <c r="IT849" s="71"/>
      <c r="IU849" s="71"/>
      <c r="IV849" s="71"/>
      <c r="IW849" s="71"/>
    </row>
    <row r="850" customFormat="false" ht="12.75" hidden="false" customHeight="false" outlineLevel="0" collapsed="false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  <c r="BC850" s="71"/>
      <c r="BD850" s="71"/>
      <c r="BE850" s="71"/>
      <c r="BF850" s="71"/>
      <c r="BG850" s="71"/>
      <c r="BH850" s="71"/>
      <c r="BI850" s="71"/>
      <c r="BJ850" s="71"/>
      <c r="BK850" s="71"/>
      <c r="BL850" s="71"/>
      <c r="BM850" s="71"/>
      <c r="BN850" s="71"/>
      <c r="BO850" s="71"/>
      <c r="BP850" s="71"/>
      <c r="BQ850" s="71"/>
      <c r="BR850" s="71"/>
      <c r="BS850" s="71"/>
      <c r="BT850" s="71"/>
      <c r="BU850" s="71"/>
      <c r="BV850" s="71"/>
      <c r="BW850" s="71"/>
      <c r="BX850" s="71"/>
      <c r="BY850" s="71"/>
      <c r="BZ850" s="71"/>
      <c r="CA850" s="71"/>
      <c r="CB850" s="71"/>
      <c r="CC850" s="71"/>
      <c r="CD850" s="71"/>
      <c r="CE850" s="71"/>
      <c r="CF850" s="71"/>
      <c r="CG850" s="71"/>
      <c r="CH850" s="71"/>
      <c r="CI850" s="71"/>
      <c r="CJ850" s="71"/>
      <c r="CK850" s="71"/>
      <c r="CL850" s="71"/>
      <c r="CM850" s="71"/>
      <c r="CN850" s="71"/>
      <c r="CO850" s="71"/>
      <c r="CP850" s="71"/>
      <c r="CQ850" s="71"/>
      <c r="CR850" s="71"/>
      <c r="CS850" s="71"/>
      <c r="CT850" s="71"/>
      <c r="CU850" s="71"/>
      <c r="CV850" s="71"/>
      <c r="CW850" s="71"/>
      <c r="CX850" s="71"/>
      <c r="CY850" s="71"/>
      <c r="CZ850" s="71"/>
      <c r="DA850" s="71"/>
      <c r="DB850" s="71"/>
      <c r="DC850" s="71"/>
      <c r="DD850" s="71"/>
      <c r="DE850" s="71"/>
      <c r="DF850" s="71"/>
      <c r="DG850" s="71"/>
      <c r="DH850" s="71"/>
      <c r="DI850" s="71"/>
      <c r="DJ850" s="71"/>
      <c r="DK850" s="71"/>
      <c r="DL850" s="71"/>
      <c r="DM850" s="71"/>
      <c r="DN850" s="71"/>
      <c r="DO850" s="71"/>
      <c r="DP850" s="71"/>
      <c r="DQ850" s="71"/>
      <c r="DR850" s="71"/>
      <c r="DS850" s="71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  <c r="IJ850" s="71"/>
      <c r="IK850" s="71"/>
      <c r="IL850" s="71"/>
      <c r="IM850" s="71"/>
      <c r="IN850" s="71"/>
      <c r="IO850" s="71"/>
      <c r="IP850" s="71"/>
      <c r="IQ850" s="71"/>
      <c r="IR850" s="71"/>
      <c r="IS850" s="71"/>
      <c r="IT850" s="71"/>
      <c r="IU850" s="71"/>
      <c r="IV850" s="71"/>
      <c r="IW850" s="71"/>
    </row>
    <row r="851" customFormat="false" ht="12.75" hidden="false" customHeight="false" outlineLevel="0" collapsed="false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AZ851" s="71"/>
      <c r="BA851" s="71"/>
      <c r="BB851" s="71"/>
      <c r="BC851" s="71"/>
      <c r="BD851" s="71"/>
      <c r="BE851" s="71"/>
      <c r="BF851" s="71"/>
      <c r="BG851" s="71"/>
      <c r="BH851" s="71"/>
      <c r="BI851" s="71"/>
      <c r="BJ851" s="71"/>
      <c r="BK851" s="71"/>
      <c r="BL851" s="71"/>
      <c r="BM851" s="71"/>
      <c r="BN851" s="71"/>
      <c r="BO851" s="71"/>
      <c r="BP851" s="71"/>
      <c r="BQ851" s="71"/>
      <c r="BR851" s="71"/>
      <c r="BS851" s="71"/>
      <c r="BT851" s="71"/>
      <c r="BU851" s="71"/>
      <c r="BV851" s="71"/>
      <c r="BW851" s="71"/>
      <c r="BX851" s="71"/>
      <c r="BY851" s="71"/>
      <c r="BZ851" s="71"/>
      <c r="CA851" s="71"/>
      <c r="CB851" s="71"/>
      <c r="CC851" s="71"/>
      <c r="CD851" s="71"/>
      <c r="CE851" s="71"/>
      <c r="CF851" s="71"/>
      <c r="CG851" s="71"/>
      <c r="CH851" s="71"/>
      <c r="CI851" s="71"/>
      <c r="CJ851" s="71"/>
      <c r="CK851" s="71"/>
      <c r="CL851" s="71"/>
      <c r="CM851" s="71"/>
      <c r="CN851" s="71"/>
      <c r="CO851" s="71"/>
      <c r="CP851" s="71"/>
      <c r="CQ851" s="71"/>
      <c r="CR851" s="71"/>
      <c r="CS851" s="71"/>
      <c r="CT851" s="71"/>
      <c r="CU851" s="71"/>
      <c r="CV851" s="71"/>
      <c r="CW851" s="71"/>
      <c r="CX851" s="71"/>
      <c r="CY851" s="71"/>
      <c r="CZ851" s="71"/>
      <c r="DA851" s="71"/>
      <c r="DB851" s="71"/>
      <c r="DC851" s="71"/>
      <c r="DD851" s="71"/>
      <c r="DE851" s="71"/>
      <c r="DF851" s="71"/>
      <c r="DG851" s="71"/>
      <c r="DH851" s="71"/>
      <c r="DI851" s="71"/>
      <c r="DJ851" s="71"/>
      <c r="DK851" s="71"/>
      <c r="DL851" s="71"/>
      <c r="DM851" s="71"/>
      <c r="DN851" s="71"/>
      <c r="DO851" s="71"/>
      <c r="DP851" s="71"/>
      <c r="DQ851" s="71"/>
      <c r="DR851" s="71"/>
      <c r="DS851" s="71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  <c r="IJ851" s="71"/>
      <c r="IK851" s="71"/>
      <c r="IL851" s="71"/>
      <c r="IM851" s="71"/>
      <c r="IN851" s="71"/>
      <c r="IO851" s="71"/>
      <c r="IP851" s="71"/>
      <c r="IQ851" s="71"/>
      <c r="IR851" s="71"/>
      <c r="IS851" s="71"/>
      <c r="IT851" s="71"/>
      <c r="IU851" s="71"/>
      <c r="IV851" s="71"/>
      <c r="IW851" s="71"/>
    </row>
    <row r="852" customFormat="false" ht="12.75" hidden="false" customHeight="false" outlineLevel="0" collapsed="false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1"/>
      <c r="CB852" s="71"/>
      <c r="CC852" s="71"/>
      <c r="CD852" s="71"/>
      <c r="CE852" s="71"/>
      <c r="CF852" s="71"/>
      <c r="CG852" s="71"/>
      <c r="CH852" s="71"/>
      <c r="CI852" s="71"/>
      <c r="CJ852" s="71"/>
      <c r="CK852" s="71"/>
      <c r="CL852" s="71"/>
      <c r="CM852" s="71"/>
      <c r="CN852" s="71"/>
      <c r="CO852" s="71"/>
      <c r="CP852" s="71"/>
      <c r="CQ852" s="71"/>
      <c r="CR852" s="71"/>
      <c r="CS852" s="71"/>
      <c r="CT852" s="71"/>
      <c r="CU852" s="71"/>
      <c r="CV852" s="71"/>
      <c r="CW852" s="71"/>
      <c r="CX852" s="71"/>
      <c r="CY852" s="71"/>
      <c r="CZ852" s="71"/>
      <c r="DA852" s="71"/>
      <c r="DB852" s="71"/>
      <c r="DC852" s="71"/>
      <c r="DD852" s="71"/>
      <c r="DE852" s="71"/>
      <c r="DF852" s="71"/>
      <c r="DG852" s="71"/>
      <c r="DH852" s="71"/>
      <c r="DI852" s="71"/>
      <c r="DJ852" s="71"/>
      <c r="DK852" s="71"/>
      <c r="DL852" s="71"/>
      <c r="DM852" s="71"/>
      <c r="DN852" s="71"/>
      <c r="DO852" s="71"/>
      <c r="DP852" s="71"/>
      <c r="DQ852" s="71"/>
      <c r="DR852" s="71"/>
      <c r="DS852" s="71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  <c r="IJ852" s="71"/>
      <c r="IK852" s="71"/>
      <c r="IL852" s="71"/>
      <c r="IM852" s="71"/>
      <c r="IN852" s="71"/>
      <c r="IO852" s="71"/>
      <c r="IP852" s="71"/>
      <c r="IQ852" s="71"/>
      <c r="IR852" s="71"/>
      <c r="IS852" s="71"/>
      <c r="IT852" s="71"/>
      <c r="IU852" s="71"/>
      <c r="IV852" s="71"/>
      <c r="IW852" s="71"/>
    </row>
    <row r="853" customFormat="false" ht="12.75" hidden="false" customHeight="false" outlineLevel="0" collapsed="false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AZ853" s="71"/>
      <c r="BA853" s="71"/>
      <c r="BB853" s="71"/>
      <c r="BC853" s="71"/>
      <c r="BD853" s="71"/>
      <c r="BE853" s="71"/>
      <c r="BF853" s="71"/>
      <c r="BG853" s="71"/>
      <c r="BH853" s="71"/>
      <c r="BI853" s="71"/>
      <c r="BJ853" s="71"/>
      <c r="BK853" s="71"/>
      <c r="BL853" s="71"/>
      <c r="BM853" s="71"/>
      <c r="BN853" s="71"/>
      <c r="BO853" s="71"/>
      <c r="BP853" s="71"/>
      <c r="BQ853" s="71"/>
      <c r="BR853" s="71"/>
      <c r="BS853" s="71"/>
      <c r="BT853" s="71"/>
      <c r="BU853" s="71"/>
      <c r="BV853" s="71"/>
      <c r="BW853" s="71"/>
      <c r="BX853" s="71"/>
      <c r="BY853" s="71"/>
      <c r="BZ853" s="71"/>
      <c r="CA853" s="71"/>
      <c r="CB853" s="71"/>
      <c r="CC853" s="71"/>
      <c r="CD853" s="71"/>
      <c r="CE853" s="71"/>
      <c r="CF853" s="71"/>
      <c r="CG853" s="71"/>
      <c r="CH853" s="71"/>
      <c r="CI853" s="71"/>
      <c r="CJ853" s="71"/>
      <c r="CK853" s="71"/>
      <c r="CL853" s="71"/>
      <c r="CM853" s="71"/>
      <c r="CN853" s="71"/>
      <c r="CO853" s="71"/>
      <c r="CP853" s="71"/>
      <c r="CQ853" s="71"/>
      <c r="CR853" s="71"/>
      <c r="CS853" s="71"/>
      <c r="CT853" s="71"/>
      <c r="CU853" s="71"/>
      <c r="CV853" s="71"/>
      <c r="CW853" s="71"/>
      <c r="CX853" s="71"/>
      <c r="CY853" s="71"/>
      <c r="CZ853" s="71"/>
      <c r="DA853" s="71"/>
      <c r="DB853" s="71"/>
      <c r="DC853" s="71"/>
      <c r="DD853" s="71"/>
      <c r="DE853" s="71"/>
      <c r="DF853" s="71"/>
      <c r="DG853" s="71"/>
      <c r="DH853" s="71"/>
      <c r="DI853" s="71"/>
      <c r="DJ853" s="71"/>
      <c r="DK853" s="71"/>
      <c r="DL853" s="71"/>
      <c r="DM853" s="71"/>
      <c r="DN853" s="71"/>
      <c r="DO853" s="71"/>
      <c r="DP853" s="71"/>
      <c r="DQ853" s="71"/>
      <c r="DR853" s="71"/>
      <c r="DS853" s="71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  <c r="IJ853" s="71"/>
      <c r="IK853" s="71"/>
      <c r="IL853" s="71"/>
      <c r="IM853" s="71"/>
      <c r="IN853" s="71"/>
      <c r="IO853" s="71"/>
      <c r="IP853" s="71"/>
      <c r="IQ853" s="71"/>
      <c r="IR853" s="71"/>
      <c r="IS853" s="71"/>
      <c r="IT853" s="71"/>
      <c r="IU853" s="71"/>
      <c r="IV853" s="71"/>
      <c r="IW853" s="71"/>
    </row>
    <row r="854" customFormat="false" ht="12.75" hidden="false" customHeight="false" outlineLevel="0" collapsed="false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AZ854" s="71"/>
      <c r="BA854" s="71"/>
      <c r="BB854" s="71"/>
      <c r="BC854" s="71"/>
      <c r="BD854" s="71"/>
      <c r="BE854" s="71"/>
      <c r="BF854" s="71"/>
      <c r="BG854" s="71"/>
      <c r="BH854" s="71"/>
      <c r="BI854" s="71"/>
      <c r="BJ854" s="71"/>
      <c r="BK854" s="71"/>
      <c r="BL854" s="71"/>
      <c r="BM854" s="71"/>
      <c r="BN854" s="71"/>
      <c r="BO854" s="71"/>
      <c r="BP854" s="71"/>
      <c r="BQ854" s="71"/>
      <c r="BR854" s="71"/>
      <c r="BS854" s="71"/>
      <c r="BT854" s="71"/>
      <c r="BU854" s="71"/>
      <c r="BV854" s="71"/>
      <c r="BW854" s="71"/>
      <c r="BX854" s="71"/>
      <c r="BY854" s="71"/>
      <c r="BZ854" s="71"/>
      <c r="CA854" s="71"/>
      <c r="CB854" s="71"/>
      <c r="CC854" s="71"/>
      <c r="CD854" s="71"/>
      <c r="CE854" s="71"/>
      <c r="CF854" s="71"/>
      <c r="CG854" s="71"/>
      <c r="CH854" s="71"/>
      <c r="CI854" s="71"/>
      <c r="CJ854" s="71"/>
      <c r="CK854" s="71"/>
      <c r="CL854" s="71"/>
      <c r="CM854" s="71"/>
      <c r="CN854" s="71"/>
      <c r="CO854" s="71"/>
      <c r="CP854" s="71"/>
      <c r="CQ854" s="71"/>
      <c r="CR854" s="71"/>
      <c r="CS854" s="71"/>
      <c r="CT854" s="71"/>
      <c r="CU854" s="71"/>
      <c r="CV854" s="71"/>
      <c r="CW854" s="71"/>
      <c r="CX854" s="71"/>
      <c r="CY854" s="71"/>
      <c r="CZ854" s="71"/>
      <c r="DA854" s="71"/>
      <c r="DB854" s="71"/>
      <c r="DC854" s="71"/>
      <c r="DD854" s="71"/>
      <c r="DE854" s="71"/>
      <c r="DF854" s="71"/>
      <c r="DG854" s="71"/>
      <c r="DH854" s="71"/>
      <c r="DI854" s="71"/>
      <c r="DJ854" s="71"/>
      <c r="DK854" s="71"/>
      <c r="DL854" s="71"/>
      <c r="DM854" s="71"/>
      <c r="DN854" s="71"/>
      <c r="DO854" s="71"/>
      <c r="DP854" s="71"/>
      <c r="DQ854" s="71"/>
      <c r="DR854" s="71"/>
      <c r="DS854" s="71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  <c r="IJ854" s="71"/>
      <c r="IK854" s="71"/>
      <c r="IL854" s="71"/>
      <c r="IM854" s="71"/>
      <c r="IN854" s="71"/>
      <c r="IO854" s="71"/>
      <c r="IP854" s="71"/>
      <c r="IQ854" s="71"/>
      <c r="IR854" s="71"/>
      <c r="IS854" s="71"/>
      <c r="IT854" s="71"/>
      <c r="IU854" s="71"/>
      <c r="IV854" s="71"/>
      <c r="IW854" s="71"/>
    </row>
    <row r="855" customFormat="false" ht="12.75" hidden="false" customHeight="false" outlineLevel="0" collapsed="false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AZ855" s="71"/>
      <c r="BA855" s="71"/>
      <c r="BB855" s="71"/>
      <c r="BC855" s="71"/>
      <c r="BD855" s="71"/>
      <c r="BE855" s="71"/>
      <c r="BF855" s="71"/>
      <c r="BG855" s="71"/>
      <c r="BH855" s="71"/>
      <c r="BI855" s="71"/>
      <c r="BJ855" s="71"/>
      <c r="BK855" s="71"/>
      <c r="BL855" s="71"/>
      <c r="BM855" s="71"/>
      <c r="BN855" s="71"/>
      <c r="BO855" s="71"/>
      <c r="BP855" s="71"/>
      <c r="BQ855" s="71"/>
      <c r="BR855" s="71"/>
      <c r="BS855" s="71"/>
      <c r="BT855" s="71"/>
      <c r="BU855" s="71"/>
      <c r="BV855" s="71"/>
      <c r="BW855" s="71"/>
      <c r="BX855" s="71"/>
      <c r="BY855" s="71"/>
      <c r="BZ855" s="71"/>
      <c r="CA855" s="71"/>
      <c r="CB855" s="71"/>
      <c r="CC855" s="71"/>
      <c r="CD855" s="71"/>
      <c r="CE855" s="71"/>
      <c r="CF855" s="71"/>
      <c r="CG855" s="71"/>
      <c r="CH855" s="71"/>
      <c r="CI855" s="71"/>
      <c r="CJ855" s="71"/>
      <c r="CK855" s="71"/>
      <c r="CL855" s="71"/>
      <c r="CM855" s="71"/>
      <c r="CN855" s="71"/>
      <c r="CO855" s="71"/>
      <c r="CP855" s="71"/>
      <c r="CQ855" s="71"/>
      <c r="CR855" s="71"/>
      <c r="CS855" s="71"/>
      <c r="CT855" s="71"/>
      <c r="CU855" s="71"/>
      <c r="CV855" s="71"/>
      <c r="CW855" s="71"/>
      <c r="CX855" s="71"/>
      <c r="CY855" s="71"/>
      <c r="CZ855" s="71"/>
      <c r="DA855" s="71"/>
      <c r="DB855" s="71"/>
      <c r="DC855" s="71"/>
      <c r="DD855" s="71"/>
      <c r="DE855" s="71"/>
      <c r="DF855" s="71"/>
      <c r="DG855" s="71"/>
      <c r="DH855" s="71"/>
      <c r="DI855" s="71"/>
      <c r="DJ855" s="71"/>
      <c r="DK855" s="71"/>
      <c r="DL855" s="71"/>
      <c r="DM855" s="71"/>
      <c r="DN855" s="71"/>
      <c r="DO855" s="71"/>
      <c r="DP855" s="71"/>
      <c r="DQ855" s="71"/>
      <c r="DR855" s="71"/>
      <c r="DS855" s="71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  <c r="IJ855" s="71"/>
      <c r="IK855" s="71"/>
      <c r="IL855" s="71"/>
      <c r="IM855" s="71"/>
      <c r="IN855" s="71"/>
      <c r="IO855" s="71"/>
      <c r="IP855" s="71"/>
      <c r="IQ855" s="71"/>
      <c r="IR855" s="71"/>
      <c r="IS855" s="71"/>
      <c r="IT855" s="71"/>
      <c r="IU855" s="71"/>
      <c r="IV855" s="71"/>
      <c r="IW855" s="71"/>
    </row>
    <row r="856" customFormat="false" ht="12.75" hidden="false" customHeight="false" outlineLevel="0" collapsed="false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  <c r="BC856" s="71"/>
      <c r="BD856" s="71"/>
      <c r="BE856" s="71"/>
      <c r="BF856" s="71"/>
      <c r="BG856" s="71"/>
      <c r="BH856" s="71"/>
      <c r="BI856" s="71"/>
      <c r="BJ856" s="71"/>
      <c r="BK856" s="71"/>
      <c r="BL856" s="71"/>
      <c r="BM856" s="71"/>
      <c r="BN856" s="71"/>
      <c r="BO856" s="71"/>
      <c r="BP856" s="71"/>
      <c r="BQ856" s="71"/>
      <c r="BR856" s="71"/>
      <c r="BS856" s="71"/>
      <c r="BT856" s="71"/>
      <c r="BU856" s="71"/>
      <c r="BV856" s="71"/>
      <c r="BW856" s="71"/>
      <c r="BX856" s="71"/>
      <c r="BY856" s="71"/>
      <c r="BZ856" s="71"/>
      <c r="CA856" s="71"/>
      <c r="CB856" s="71"/>
      <c r="CC856" s="71"/>
      <c r="CD856" s="71"/>
      <c r="CE856" s="71"/>
      <c r="CF856" s="71"/>
      <c r="CG856" s="71"/>
      <c r="CH856" s="71"/>
      <c r="CI856" s="71"/>
      <c r="CJ856" s="71"/>
      <c r="CK856" s="71"/>
      <c r="CL856" s="71"/>
      <c r="CM856" s="71"/>
      <c r="CN856" s="71"/>
      <c r="CO856" s="71"/>
      <c r="CP856" s="71"/>
      <c r="CQ856" s="71"/>
      <c r="CR856" s="71"/>
      <c r="CS856" s="71"/>
      <c r="CT856" s="71"/>
      <c r="CU856" s="71"/>
      <c r="CV856" s="71"/>
      <c r="CW856" s="71"/>
      <c r="CX856" s="71"/>
      <c r="CY856" s="71"/>
      <c r="CZ856" s="71"/>
      <c r="DA856" s="71"/>
      <c r="DB856" s="71"/>
      <c r="DC856" s="71"/>
      <c r="DD856" s="71"/>
      <c r="DE856" s="71"/>
      <c r="DF856" s="71"/>
      <c r="DG856" s="71"/>
      <c r="DH856" s="71"/>
      <c r="DI856" s="71"/>
      <c r="DJ856" s="71"/>
      <c r="DK856" s="71"/>
      <c r="DL856" s="71"/>
      <c r="DM856" s="71"/>
      <c r="DN856" s="71"/>
      <c r="DO856" s="71"/>
      <c r="DP856" s="71"/>
      <c r="DQ856" s="71"/>
      <c r="DR856" s="71"/>
      <c r="DS856" s="71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  <c r="IJ856" s="71"/>
      <c r="IK856" s="71"/>
      <c r="IL856" s="71"/>
      <c r="IM856" s="71"/>
      <c r="IN856" s="71"/>
      <c r="IO856" s="71"/>
      <c r="IP856" s="71"/>
      <c r="IQ856" s="71"/>
      <c r="IR856" s="71"/>
      <c r="IS856" s="71"/>
      <c r="IT856" s="71"/>
      <c r="IU856" s="71"/>
      <c r="IV856" s="71"/>
      <c r="IW856" s="71"/>
    </row>
    <row r="857" customFormat="false" ht="12.75" hidden="false" customHeight="false" outlineLevel="0" collapsed="false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AZ857" s="71"/>
      <c r="BA857" s="71"/>
      <c r="BB857" s="71"/>
      <c r="BC857" s="71"/>
      <c r="BD857" s="71"/>
      <c r="BE857" s="71"/>
      <c r="BF857" s="71"/>
      <c r="BG857" s="71"/>
      <c r="BH857" s="71"/>
      <c r="BI857" s="71"/>
      <c r="BJ857" s="71"/>
      <c r="BK857" s="71"/>
      <c r="BL857" s="71"/>
      <c r="BM857" s="71"/>
      <c r="BN857" s="71"/>
      <c r="BO857" s="71"/>
      <c r="BP857" s="71"/>
      <c r="BQ857" s="71"/>
      <c r="BR857" s="71"/>
      <c r="BS857" s="71"/>
      <c r="BT857" s="71"/>
      <c r="BU857" s="71"/>
      <c r="BV857" s="71"/>
      <c r="BW857" s="71"/>
      <c r="BX857" s="71"/>
      <c r="BY857" s="71"/>
      <c r="BZ857" s="71"/>
      <c r="CA857" s="71"/>
      <c r="CB857" s="71"/>
      <c r="CC857" s="71"/>
      <c r="CD857" s="71"/>
      <c r="CE857" s="71"/>
      <c r="CF857" s="71"/>
      <c r="CG857" s="71"/>
      <c r="CH857" s="71"/>
      <c r="CI857" s="71"/>
      <c r="CJ857" s="71"/>
      <c r="CK857" s="71"/>
      <c r="CL857" s="71"/>
      <c r="CM857" s="71"/>
      <c r="CN857" s="71"/>
      <c r="CO857" s="71"/>
      <c r="CP857" s="71"/>
      <c r="CQ857" s="71"/>
      <c r="CR857" s="71"/>
      <c r="CS857" s="71"/>
      <c r="CT857" s="71"/>
      <c r="CU857" s="71"/>
      <c r="CV857" s="71"/>
      <c r="CW857" s="71"/>
      <c r="CX857" s="71"/>
      <c r="CY857" s="71"/>
      <c r="CZ857" s="71"/>
      <c r="DA857" s="71"/>
      <c r="DB857" s="71"/>
      <c r="DC857" s="71"/>
      <c r="DD857" s="71"/>
      <c r="DE857" s="71"/>
      <c r="DF857" s="71"/>
      <c r="DG857" s="71"/>
      <c r="DH857" s="71"/>
      <c r="DI857" s="71"/>
      <c r="DJ857" s="71"/>
      <c r="DK857" s="71"/>
      <c r="DL857" s="71"/>
      <c r="DM857" s="71"/>
      <c r="DN857" s="71"/>
      <c r="DO857" s="71"/>
      <c r="DP857" s="71"/>
      <c r="DQ857" s="71"/>
      <c r="DR857" s="71"/>
      <c r="DS857" s="71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  <c r="IJ857" s="71"/>
      <c r="IK857" s="71"/>
      <c r="IL857" s="71"/>
      <c r="IM857" s="71"/>
      <c r="IN857" s="71"/>
      <c r="IO857" s="71"/>
      <c r="IP857" s="71"/>
      <c r="IQ857" s="71"/>
      <c r="IR857" s="71"/>
      <c r="IS857" s="71"/>
      <c r="IT857" s="71"/>
      <c r="IU857" s="71"/>
      <c r="IV857" s="71"/>
      <c r="IW857" s="71"/>
    </row>
    <row r="858" customFormat="false" ht="12.75" hidden="false" customHeight="false" outlineLevel="0" collapsed="false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AZ858" s="71"/>
      <c r="BA858" s="71"/>
      <c r="BB858" s="71"/>
      <c r="BC858" s="71"/>
      <c r="BD858" s="71"/>
      <c r="BE858" s="71"/>
      <c r="BF858" s="71"/>
      <c r="BG858" s="71"/>
      <c r="BH858" s="71"/>
      <c r="BI858" s="71"/>
      <c r="BJ858" s="71"/>
      <c r="BK858" s="71"/>
      <c r="BL858" s="71"/>
      <c r="BM858" s="71"/>
      <c r="BN858" s="71"/>
      <c r="BO858" s="71"/>
      <c r="BP858" s="71"/>
      <c r="BQ858" s="71"/>
      <c r="BR858" s="71"/>
      <c r="BS858" s="71"/>
      <c r="BT858" s="71"/>
      <c r="BU858" s="71"/>
      <c r="BV858" s="71"/>
      <c r="BW858" s="71"/>
      <c r="BX858" s="71"/>
      <c r="BY858" s="71"/>
      <c r="BZ858" s="71"/>
      <c r="CA858" s="71"/>
      <c r="CB858" s="71"/>
      <c r="CC858" s="71"/>
      <c r="CD858" s="71"/>
      <c r="CE858" s="71"/>
      <c r="CF858" s="71"/>
      <c r="CG858" s="71"/>
      <c r="CH858" s="71"/>
      <c r="CI858" s="71"/>
      <c r="CJ858" s="71"/>
      <c r="CK858" s="71"/>
      <c r="CL858" s="71"/>
      <c r="CM858" s="71"/>
      <c r="CN858" s="71"/>
      <c r="CO858" s="71"/>
      <c r="CP858" s="71"/>
      <c r="CQ858" s="71"/>
      <c r="CR858" s="71"/>
      <c r="CS858" s="71"/>
      <c r="CT858" s="71"/>
      <c r="CU858" s="71"/>
      <c r="CV858" s="71"/>
      <c r="CW858" s="71"/>
      <c r="CX858" s="71"/>
      <c r="CY858" s="71"/>
      <c r="CZ858" s="71"/>
      <c r="DA858" s="71"/>
      <c r="DB858" s="71"/>
      <c r="DC858" s="71"/>
      <c r="DD858" s="71"/>
      <c r="DE858" s="71"/>
      <c r="DF858" s="71"/>
      <c r="DG858" s="71"/>
      <c r="DH858" s="71"/>
      <c r="DI858" s="71"/>
      <c r="DJ858" s="71"/>
      <c r="DK858" s="71"/>
      <c r="DL858" s="71"/>
      <c r="DM858" s="71"/>
      <c r="DN858" s="71"/>
      <c r="DO858" s="71"/>
      <c r="DP858" s="71"/>
      <c r="DQ858" s="71"/>
      <c r="DR858" s="71"/>
      <c r="DS858" s="71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  <c r="IJ858" s="71"/>
      <c r="IK858" s="71"/>
      <c r="IL858" s="71"/>
      <c r="IM858" s="71"/>
      <c r="IN858" s="71"/>
      <c r="IO858" s="71"/>
      <c r="IP858" s="71"/>
      <c r="IQ858" s="71"/>
      <c r="IR858" s="71"/>
      <c r="IS858" s="71"/>
      <c r="IT858" s="71"/>
      <c r="IU858" s="71"/>
      <c r="IV858" s="71"/>
      <c r="IW858" s="71"/>
    </row>
    <row r="859" customFormat="false" ht="12.75" hidden="false" customHeight="false" outlineLevel="0" collapsed="false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  <c r="BC859" s="71"/>
      <c r="BD859" s="71"/>
      <c r="BE859" s="71"/>
      <c r="BF859" s="71"/>
      <c r="BG859" s="71"/>
      <c r="BH859" s="71"/>
      <c r="BI859" s="71"/>
      <c r="BJ859" s="71"/>
      <c r="BK859" s="71"/>
      <c r="BL859" s="71"/>
      <c r="BM859" s="71"/>
      <c r="BN859" s="71"/>
      <c r="BO859" s="71"/>
      <c r="BP859" s="71"/>
      <c r="BQ859" s="71"/>
      <c r="BR859" s="71"/>
      <c r="BS859" s="71"/>
      <c r="BT859" s="71"/>
      <c r="BU859" s="71"/>
      <c r="BV859" s="71"/>
      <c r="BW859" s="71"/>
      <c r="BX859" s="71"/>
      <c r="BY859" s="71"/>
      <c r="BZ859" s="71"/>
      <c r="CA859" s="71"/>
      <c r="CB859" s="71"/>
      <c r="CC859" s="71"/>
      <c r="CD859" s="71"/>
      <c r="CE859" s="71"/>
      <c r="CF859" s="71"/>
      <c r="CG859" s="71"/>
      <c r="CH859" s="71"/>
      <c r="CI859" s="71"/>
      <c r="CJ859" s="71"/>
      <c r="CK859" s="71"/>
      <c r="CL859" s="71"/>
      <c r="CM859" s="71"/>
      <c r="CN859" s="71"/>
      <c r="CO859" s="71"/>
      <c r="CP859" s="71"/>
      <c r="CQ859" s="71"/>
      <c r="CR859" s="71"/>
      <c r="CS859" s="71"/>
      <c r="CT859" s="71"/>
      <c r="CU859" s="71"/>
      <c r="CV859" s="71"/>
      <c r="CW859" s="71"/>
      <c r="CX859" s="71"/>
      <c r="CY859" s="71"/>
      <c r="CZ859" s="71"/>
      <c r="DA859" s="71"/>
      <c r="DB859" s="71"/>
      <c r="DC859" s="71"/>
      <c r="DD859" s="71"/>
      <c r="DE859" s="71"/>
      <c r="DF859" s="71"/>
      <c r="DG859" s="71"/>
      <c r="DH859" s="71"/>
      <c r="DI859" s="71"/>
      <c r="DJ859" s="71"/>
      <c r="DK859" s="71"/>
      <c r="DL859" s="71"/>
      <c r="DM859" s="71"/>
      <c r="DN859" s="71"/>
      <c r="DO859" s="71"/>
      <c r="DP859" s="71"/>
      <c r="DQ859" s="71"/>
      <c r="DR859" s="71"/>
      <c r="DS859" s="71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  <c r="IJ859" s="71"/>
      <c r="IK859" s="71"/>
      <c r="IL859" s="71"/>
      <c r="IM859" s="71"/>
      <c r="IN859" s="71"/>
      <c r="IO859" s="71"/>
      <c r="IP859" s="71"/>
      <c r="IQ859" s="71"/>
      <c r="IR859" s="71"/>
      <c r="IS859" s="71"/>
      <c r="IT859" s="71"/>
      <c r="IU859" s="71"/>
      <c r="IV859" s="71"/>
      <c r="IW859" s="71"/>
    </row>
    <row r="860" customFormat="false" ht="12.75" hidden="false" customHeight="false" outlineLevel="0" collapsed="false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AZ860" s="71"/>
      <c r="BA860" s="71"/>
      <c r="BB860" s="71"/>
      <c r="BC860" s="71"/>
      <c r="BD860" s="71"/>
      <c r="BE860" s="71"/>
      <c r="BF860" s="71"/>
      <c r="BG860" s="71"/>
      <c r="BH860" s="71"/>
      <c r="BI860" s="71"/>
      <c r="BJ860" s="71"/>
      <c r="BK860" s="71"/>
      <c r="BL860" s="71"/>
      <c r="BM860" s="71"/>
      <c r="BN860" s="71"/>
      <c r="BO860" s="71"/>
      <c r="BP860" s="71"/>
      <c r="BQ860" s="71"/>
      <c r="BR860" s="71"/>
      <c r="BS860" s="71"/>
      <c r="BT860" s="71"/>
      <c r="BU860" s="71"/>
      <c r="BV860" s="71"/>
      <c r="BW860" s="71"/>
      <c r="BX860" s="71"/>
      <c r="BY860" s="71"/>
      <c r="BZ860" s="71"/>
      <c r="CA860" s="71"/>
      <c r="CB860" s="71"/>
      <c r="CC860" s="71"/>
      <c r="CD860" s="71"/>
      <c r="CE860" s="71"/>
      <c r="CF860" s="71"/>
      <c r="CG860" s="71"/>
      <c r="CH860" s="71"/>
      <c r="CI860" s="71"/>
      <c r="CJ860" s="71"/>
      <c r="CK860" s="71"/>
      <c r="CL860" s="71"/>
      <c r="CM860" s="71"/>
      <c r="CN860" s="71"/>
      <c r="CO860" s="71"/>
      <c r="CP860" s="71"/>
      <c r="CQ860" s="71"/>
      <c r="CR860" s="71"/>
      <c r="CS860" s="71"/>
      <c r="CT860" s="71"/>
      <c r="CU860" s="71"/>
      <c r="CV860" s="71"/>
      <c r="CW860" s="71"/>
      <c r="CX860" s="71"/>
      <c r="CY860" s="71"/>
      <c r="CZ860" s="71"/>
      <c r="DA860" s="71"/>
      <c r="DB860" s="71"/>
      <c r="DC860" s="71"/>
      <c r="DD860" s="71"/>
      <c r="DE860" s="71"/>
      <c r="DF860" s="71"/>
      <c r="DG860" s="71"/>
      <c r="DH860" s="71"/>
      <c r="DI860" s="71"/>
      <c r="DJ860" s="71"/>
      <c r="DK860" s="71"/>
      <c r="DL860" s="71"/>
      <c r="DM860" s="71"/>
      <c r="DN860" s="71"/>
      <c r="DO860" s="71"/>
      <c r="DP860" s="71"/>
      <c r="DQ860" s="71"/>
      <c r="DR860" s="71"/>
      <c r="DS860" s="71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  <c r="IJ860" s="71"/>
      <c r="IK860" s="71"/>
      <c r="IL860" s="71"/>
      <c r="IM860" s="71"/>
      <c r="IN860" s="71"/>
      <c r="IO860" s="71"/>
      <c r="IP860" s="71"/>
      <c r="IQ860" s="71"/>
      <c r="IR860" s="71"/>
      <c r="IS860" s="71"/>
      <c r="IT860" s="71"/>
      <c r="IU860" s="71"/>
      <c r="IV860" s="71"/>
      <c r="IW860" s="71"/>
    </row>
    <row r="861" customFormat="false" ht="12.75" hidden="false" customHeight="false" outlineLevel="0" collapsed="false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  <c r="BC861" s="71"/>
      <c r="BD861" s="71"/>
      <c r="BE861" s="71"/>
      <c r="BF861" s="71"/>
      <c r="BG861" s="71"/>
      <c r="BH861" s="71"/>
      <c r="BI861" s="71"/>
      <c r="BJ861" s="71"/>
      <c r="BK861" s="71"/>
      <c r="BL861" s="71"/>
      <c r="BM861" s="71"/>
      <c r="BN861" s="71"/>
      <c r="BO861" s="71"/>
      <c r="BP861" s="71"/>
      <c r="BQ861" s="71"/>
      <c r="BR861" s="71"/>
      <c r="BS861" s="71"/>
      <c r="BT861" s="71"/>
      <c r="BU861" s="71"/>
      <c r="BV861" s="71"/>
      <c r="BW861" s="71"/>
      <c r="BX861" s="71"/>
      <c r="BY861" s="71"/>
      <c r="BZ861" s="71"/>
      <c r="CA861" s="71"/>
      <c r="CB861" s="71"/>
      <c r="CC861" s="71"/>
      <c r="CD861" s="71"/>
      <c r="CE861" s="71"/>
      <c r="CF861" s="71"/>
      <c r="CG861" s="71"/>
      <c r="CH861" s="71"/>
      <c r="CI861" s="71"/>
      <c r="CJ861" s="71"/>
      <c r="CK861" s="71"/>
      <c r="CL861" s="71"/>
      <c r="CM861" s="71"/>
      <c r="CN861" s="71"/>
      <c r="CO861" s="71"/>
      <c r="CP861" s="71"/>
      <c r="CQ861" s="71"/>
      <c r="CR861" s="71"/>
      <c r="CS861" s="71"/>
      <c r="CT861" s="71"/>
      <c r="CU861" s="71"/>
      <c r="CV861" s="71"/>
      <c r="CW861" s="71"/>
      <c r="CX861" s="71"/>
      <c r="CY861" s="71"/>
      <c r="CZ861" s="71"/>
      <c r="DA861" s="71"/>
      <c r="DB861" s="71"/>
      <c r="DC861" s="71"/>
      <c r="DD861" s="71"/>
      <c r="DE861" s="71"/>
      <c r="DF861" s="71"/>
      <c r="DG861" s="71"/>
      <c r="DH861" s="71"/>
      <c r="DI861" s="71"/>
      <c r="DJ861" s="71"/>
      <c r="DK861" s="71"/>
      <c r="DL861" s="71"/>
      <c r="DM861" s="71"/>
      <c r="DN861" s="71"/>
      <c r="DO861" s="71"/>
      <c r="DP861" s="71"/>
      <c r="DQ861" s="71"/>
      <c r="DR861" s="71"/>
      <c r="DS861" s="71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  <c r="IJ861" s="71"/>
      <c r="IK861" s="71"/>
      <c r="IL861" s="71"/>
      <c r="IM861" s="71"/>
      <c r="IN861" s="71"/>
      <c r="IO861" s="71"/>
      <c r="IP861" s="71"/>
      <c r="IQ861" s="71"/>
      <c r="IR861" s="71"/>
      <c r="IS861" s="71"/>
      <c r="IT861" s="71"/>
      <c r="IU861" s="71"/>
      <c r="IV861" s="71"/>
      <c r="IW861" s="71"/>
    </row>
    <row r="862" customFormat="false" ht="12.75" hidden="false" customHeight="false" outlineLevel="0" collapsed="false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  <c r="BC862" s="71"/>
      <c r="BD862" s="71"/>
      <c r="BE862" s="71"/>
      <c r="BF862" s="71"/>
      <c r="BG862" s="71"/>
      <c r="BH862" s="71"/>
      <c r="BI862" s="71"/>
      <c r="BJ862" s="71"/>
      <c r="BK862" s="71"/>
      <c r="BL862" s="71"/>
      <c r="BM862" s="71"/>
      <c r="BN862" s="71"/>
      <c r="BO862" s="71"/>
      <c r="BP862" s="71"/>
      <c r="BQ862" s="71"/>
      <c r="BR862" s="71"/>
      <c r="BS862" s="71"/>
      <c r="BT862" s="71"/>
      <c r="BU862" s="71"/>
      <c r="BV862" s="71"/>
      <c r="BW862" s="71"/>
      <c r="BX862" s="71"/>
      <c r="BY862" s="71"/>
      <c r="BZ862" s="71"/>
      <c r="CA862" s="71"/>
      <c r="CB862" s="71"/>
      <c r="CC862" s="71"/>
      <c r="CD862" s="71"/>
      <c r="CE862" s="71"/>
      <c r="CF862" s="71"/>
      <c r="CG862" s="71"/>
      <c r="CH862" s="71"/>
      <c r="CI862" s="71"/>
      <c r="CJ862" s="71"/>
      <c r="CK862" s="71"/>
      <c r="CL862" s="71"/>
      <c r="CM862" s="71"/>
      <c r="CN862" s="71"/>
      <c r="CO862" s="71"/>
      <c r="CP862" s="71"/>
      <c r="CQ862" s="71"/>
      <c r="CR862" s="71"/>
      <c r="CS862" s="71"/>
      <c r="CT862" s="71"/>
      <c r="CU862" s="71"/>
      <c r="CV862" s="71"/>
      <c r="CW862" s="71"/>
      <c r="CX862" s="71"/>
      <c r="CY862" s="71"/>
      <c r="CZ862" s="71"/>
      <c r="DA862" s="71"/>
      <c r="DB862" s="71"/>
      <c r="DC862" s="71"/>
      <c r="DD862" s="71"/>
      <c r="DE862" s="71"/>
      <c r="DF862" s="71"/>
      <c r="DG862" s="71"/>
      <c r="DH862" s="71"/>
      <c r="DI862" s="71"/>
      <c r="DJ862" s="71"/>
      <c r="DK862" s="71"/>
      <c r="DL862" s="71"/>
      <c r="DM862" s="71"/>
      <c r="DN862" s="71"/>
      <c r="DO862" s="71"/>
      <c r="DP862" s="71"/>
      <c r="DQ862" s="71"/>
      <c r="DR862" s="71"/>
      <c r="DS862" s="71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  <c r="IJ862" s="71"/>
      <c r="IK862" s="71"/>
      <c r="IL862" s="71"/>
      <c r="IM862" s="71"/>
      <c r="IN862" s="71"/>
      <c r="IO862" s="71"/>
      <c r="IP862" s="71"/>
      <c r="IQ862" s="71"/>
      <c r="IR862" s="71"/>
      <c r="IS862" s="71"/>
      <c r="IT862" s="71"/>
      <c r="IU862" s="71"/>
      <c r="IV862" s="71"/>
      <c r="IW862" s="71"/>
    </row>
    <row r="863" customFormat="false" ht="12.75" hidden="false" customHeight="false" outlineLevel="0" collapsed="false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AZ863" s="71"/>
      <c r="BA863" s="71"/>
      <c r="BB863" s="71"/>
      <c r="BC863" s="71"/>
      <c r="BD863" s="71"/>
      <c r="BE863" s="71"/>
      <c r="BF863" s="71"/>
      <c r="BG863" s="71"/>
      <c r="BH863" s="71"/>
      <c r="BI863" s="71"/>
      <c r="BJ863" s="71"/>
      <c r="BK863" s="71"/>
      <c r="BL863" s="71"/>
      <c r="BM863" s="71"/>
      <c r="BN863" s="71"/>
      <c r="BO863" s="71"/>
      <c r="BP863" s="71"/>
      <c r="BQ863" s="71"/>
      <c r="BR863" s="71"/>
      <c r="BS863" s="71"/>
      <c r="BT863" s="71"/>
      <c r="BU863" s="71"/>
      <c r="BV863" s="71"/>
      <c r="BW863" s="71"/>
      <c r="BX863" s="71"/>
      <c r="BY863" s="71"/>
      <c r="BZ863" s="71"/>
      <c r="CA863" s="71"/>
      <c r="CB863" s="71"/>
      <c r="CC863" s="71"/>
      <c r="CD863" s="71"/>
      <c r="CE863" s="71"/>
      <c r="CF863" s="71"/>
      <c r="CG863" s="71"/>
      <c r="CH863" s="71"/>
      <c r="CI863" s="71"/>
      <c r="CJ863" s="71"/>
      <c r="CK863" s="71"/>
      <c r="CL863" s="71"/>
      <c r="CM863" s="71"/>
      <c r="CN863" s="71"/>
      <c r="CO863" s="71"/>
      <c r="CP863" s="71"/>
      <c r="CQ863" s="71"/>
      <c r="CR863" s="71"/>
      <c r="CS863" s="71"/>
      <c r="CT863" s="71"/>
      <c r="CU863" s="71"/>
      <c r="CV863" s="71"/>
      <c r="CW863" s="71"/>
      <c r="CX863" s="71"/>
      <c r="CY863" s="71"/>
      <c r="CZ863" s="71"/>
      <c r="DA863" s="71"/>
      <c r="DB863" s="71"/>
      <c r="DC863" s="71"/>
      <c r="DD863" s="71"/>
      <c r="DE863" s="71"/>
      <c r="DF863" s="71"/>
      <c r="DG863" s="71"/>
      <c r="DH863" s="71"/>
      <c r="DI863" s="71"/>
      <c r="DJ863" s="71"/>
      <c r="DK863" s="71"/>
      <c r="DL863" s="71"/>
      <c r="DM863" s="71"/>
      <c r="DN863" s="71"/>
      <c r="DO863" s="71"/>
      <c r="DP863" s="71"/>
      <c r="DQ863" s="71"/>
      <c r="DR863" s="71"/>
      <c r="DS863" s="71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  <c r="IJ863" s="71"/>
      <c r="IK863" s="71"/>
      <c r="IL863" s="71"/>
      <c r="IM863" s="71"/>
      <c r="IN863" s="71"/>
      <c r="IO863" s="71"/>
      <c r="IP863" s="71"/>
      <c r="IQ863" s="71"/>
      <c r="IR863" s="71"/>
      <c r="IS863" s="71"/>
      <c r="IT863" s="71"/>
      <c r="IU863" s="71"/>
      <c r="IV863" s="71"/>
      <c r="IW863" s="71"/>
    </row>
    <row r="864" customFormat="false" ht="12.75" hidden="false" customHeight="false" outlineLevel="0" collapsed="false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  <c r="BC864" s="71"/>
      <c r="BD864" s="71"/>
      <c r="BE864" s="71"/>
      <c r="BF864" s="71"/>
      <c r="BG864" s="71"/>
      <c r="BH864" s="71"/>
      <c r="BI864" s="71"/>
      <c r="BJ864" s="71"/>
      <c r="BK864" s="71"/>
      <c r="BL864" s="71"/>
      <c r="BM864" s="71"/>
      <c r="BN864" s="71"/>
      <c r="BO864" s="71"/>
      <c r="BP864" s="71"/>
      <c r="BQ864" s="71"/>
      <c r="BR864" s="71"/>
      <c r="BS864" s="71"/>
      <c r="BT864" s="71"/>
      <c r="BU864" s="71"/>
      <c r="BV864" s="71"/>
      <c r="BW864" s="71"/>
      <c r="BX864" s="71"/>
      <c r="BY864" s="71"/>
      <c r="BZ864" s="71"/>
      <c r="CA864" s="71"/>
      <c r="CB864" s="71"/>
      <c r="CC864" s="71"/>
      <c r="CD864" s="71"/>
      <c r="CE864" s="71"/>
      <c r="CF864" s="71"/>
      <c r="CG864" s="71"/>
      <c r="CH864" s="71"/>
      <c r="CI864" s="71"/>
      <c r="CJ864" s="71"/>
      <c r="CK864" s="71"/>
      <c r="CL864" s="71"/>
      <c r="CM864" s="71"/>
      <c r="CN864" s="71"/>
      <c r="CO864" s="71"/>
      <c r="CP864" s="71"/>
      <c r="CQ864" s="71"/>
      <c r="CR864" s="71"/>
      <c r="CS864" s="71"/>
      <c r="CT864" s="71"/>
      <c r="CU864" s="71"/>
      <c r="CV864" s="71"/>
      <c r="CW864" s="71"/>
      <c r="CX864" s="71"/>
      <c r="CY864" s="71"/>
      <c r="CZ864" s="71"/>
      <c r="DA864" s="71"/>
      <c r="DB864" s="71"/>
      <c r="DC864" s="71"/>
      <c r="DD864" s="71"/>
      <c r="DE864" s="71"/>
      <c r="DF864" s="71"/>
      <c r="DG864" s="71"/>
      <c r="DH864" s="71"/>
      <c r="DI864" s="71"/>
      <c r="DJ864" s="71"/>
      <c r="DK864" s="71"/>
      <c r="DL864" s="71"/>
      <c r="DM864" s="71"/>
      <c r="DN864" s="71"/>
      <c r="DO864" s="71"/>
      <c r="DP864" s="71"/>
      <c r="DQ864" s="71"/>
      <c r="DR864" s="71"/>
      <c r="DS864" s="71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  <c r="IJ864" s="71"/>
      <c r="IK864" s="71"/>
      <c r="IL864" s="71"/>
      <c r="IM864" s="71"/>
      <c r="IN864" s="71"/>
      <c r="IO864" s="71"/>
      <c r="IP864" s="71"/>
      <c r="IQ864" s="71"/>
      <c r="IR864" s="71"/>
      <c r="IS864" s="71"/>
      <c r="IT864" s="71"/>
      <c r="IU864" s="71"/>
      <c r="IV864" s="71"/>
      <c r="IW864" s="71"/>
    </row>
    <row r="865" customFormat="false" ht="12.75" hidden="false" customHeight="false" outlineLevel="0" collapsed="false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  <c r="BC865" s="71"/>
      <c r="BD865" s="71"/>
      <c r="BE865" s="71"/>
      <c r="BF865" s="71"/>
      <c r="BG865" s="71"/>
      <c r="BH865" s="71"/>
      <c r="BI865" s="71"/>
      <c r="BJ865" s="71"/>
      <c r="BK865" s="71"/>
      <c r="BL865" s="71"/>
      <c r="BM865" s="71"/>
      <c r="BN865" s="71"/>
      <c r="BO865" s="71"/>
      <c r="BP865" s="71"/>
      <c r="BQ865" s="71"/>
      <c r="BR865" s="71"/>
      <c r="BS865" s="71"/>
      <c r="BT865" s="71"/>
      <c r="BU865" s="71"/>
      <c r="BV865" s="71"/>
      <c r="BW865" s="71"/>
      <c r="BX865" s="71"/>
      <c r="BY865" s="71"/>
      <c r="BZ865" s="71"/>
      <c r="CA865" s="71"/>
      <c r="CB865" s="71"/>
      <c r="CC865" s="71"/>
      <c r="CD865" s="71"/>
      <c r="CE865" s="71"/>
      <c r="CF865" s="71"/>
      <c r="CG865" s="71"/>
      <c r="CH865" s="71"/>
      <c r="CI865" s="71"/>
      <c r="CJ865" s="71"/>
      <c r="CK865" s="71"/>
      <c r="CL865" s="71"/>
      <c r="CM865" s="71"/>
      <c r="CN865" s="71"/>
      <c r="CO865" s="71"/>
      <c r="CP865" s="71"/>
      <c r="CQ865" s="71"/>
      <c r="CR865" s="71"/>
      <c r="CS865" s="71"/>
      <c r="CT865" s="71"/>
      <c r="CU865" s="71"/>
      <c r="CV865" s="71"/>
      <c r="CW865" s="71"/>
      <c r="CX865" s="71"/>
      <c r="CY865" s="71"/>
      <c r="CZ865" s="71"/>
      <c r="DA865" s="71"/>
      <c r="DB865" s="71"/>
      <c r="DC865" s="71"/>
      <c r="DD865" s="71"/>
      <c r="DE865" s="71"/>
      <c r="DF865" s="71"/>
      <c r="DG865" s="71"/>
      <c r="DH865" s="71"/>
      <c r="DI865" s="71"/>
      <c r="DJ865" s="71"/>
      <c r="DK865" s="71"/>
      <c r="DL865" s="71"/>
      <c r="DM865" s="71"/>
      <c r="DN865" s="71"/>
      <c r="DO865" s="71"/>
      <c r="DP865" s="71"/>
      <c r="DQ865" s="71"/>
      <c r="DR865" s="71"/>
      <c r="DS865" s="71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  <c r="IJ865" s="71"/>
      <c r="IK865" s="71"/>
      <c r="IL865" s="71"/>
      <c r="IM865" s="71"/>
      <c r="IN865" s="71"/>
      <c r="IO865" s="71"/>
      <c r="IP865" s="71"/>
      <c r="IQ865" s="71"/>
      <c r="IR865" s="71"/>
      <c r="IS865" s="71"/>
      <c r="IT865" s="71"/>
      <c r="IU865" s="71"/>
      <c r="IV865" s="71"/>
      <c r="IW865" s="71"/>
    </row>
    <row r="866" customFormat="false" ht="12.75" hidden="false" customHeight="false" outlineLevel="0" collapsed="false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AZ866" s="71"/>
      <c r="BA866" s="71"/>
      <c r="BB866" s="71"/>
      <c r="BC866" s="71"/>
      <c r="BD866" s="71"/>
      <c r="BE866" s="71"/>
      <c r="BF866" s="71"/>
      <c r="BG866" s="71"/>
      <c r="BH866" s="71"/>
      <c r="BI866" s="71"/>
      <c r="BJ866" s="71"/>
      <c r="BK866" s="71"/>
      <c r="BL866" s="71"/>
      <c r="BM866" s="71"/>
      <c r="BN866" s="71"/>
      <c r="BO866" s="71"/>
      <c r="BP866" s="71"/>
      <c r="BQ866" s="71"/>
      <c r="BR866" s="71"/>
      <c r="BS866" s="71"/>
      <c r="BT866" s="71"/>
      <c r="BU866" s="71"/>
      <c r="BV866" s="71"/>
      <c r="BW866" s="71"/>
      <c r="BX866" s="71"/>
      <c r="BY866" s="71"/>
      <c r="BZ866" s="71"/>
      <c r="CA866" s="71"/>
      <c r="CB866" s="71"/>
      <c r="CC866" s="71"/>
      <c r="CD866" s="71"/>
      <c r="CE866" s="71"/>
      <c r="CF866" s="71"/>
      <c r="CG866" s="71"/>
      <c r="CH866" s="71"/>
      <c r="CI866" s="71"/>
      <c r="CJ866" s="71"/>
      <c r="CK866" s="71"/>
      <c r="CL866" s="71"/>
      <c r="CM866" s="71"/>
      <c r="CN866" s="71"/>
      <c r="CO866" s="71"/>
      <c r="CP866" s="71"/>
      <c r="CQ866" s="71"/>
      <c r="CR866" s="71"/>
      <c r="CS866" s="71"/>
      <c r="CT866" s="71"/>
      <c r="CU866" s="71"/>
      <c r="CV866" s="71"/>
      <c r="CW866" s="71"/>
      <c r="CX866" s="71"/>
      <c r="CY866" s="71"/>
      <c r="CZ866" s="71"/>
      <c r="DA866" s="71"/>
      <c r="DB866" s="71"/>
      <c r="DC866" s="71"/>
      <c r="DD866" s="71"/>
      <c r="DE866" s="71"/>
      <c r="DF866" s="71"/>
      <c r="DG866" s="71"/>
      <c r="DH866" s="71"/>
      <c r="DI866" s="71"/>
      <c r="DJ866" s="71"/>
      <c r="DK866" s="71"/>
      <c r="DL866" s="71"/>
      <c r="DM866" s="71"/>
      <c r="DN866" s="71"/>
      <c r="DO866" s="71"/>
      <c r="DP866" s="71"/>
      <c r="DQ866" s="71"/>
      <c r="DR866" s="71"/>
      <c r="DS866" s="71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  <c r="IJ866" s="71"/>
      <c r="IK866" s="71"/>
      <c r="IL866" s="71"/>
      <c r="IM866" s="71"/>
      <c r="IN866" s="71"/>
      <c r="IO866" s="71"/>
      <c r="IP866" s="71"/>
      <c r="IQ866" s="71"/>
      <c r="IR866" s="71"/>
      <c r="IS866" s="71"/>
      <c r="IT866" s="71"/>
      <c r="IU866" s="71"/>
      <c r="IV866" s="71"/>
      <c r="IW866" s="71"/>
    </row>
    <row r="867" customFormat="false" ht="12.75" hidden="false" customHeight="false" outlineLevel="0" collapsed="false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AZ867" s="71"/>
      <c r="BA867" s="71"/>
      <c r="BB867" s="71"/>
      <c r="BC867" s="71"/>
      <c r="BD867" s="71"/>
      <c r="BE867" s="71"/>
      <c r="BF867" s="71"/>
      <c r="BG867" s="71"/>
      <c r="BH867" s="71"/>
      <c r="BI867" s="71"/>
      <c r="BJ867" s="71"/>
      <c r="BK867" s="71"/>
      <c r="BL867" s="71"/>
      <c r="BM867" s="71"/>
      <c r="BN867" s="71"/>
      <c r="BO867" s="71"/>
      <c r="BP867" s="71"/>
      <c r="BQ867" s="71"/>
      <c r="BR867" s="71"/>
      <c r="BS867" s="71"/>
      <c r="BT867" s="71"/>
      <c r="BU867" s="71"/>
      <c r="BV867" s="71"/>
      <c r="BW867" s="71"/>
      <c r="BX867" s="71"/>
      <c r="BY867" s="71"/>
      <c r="BZ867" s="71"/>
      <c r="CA867" s="71"/>
      <c r="CB867" s="71"/>
      <c r="CC867" s="71"/>
      <c r="CD867" s="71"/>
      <c r="CE867" s="71"/>
      <c r="CF867" s="71"/>
      <c r="CG867" s="71"/>
      <c r="CH867" s="71"/>
      <c r="CI867" s="71"/>
      <c r="CJ867" s="71"/>
      <c r="CK867" s="71"/>
      <c r="CL867" s="71"/>
      <c r="CM867" s="71"/>
      <c r="CN867" s="71"/>
      <c r="CO867" s="71"/>
      <c r="CP867" s="71"/>
      <c r="CQ867" s="71"/>
      <c r="CR867" s="71"/>
      <c r="CS867" s="71"/>
      <c r="CT867" s="71"/>
      <c r="CU867" s="71"/>
      <c r="CV867" s="71"/>
      <c r="CW867" s="71"/>
      <c r="CX867" s="71"/>
      <c r="CY867" s="71"/>
      <c r="CZ867" s="71"/>
      <c r="DA867" s="71"/>
      <c r="DB867" s="71"/>
      <c r="DC867" s="71"/>
      <c r="DD867" s="71"/>
      <c r="DE867" s="71"/>
      <c r="DF867" s="71"/>
      <c r="DG867" s="71"/>
      <c r="DH867" s="71"/>
      <c r="DI867" s="71"/>
      <c r="DJ867" s="71"/>
      <c r="DK867" s="71"/>
      <c r="DL867" s="71"/>
      <c r="DM867" s="71"/>
      <c r="DN867" s="71"/>
      <c r="DO867" s="71"/>
      <c r="DP867" s="71"/>
      <c r="DQ867" s="71"/>
      <c r="DR867" s="71"/>
      <c r="DS867" s="71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  <c r="IJ867" s="71"/>
      <c r="IK867" s="71"/>
      <c r="IL867" s="71"/>
      <c r="IM867" s="71"/>
      <c r="IN867" s="71"/>
      <c r="IO867" s="71"/>
      <c r="IP867" s="71"/>
      <c r="IQ867" s="71"/>
      <c r="IR867" s="71"/>
      <c r="IS867" s="71"/>
      <c r="IT867" s="71"/>
      <c r="IU867" s="71"/>
      <c r="IV867" s="71"/>
      <c r="IW867" s="71"/>
    </row>
    <row r="868" customFormat="false" ht="12.75" hidden="false" customHeight="false" outlineLevel="0" collapsed="false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AZ868" s="71"/>
      <c r="BA868" s="71"/>
      <c r="BB868" s="71"/>
      <c r="BC868" s="71"/>
      <c r="BD868" s="71"/>
      <c r="BE868" s="71"/>
      <c r="BF868" s="71"/>
      <c r="BG868" s="71"/>
      <c r="BH868" s="71"/>
      <c r="BI868" s="71"/>
      <c r="BJ868" s="71"/>
      <c r="BK868" s="71"/>
      <c r="BL868" s="71"/>
      <c r="BM868" s="71"/>
      <c r="BN868" s="71"/>
      <c r="BO868" s="71"/>
      <c r="BP868" s="71"/>
      <c r="BQ868" s="71"/>
      <c r="BR868" s="71"/>
      <c r="BS868" s="71"/>
      <c r="BT868" s="71"/>
      <c r="BU868" s="71"/>
      <c r="BV868" s="71"/>
      <c r="BW868" s="71"/>
      <c r="BX868" s="71"/>
      <c r="BY868" s="71"/>
      <c r="BZ868" s="71"/>
      <c r="CA868" s="71"/>
      <c r="CB868" s="71"/>
      <c r="CC868" s="71"/>
      <c r="CD868" s="71"/>
      <c r="CE868" s="71"/>
      <c r="CF868" s="71"/>
      <c r="CG868" s="71"/>
      <c r="CH868" s="71"/>
      <c r="CI868" s="71"/>
      <c r="CJ868" s="71"/>
      <c r="CK868" s="71"/>
      <c r="CL868" s="71"/>
      <c r="CM868" s="71"/>
      <c r="CN868" s="71"/>
      <c r="CO868" s="71"/>
      <c r="CP868" s="71"/>
      <c r="CQ868" s="71"/>
      <c r="CR868" s="71"/>
      <c r="CS868" s="71"/>
      <c r="CT868" s="71"/>
      <c r="CU868" s="71"/>
      <c r="CV868" s="71"/>
      <c r="CW868" s="71"/>
      <c r="CX868" s="71"/>
      <c r="CY868" s="71"/>
      <c r="CZ868" s="71"/>
      <c r="DA868" s="71"/>
      <c r="DB868" s="71"/>
      <c r="DC868" s="71"/>
      <c r="DD868" s="71"/>
      <c r="DE868" s="71"/>
      <c r="DF868" s="71"/>
      <c r="DG868" s="71"/>
      <c r="DH868" s="71"/>
      <c r="DI868" s="71"/>
      <c r="DJ868" s="71"/>
      <c r="DK868" s="71"/>
      <c r="DL868" s="71"/>
      <c r="DM868" s="71"/>
      <c r="DN868" s="71"/>
      <c r="DO868" s="71"/>
      <c r="DP868" s="71"/>
      <c r="DQ868" s="71"/>
      <c r="DR868" s="71"/>
      <c r="DS868" s="71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  <c r="IJ868" s="71"/>
      <c r="IK868" s="71"/>
      <c r="IL868" s="71"/>
      <c r="IM868" s="71"/>
      <c r="IN868" s="71"/>
      <c r="IO868" s="71"/>
      <c r="IP868" s="71"/>
      <c r="IQ868" s="71"/>
      <c r="IR868" s="71"/>
      <c r="IS868" s="71"/>
      <c r="IT868" s="71"/>
      <c r="IU868" s="71"/>
      <c r="IV868" s="71"/>
      <c r="IW868" s="71"/>
    </row>
    <row r="869" customFormat="false" ht="12.75" hidden="false" customHeight="false" outlineLevel="0" collapsed="false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  <c r="BH869" s="71"/>
      <c r="BI869" s="71"/>
      <c r="BJ869" s="71"/>
      <c r="BK869" s="71"/>
      <c r="BL869" s="71"/>
      <c r="BM869" s="71"/>
      <c r="BN869" s="71"/>
      <c r="BO869" s="71"/>
      <c r="BP869" s="71"/>
      <c r="BQ869" s="71"/>
      <c r="BR869" s="71"/>
      <c r="BS869" s="71"/>
      <c r="BT869" s="71"/>
      <c r="BU869" s="71"/>
      <c r="BV869" s="71"/>
      <c r="BW869" s="71"/>
      <c r="BX869" s="71"/>
      <c r="BY869" s="71"/>
      <c r="BZ869" s="71"/>
      <c r="CA869" s="71"/>
      <c r="CB869" s="71"/>
      <c r="CC869" s="71"/>
      <c r="CD869" s="71"/>
      <c r="CE869" s="71"/>
      <c r="CF869" s="71"/>
      <c r="CG869" s="71"/>
      <c r="CH869" s="71"/>
      <c r="CI869" s="71"/>
      <c r="CJ869" s="71"/>
      <c r="CK869" s="71"/>
      <c r="CL869" s="71"/>
      <c r="CM869" s="71"/>
      <c r="CN869" s="71"/>
      <c r="CO869" s="71"/>
      <c r="CP869" s="71"/>
      <c r="CQ869" s="71"/>
      <c r="CR869" s="71"/>
      <c r="CS869" s="71"/>
      <c r="CT869" s="71"/>
      <c r="CU869" s="71"/>
      <c r="CV869" s="71"/>
      <c r="CW869" s="71"/>
      <c r="CX869" s="71"/>
      <c r="CY869" s="71"/>
      <c r="CZ869" s="71"/>
      <c r="DA869" s="71"/>
      <c r="DB869" s="71"/>
      <c r="DC869" s="71"/>
      <c r="DD869" s="71"/>
      <c r="DE869" s="71"/>
      <c r="DF869" s="71"/>
      <c r="DG869" s="71"/>
      <c r="DH869" s="71"/>
      <c r="DI869" s="71"/>
      <c r="DJ869" s="71"/>
      <c r="DK869" s="71"/>
      <c r="DL869" s="71"/>
      <c r="DM869" s="71"/>
      <c r="DN869" s="71"/>
      <c r="DO869" s="71"/>
      <c r="DP869" s="71"/>
      <c r="DQ869" s="71"/>
      <c r="DR869" s="71"/>
      <c r="DS869" s="71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  <c r="IJ869" s="71"/>
      <c r="IK869" s="71"/>
      <c r="IL869" s="71"/>
      <c r="IM869" s="71"/>
      <c r="IN869" s="71"/>
      <c r="IO869" s="71"/>
      <c r="IP869" s="71"/>
      <c r="IQ869" s="71"/>
      <c r="IR869" s="71"/>
      <c r="IS869" s="71"/>
      <c r="IT869" s="71"/>
      <c r="IU869" s="71"/>
      <c r="IV869" s="71"/>
      <c r="IW869" s="71"/>
    </row>
    <row r="870" customFormat="false" ht="12.75" hidden="false" customHeight="false" outlineLevel="0" collapsed="false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AZ870" s="71"/>
      <c r="BA870" s="71"/>
      <c r="BB870" s="71"/>
      <c r="BC870" s="71"/>
      <c r="BD870" s="71"/>
      <c r="BE870" s="71"/>
      <c r="BF870" s="71"/>
      <c r="BG870" s="71"/>
      <c r="BH870" s="71"/>
      <c r="BI870" s="71"/>
      <c r="BJ870" s="71"/>
      <c r="BK870" s="71"/>
      <c r="BL870" s="71"/>
      <c r="BM870" s="71"/>
      <c r="BN870" s="71"/>
      <c r="BO870" s="71"/>
      <c r="BP870" s="71"/>
      <c r="BQ870" s="71"/>
      <c r="BR870" s="71"/>
      <c r="BS870" s="71"/>
      <c r="BT870" s="71"/>
      <c r="BU870" s="71"/>
      <c r="BV870" s="71"/>
      <c r="BW870" s="71"/>
      <c r="BX870" s="71"/>
      <c r="BY870" s="71"/>
      <c r="BZ870" s="71"/>
      <c r="CA870" s="71"/>
      <c r="CB870" s="71"/>
      <c r="CC870" s="71"/>
      <c r="CD870" s="71"/>
      <c r="CE870" s="71"/>
      <c r="CF870" s="71"/>
      <c r="CG870" s="71"/>
      <c r="CH870" s="71"/>
      <c r="CI870" s="71"/>
      <c r="CJ870" s="71"/>
      <c r="CK870" s="71"/>
      <c r="CL870" s="71"/>
      <c r="CM870" s="71"/>
      <c r="CN870" s="71"/>
      <c r="CO870" s="71"/>
      <c r="CP870" s="71"/>
      <c r="CQ870" s="71"/>
      <c r="CR870" s="71"/>
      <c r="CS870" s="71"/>
      <c r="CT870" s="71"/>
      <c r="CU870" s="71"/>
      <c r="CV870" s="71"/>
      <c r="CW870" s="71"/>
      <c r="CX870" s="71"/>
      <c r="CY870" s="71"/>
      <c r="CZ870" s="71"/>
      <c r="DA870" s="71"/>
      <c r="DB870" s="71"/>
      <c r="DC870" s="71"/>
      <c r="DD870" s="71"/>
      <c r="DE870" s="71"/>
      <c r="DF870" s="71"/>
      <c r="DG870" s="71"/>
      <c r="DH870" s="71"/>
      <c r="DI870" s="71"/>
      <c r="DJ870" s="71"/>
      <c r="DK870" s="71"/>
      <c r="DL870" s="71"/>
      <c r="DM870" s="71"/>
      <c r="DN870" s="71"/>
      <c r="DO870" s="71"/>
      <c r="DP870" s="71"/>
      <c r="DQ870" s="71"/>
      <c r="DR870" s="71"/>
      <c r="DS870" s="71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  <c r="IJ870" s="71"/>
      <c r="IK870" s="71"/>
      <c r="IL870" s="71"/>
      <c r="IM870" s="71"/>
      <c r="IN870" s="71"/>
      <c r="IO870" s="71"/>
      <c r="IP870" s="71"/>
      <c r="IQ870" s="71"/>
      <c r="IR870" s="71"/>
      <c r="IS870" s="71"/>
      <c r="IT870" s="71"/>
      <c r="IU870" s="71"/>
      <c r="IV870" s="71"/>
      <c r="IW870" s="71"/>
    </row>
    <row r="871" customFormat="false" ht="12.75" hidden="false" customHeight="false" outlineLevel="0" collapsed="false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AZ871" s="71"/>
      <c r="BA871" s="71"/>
      <c r="BB871" s="71"/>
      <c r="BC871" s="71"/>
      <c r="BD871" s="71"/>
      <c r="BE871" s="71"/>
      <c r="BF871" s="71"/>
      <c r="BG871" s="71"/>
      <c r="BH871" s="71"/>
      <c r="BI871" s="71"/>
      <c r="BJ871" s="71"/>
      <c r="BK871" s="71"/>
      <c r="BL871" s="71"/>
      <c r="BM871" s="71"/>
      <c r="BN871" s="71"/>
      <c r="BO871" s="71"/>
      <c r="BP871" s="71"/>
      <c r="BQ871" s="71"/>
      <c r="BR871" s="71"/>
      <c r="BS871" s="71"/>
      <c r="BT871" s="71"/>
      <c r="BU871" s="71"/>
      <c r="BV871" s="71"/>
      <c r="BW871" s="71"/>
      <c r="BX871" s="71"/>
      <c r="BY871" s="71"/>
      <c r="BZ871" s="71"/>
      <c r="CA871" s="71"/>
      <c r="CB871" s="71"/>
      <c r="CC871" s="71"/>
      <c r="CD871" s="71"/>
      <c r="CE871" s="71"/>
      <c r="CF871" s="71"/>
      <c r="CG871" s="71"/>
      <c r="CH871" s="71"/>
      <c r="CI871" s="71"/>
      <c r="CJ871" s="71"/>
      <c r="CK871" s="71"/>
      <c r="CL871" s="71"/>
      <c r="CM871" s="71"/>
      <c r="CN871" s="71"/>
      <c r="CO871" s="71"/>
      <c r="CP871" s="71"/>
      <c r="CQ871" s="71"/>
      <c r="CR871" s="71"/>
      <c r="CS871" s="71"/>
      <c r="CT871" s="71"/>
      <c r="CU871" s="71"/>
      <c r="CV871" s="71"/>
      <c r="CW871" s="71"/>
      <c r="CX871" s="71"/>
      <c r="CY871" s="71"/>
      <c r="CZ871" s="71"/>
      <c r="DA871" s="71"/>
      <c r="DB871" s="71"/>
      <c r="DC871" s="71"/>
      <c r="DD871" s="71"/>
      <c r="DE871" s="71"/>
      <c r="DF871" s="71"/>
      <c r="DG871" s="71"/>
      <c r="DH871" s="71"/>
      <c r="DI871" s="71"/>
      <c r="DJ871" s="71"/>
      <c r="DK871" s="71"/>
      <c r="DL871" s="71"/>
      <c r="DM871" s="71"/>
      <c r="DN871" s="71"/>
      <c r="DO871" s="71"/>
      <c r="DP871" s="71"/>
      <c r="DQ871" s="71"/>
      <c r="DR871" s="71"/>
      <c r="DS871" s="71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  <c r="IJ871" s="71"/>
      <c r="IK871" s="71"/>
      <c r="IL871" s="71"/>
      <c r="IM871" s="71"/>
      <c r="IN871" s="71"/>
      <c r="IO871" s="71"/>
      <c r="IP871" s="71"/>
      <c r="IQ871" s="71"/>
      <c r="IR871" s="71"/>
      <c r="IS871" s="71"/>
      <c r="IT871" s="71"/>
      <c r="IU871" s="71"/>
      <c r="IV871" s="71"/>
      <c r="IW871" s="71"/>
    </row>
    <row r="872" customFormat="false" ht="12.75" hidden="false" customHeight="false" outlineLevel="0" collapsed="false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AZ872" s="71"/>
      <c r="BA872" s="71"/>
      <c r="BB872" s="71"/>
      <c r="BC872" s="71"/>
      <c r="BD872" s="71"/>
      <c r="BE872" s="71"/>
      <c r="BF872" s="71"/>
      <c r="BG872" s="71"/>
      <c r="BH872" s="71"/>
      <c r="BI872" s="71"/>
      <c r="BJ872" s="71"/>
      <c r="BK872" s="71"/>
      <c r="BL872" s="71"/>
      <c r="BM872" s="71"/>
      <c r="BN872" s="71"/>
      <c r="BO872" s="71"/>
      <c r="BP872" s="71"/>
      <c r="BQ872" s="71"/>
      <c r="BR872" s="71"/>
      <c r="BS872" s="71"/>
      <c r="BT872" s="71"/>
      <c r="BU872" s="71"/>
      <c r="BV872" s="71"/>
      <c r="BW872" s="71"/>
      <c r="BX872" s="71"/>
      <c r="BY872" s="71"/>
      <c r="BZ872" s="71"/>
      <c r="CA872" s="71"/>
      <c r="CB872" s="71"/>
      <c r="CC872" s="71"/>
      <c r="CD872" s="71"/>
      <c r="CE872" s="71"/>
      <c r="CF872" s="71"/>
      <c r="CG872" s="71"/>
      <c r="CH872" s="71"/>
      <c r="CI872" s="71"/>
      <c r="CJ872" s="71"/>
      <c r="CK872" s="71"/>
      <c r="CL872" s="71"/>
      <c r="CM872" s="71"/>
      <c r="CN872" s="71"/>
      <c r="CO872" s="71"/>
      <c r="CP872" s="71"/>
      <c r="CQ872" s="71"/>
      <c r="CR872" s="71"/>
      <c r="CS872" s="71"/>
      <c r="CT872" s="71"/>
      <c r="CU872" s="71"/>
      <c r="CV872" s="71"/>
      <c r="CW872" s="71"/>
      <c r="CX872" s="71"/>
      <c r="CY872" s="71"/>
      <c r="CZ872" s="71"/>
      <c r="DA872" s="71"/>
      <c r="DB872" s="71"/>
      <c r="DC872" s="71"/>
      <c r="DD872" s="71"/>
      <c r="DE872" s="71"/>
      <c r="DF872" s="71"/>
      <c r="DG872" s="71"/>
      <c r="DH872" s="71"/>
      <c r="DI872" s="71"/>
      <c r="DJ872" s="71"/>
      <c r="DK872" s="71"/>
      <c r="DL872" s="71"/>
      <c r="DM872" s="71"/>
      <c r="DN872" s="71"/>
      <c r="DO872" s="71"/>
      <c r="DP872" s="71"/>
      <c r="DQ872" s="71"/>
      <c r="DR872" s="71"/>
      <c r="DS872" s="71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  <c r="IJ872" s="71"/>
      <c r="IK872" s="71"/>
      <c r="IL872" s="71"/>
      <c r="IM872" s="71"/>
      <c r="IN872" s="71"/>
      <c r="IO872" s="71"/>
      <c r="IP872" s="71"/>
      <c r="IQ872" s="71"/>
      <c r="IR872" s="71"/>
      <c r="IS872" s="71"/>
      <c r="IT872" s="71"/>
      <c r="IU872" s="71"/>
      <c r="IV872" s="71"/>
      <c r="IW872" s="71"/>
    </row>
    <row r="873" customFormat="false" ht="12.75" hidden="false" customHeight="false" outlineLevel="0" collapsed="false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AZ873" s="71"/>
      <c r="BA873" s="71"/>
      <c r="BB873" s="71"/>
      <c r="BC873" s="71"/>
      <c r="BD873" s="71"/>
      <c r="BE873" s="71"/>
      <c r="BF873" s="71"/>
      <c r="BG873" s="71"/>
      <c r="BH873" s="71"/>
      <c r="BI873" s="71"/>
      <c r="BJ873" s="71"/>
      <c r="BK873" s="71"/>
      <c r="BL873" s="71"/>
      <c r="BM873" s="71"/>
      <c r="BN873" s="71"/>
      <c r="BO873" s="71"/>
      <c r="BP873" s="71"/>
      <c r="BQ873" s="71"/>
      <c r="BR873" s="71"/>
      <c r="BS873" s="71"/>
      <c r="BT873" s="71"/>
      <c r="BU873" s="71"/>
      <c r="BV873" s="71"/>
      <c r="BW873" s="71"/>
      <c r="BX873" s="71"/>
      <c r="BY873" s="71"/>
      <c r="BZ873" s="71"/>
      <c r="CA873" s="71"/>
      <c r="CB873" s="71"/>
      <c r="CC873" s="71"/>
      <c r="CD873" s="71"/>
      <c r="CE873" s="71"/>
      <c r="CF873" s="71"/>
      <c r="CG873" s="71"/>
      <c r="CH873" s="71"/>
      <c r="CI873" s="71"/>
      <c r="CJ873" s="71"/>
      <c r="CK873" s="71"/>
      <c r="CL873" s="71"/>
      <c r="CM873" s="71"/>
      <c r="CN873" s="71"/>
      <c r="CO873" s="71"/>
      <c r="CP873" s="71"/>
      <c r="CQ873" s="71"/>
      <c r="CR873" s="71"/>
      <c r="CS873" s="71"/>
      <c r="CT873" s="71"/>
      <c r="CU873" s="71"/>
      <c r="CV873" s="71"/>
      <c r="CW873" s="71"/>
      <c r="CX873" s="71"/>
      <c r="CY873" s="71"/>
      <c r="CZ873" s="71"/>
      <c r="DA873" s="71"/>
      <c r="DB873" s="71"/>
      <c r="DC873" s="71"/>
      <c r="DD873" s="71"/>
      <c r="DE873" s="71"/>
      <c r="DF873" s="71"/>
      <c r="DG873" s="71"/>
      <c r="DH873" s="71"/>
      <c r="DI873" s="71"/>
      <c r="DJ873" s="71"/>
      <c r="DK873" s="71"/>
      <c r="DL873" s="71"/>
      <c r="DM873" s="71"/>
      <c r="DN873" s="71"/>
      <c r="DO873" s="71"/>
      <c r="DP873" s="71"/>
      <c r="DQ873" s="71"/>
      <c r="DR873" s="71"/>
      <c r="DS873" s="71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  <c r="IJ873" s="71"/>
      <c r="IK873" s="71"/>
      <c r="IL873" s="71"/>
      <c r="IM873" s="71"/>
      <c r="IN873" s="71"/>
      <c r="IO873" s="71"/>
      <c r="IP873" s="71"/>
      <c r="IQ873" s="71"/>
      <c r="IR873" s="71"/>
      <c r="IS873" s="71"/>
      <c r="IT873" s="71"/>
      <c r="IU873" s="71"/>
      <c r="IV873" s="71"/>
      <c r="IW873" s="71"/>
    </row>
    <row r="874" customFormat="false" ht="12.75" hidden="false" customHeight="false" outlineLevel="0" collapsed="false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AZ874" s="71"/>
      <c r="BA874" s="71"/>
      <c r="BB874" s="71"/>
      <c r="BC874" s="71"/>
      <c r="BD874" s="71"/>
      <c r="BE874" s="71"/>
      <c r="BF874" s="71"/>
      <c r="BG874" s="71"/>
      <c r="BH874" s="71"/>
      <c r="BI874" s="71"/>
      <c r="BJ874" s="71"/>
      <c r="BK874" s="71"/>
      <c r="BL874" s="71"/>
      <c r="BM874" s="71"/>
      <c r="BN874" s="71"/>
      <c r="BO874" s="71"/>
      <c r="BP874" s="71"/>
      <c r="BQ874" s="71"/>
      <c r="BR874" s="71"/>
      <c r="BS874" s="71"/>
      <c r="BT874" s="71"/>
      <c r="BU874" s="71"/>
      <c r="BV874" s="71"/>
      <c r="BW874" s="71"/>
      <c r="BX874" s="71"/>
      <c r="BY874" s="71"/>
      <c r="BZ874" s="71"/>
      <c r="CA874" s="71"/>
      <c r="CB874" s="71"/>
      <c r="CC874" s="71"/>
      <c r="CD874" s="71"/>
      <c r="CE874" s="71"/>
      <c r="CF874" s="71"/>
      <c r="CG874" s="71"/>
      <c r="CH874" s="71"/>
      <c r="CI874" s="71"/>
      <c r="CJ874" s="71"/>
      <c r="CK874" s="71"/>
      <c r="CL874" s="71"/>
      <c r="CM874" s="71"/>
      <c r="CN874" s="71"/>
      <c r="CO874" s="71"/>
      <c r="CP874" s="71"/>
      <c r="CQ874" s="71"/>
      <c r="CR874" s="71"/>
      <c r="CS874" s="71"/>
      <c r="CT874" s="71"/>
      <c r="CU874" s="71"/>
      <c r="CV874" s="71"/>
      <c r="CW874" s="71"/>
      <c r="CX874" s="71"/>
      <c r="CY874" s="71"/>
      <c r="CZ874" s="71"/>
      <c r="DA874" s="71"/>
      <c r="DB874" s="71"/>
      <c r="DC874" s="71"/>
      <c r="DD874" s="71"/>
      <c r="DE874" s="71"/>
      <c r="DF874" s="71"/>
      <c r="DG874" s="71"/>
      <c r="DH874" s="71"/>
      <c r="DI874" s="71"/>
      <c r="DJ874" s="71"/>
      <c r="DK874" s="71"/>
      <c r="DL874" s="71"/>
      <c r="DM874" s="71"/>
      <c r="DN874" s="71"/>
      <c r="DO874" s="71"/>
      <c r="DP874" s="71"/>
      <c r="DQ874" s="71"/>
      <c r="DR874" s="71"/>
      <c r="DS874" s="71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  <c r="IJ874" s="71"/>
      <c r="IK874" s="71"/>
      <c r="IL874" s="71"/>
      <c r="IM874" s="71"/>
      <c r="IN874" s="71"/>
      <c r="IO874" s="71"/>
      <c r="IP874" s="71"/>
      <c r="IQ874" s="71"/>
      <c r="IR874" s="71"/>
      <c r="IS874" s="71"/>
      <c r="IT874" s="71"/>
      <c r="IU874" s="71"/>
      <c r="IV874" s="71"/>
      <c r="IW874" s="71"/>
    </row>
    <row r="875" customFormat="false" ht="12.75" hidden="false" customHeight="false" outlineLevel="0" collapsed="false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  <c r="BC875" s="71"/>
      <c r="BD875" s="71"/>
      <c r="BE875" s="71"/>
      <c r="BF875" s="71"/>
      <c r="BG875" s="71"/>
      <c r="BH875" s="71"/>
      <c r="BI875" s="71"/>
      <c r="BJ875" s="71"/>
      <c r="BK875" s="71"/>
      <c r="BL875" s="71"/>
      <c r="BM875" s="71"/>
      <c r="BN875" s="71"/>
      <c r="BO875" s="71"/>
      <c r="BP875" s="71"/>
      <c r="BQ875" s="71"/>
      <c r="BR875" s="71"/>
      <c r="BS875" s="71"/>
      <c r="BT875" s="71"/>
      <c r="BU875" s="71"/>
      <c r="BV875" s="71"/>
      <c r="BW875" s="71"/>
      <c r="BX875" s="71"/>
      <c r="BY875" s="71"/>
      <c r="BZ875" s="71"/>
      <c r="CA875" s="71"/>
      <c r="CB875" s="71"/>
      <c r="CC875" s="71"/>
      <c r="CD875" s="71"/>
      <c r="CE875" s="71"/>
      <c r="CF875" s="71"/>
      <c r="CG875" s="71"/>
      <c r="CH875" s="71"/>
      <c r="CI875" s="71"/>
      <c r="CJ875" s="71"/>
      <c r="CK875" s="71"/>
      <c r="CL875" s="71"/>
      <c r="CM875" s="71"/>
      <c r="CN875" s="71"/>
      <c r="CO875" s="71"/>
      <c r="CP875" s="71"/>
      <c r="CQ875" s="71"/>
      <c r="CR875" s="71"/>
      <c r="CS875" s="71"/>
      <c r="CT875" s="71"/>
      <c r="CU875" s="71"/>
      <c r="CV875" s="71"/>
      <c r="CW875" s="71"/>
      <c r="CX875" s="71"/>
      <c r="CY875" s="71"/>
      <c r="CZ875" s="71"/>
      <c r="DA875" s="71"/>
      <c r="DB875" s="71"/>
      <c r="DC875" s="71"/>
      <c r="DD875" s="71"/>
      <c r="DE875" s="71"/>
      <c r="DF875" s="71"/>
      <c r="DG875" s="71"/>
      <c r="DH875" s="71"/>
      <c r="DI875" s="71"/>
      <c r="DJ875" s="71"/>
      <c r="DK875" s="71"/>
      <c r="DL875" s="71"/>
      <c r="DM875" s="71"/>
      <c r="DN875" s="71"/>
      <c r="DO875" s="71"/>
      <c r="DP875" s="71"/>
      <c r="DQ875" s="71"/>
      <c r="DR875" s="71"/>
      <c r="DS875" s="71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  <c r="IJ875" s="71"/>
      <c r="IK875" s="71"/>
      <c r="IL875" s="71"/>
      <c r="IM875" s="71"/>
      <c r="IN875" s="71"/>
      <c r="IO875" s="71"/>
      <c r="IP875" s="71"/>
      <c r="IQ875" s="71"/>
      <c r="IR875" s="71"/>
      <c r="IS875" s="71"/>
      <c r="IT875" s="71"/>
      <c r="IU875" s="71"/>
      <c r="IV875" s="71"/>
      <c r="IW875" s="71"/>
    </row>
    <row r="876" customFormat="false" ht="12.75" hidden="false" customHeight="false" outlineLevel="0" collapsed="false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AZ876" s="71"/>
      <c r="BA876" s="71"/>
      <c r="BB876" s="71"/>
      <c r="BC876" s="71"/>
      <c r="BD876" s="71"/>
      <c r="BE876" s="71"/>
      <c r="BF876" s="71"/>
      <c r="BG876" s="71"/>
      <c r="BH876" s="71"/>
      <c r="BI876" s="71"/>
      <c r="BJ876" s="71"/>
      <c r="BK876" s="71"/>
      <c r="BL876" s="71"/>
      <c r="BM876" s="71"/>
      <c r="BN876" s="71"/>
      <c r="BO876" s="71"/>
      <c r="BP876" s="71"/>
      <c r="BQ876" s="71"/>
      <c r="BR876" s="71"/>
      <c r="BS876" s="71"/>
      <c r="BT876" s="71"/>
      <c r="BU876" s="71"/>
      <c r="BV876" s="71"/>
      <c r="BW876" s="71"/>
      <c r="BX876" s="71"/>
      <c r="BY876" s="71"/>
      <c r="BZ876" s="71"/>
      <c r="CA876" s="71"/>
      <c r="CB876" s="71"/>
      <c r="CC876" s="71"/>
      <c r="CD876" s="71"/>
      <c r="CE876" s="71"/>
      <c r="CF876" s="71"/>
      <c r="CG876" s="71"/>
      <c r="CH876" s="71"/>
      <c r="CI876" s="71"/>
      <c r="CJ876" s="71"/>
      <c r="CK876" s="71"/>
      <c r="CL876" s="71"/>
      <c r="CM876" s="71"/>
      <c r="CN876" s="71"/>
      <c r="CO876" s="71"/>
      <c r="CP876" s="71"/>
      <c r="CQ876" s="71"/>
      <c r="CR876" s="71"/>
      <c r="CS876" s="71"/>
      <c r="CT876" s="71"/>
      <c r="CU876" s="71"/>
      <c r="CV876" s="71"/>
      <c r="CW876" s="71"/>
      <c r="CX876" s="71"/>
      <c r="CY876" s="71"/>
      <c r="CZ876" s="71"/>
      <c r="DA876" s="71"/>
      <c r="DB876" s="71"/>
      <c r="DC876" s="71"/>
      <c r="DD876" s="71"/>
      <c r="DE876" s="71"/>
      <c r="DF876" s="71"/>
      <c r="DG876" s="71"/>
      <c r="DH876" s="71"/>
      <c r="DI876" s="71"/>
      <c r="DJ876" s="71"/>
      <c r="DK876" s="71"/>
      <c r="DL876" s="71"/>
      <c r="DM876" s="71"/>
      <c r="DN876" s="71"/>
      <c r="DO876" s="71"/>
      <c r="DP876" s="71"/>
      <c r="DQ876" s="71"/>
      <c r="DR876" s="71"/>
      <c r="DS876" s="71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  <c r="IJ876" s="71"/>
      <c r="IK876" s="71"/>
      <c r="IL876" s="71"/>
      <c r="IM876" s="71"/>
      <c r="IN876" s="71"/>
      <c r="IO876" s="71"/>
      <c r="IP876" s="71"/>
      <c r="IQ876" s="71"/>
      <c r="IR876" s="71"/>
      <c r="IS876" s="71"/>
      <c r="IT876" s="71"/>
      <c r="IU876" s="71"/>
      <c r="IV876" s="71"/>
      <c r="IW876" s="71"/>
    </row>
    <row r="877" customFormat="false" ht="12.75" hidden="false" customHeight="false" outlineLevel="0" collapsed="false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AZ877" s="71"/>
      <c r="BA877" s="71"/>
      <c r="BB877" s="71"/>
      <c r="BC877" s="71"/>
      <c r="BD877" s="71"/>
      <c r="BE877" s="71"/>
      <c r="BF877" s="71"/>
      <c r="BG877" s="71"/>
      <c r="BH877" s="71"/>
      <c r="BI877" s="71"/>
      <c r="BJ877" s="71"/>
      <c r="BK877" s="71"/>
      <c r="BL877" s="71"/>
      <c r="BM877" s="71"/>
      <c r="BN877" s="71"/>
      <c r="BO877" s="71"/>
      <c r="BP877" s="71"/>
      <c r="BQ877" s="71"/>
      <c r="BR877" s="71"/>
      <c r="BS877" s="71"/>
      <c r="BT877" s="71"/>
      <c r="BU877" s="71"/>
      <c r="BV877" s="71"/>
      <c r="BW877" s="71"/>
      <c r="BX877" s="71"/>
      <c r="BY877" s="71"/>
      <c r="BZ877" s="71"/>
      <c r="CA877" s="71"/>
      <c r="CB877" s="71"/>
      <c r="CC877" s="71"/>
      <c r="CD877" s="71"/>
      <c r="CE877" s="71"/>
      <c r="CF877" s="71"/>
      <c r="CG877" s="71"/>
      <c r="CH877" s="71"/>
      <c r="CI877" s="71"/>
      <c r="CJ877" s="71"/>
      <c r="CK877" s="71"/>
      <c r="CL877" s="71"/>
      <c r="CM877" s="71"/>
      <c r="CN877" s="71"/>
      <c r="CO877" s="71"/>
      <c r="CP877" s="71"/>
      <c r="CQ877" s="71"/>
      <c r="CR877" s="71"/>
      <c r="CS877" s="71"/>
      <c r="CT877" s="71"/>
      <c r="CU877" s="71"/>
      <c r="CV877" s="71"/>
      <c r="CW877" s="71"/>
      <c r="CX877" s="71"/>
      <c r="CY877" s="71"/>
      <c r="CZ877" s="71"/>
      <c r="DA877" s="71"/>
      <c r="DB877" s="71"/>
      <c r="DC877" s="71"/>
      <c r="DD877" s="71"/>
      <c r="DE877" s="71"/>
      <c r="DF877" s="71"/>
      <c r="DG877" s="71"/>
      <c r="DH877" s="71"/>
      <c r="DI877" s="71"/>
      <c r="DJ877" s="71"/>
      <c r="DK877" s="71"/>
      <c r="DL877" s="71"/>
      <c r="DM877" s="71"/>
      <c r="DN877" s="71"/>
      <c r="DO877" s="71"/>
      <c r="DP877" s="71"/>
      <c r="DQ877" s="71"/>
      <c r="DR877" s="71"/>
      <c r="DS877" s="71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  <c r="IJ877" s="71"/>
      <c r="IK877" s="71"/>
      <c r="IL877" s="71"/>
      <c r="IM877" s="71"/>
      <c r="IN877" s="71"/>
      <c r="IO877" s="71"/>
      <c r="IP877" s="71"/>
      <c r="IQ877" s="71"/>
      <c r="IR877" s="71"/>
      <c r="IS877" s="71"/>
      <c r="IT877" s="71"/>
      <c r="IU877" s="71"/>
      <c r="IV877" s="71"/>
      <c r="IW877" s="71"/>
    </row>
    <row r="878" customFormat="false" ht="12.75" hidden="false" customHeight="false" outlineLevel="0" collapsed="false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AZ878" s="71"/>
      <c r="BA878" s="71"/>
      <c r="BB878" s="71"/>
      <c r="BC878" s="71"/>
      <c r="BD878" s="71"/>
      <c r="BE878" s="71"/>
      <c r="BF878" s="71"/>
      <c r="BG878" s="71"/>
      <c r="BH878" s="71"/>
      <c r="BI878" s="71"/>
      <c r="BJ878" s="71"/>
      <c r="BK878" s="71"/>
      <c r="BL878" s="71"/>
      <c r="BM878" s="71"/>
      <c r="BN878" s="71"/>
      <c r="BO878" s="71"/>
      <c r="BP878" s="71"/>
      <c r="BQ878" s="71"/>
      <c r="BR878" s="71"/>
      <c r="BS878" s="71"/>
      <c r="BT878" s="71"/>
      <c r="BU878" s="71"/>
      <c r="BV878" s="71"/>
      <c r="BW878" s="71"/>
      <c r="BX878" s="71"/>
      <c r="BY878" s="71"/>
      <c r="BZ878" s="71"/>
      <c r="CA878" s="71"/>
      <c r="CB878" s="71"/>
      <c r="CC878" s="71"/>
      <c r="CD878" s="71"/>
      <c r="CE878" s="71"/>
      <c r="CF878" s="71"/>
      <c r="CG878" s="71"/>
      <c r="CH878" s="71"/>
      <c r="CI878" s="71"/>
      <c r="CJ878" s="71"/>
      <c r="CK878" s="71"/>
      <c r="CL878" s="71"/>
      <c r="CM878" s="71"/>
      <c r="CN878" s="71"/>
      <c r="CO878" s="71"/>
      <c r="CP878" s="71"/>
      <c r="CQ878" s="71"/>
      <c r="CR878" s="71"/>
      <c r="CS878" s="71"/>
      <c r="CT878" s="71"/>
      <c r="CU878" s="71"/>
      <c r="CV878" s="71"/>
      <c r="CW878" s="71"/>
      <c r="CX878" s="71"/>
      <c r="CY878" s="71"/>
      <c r="CZ878" s="71"/>
      <c r="DA878" s="71"/>
      <c r="DB878" s="71"/>
      <c r="DC878" s="71"/>
      <c r="DD878" s="71"/>
      <c r="DE878" s="71"/>
      <c r="DF878" s="71"/>
      <c r="DG878" s="71"/>
      <c r="DH878" s="71"/>
      <c r="DI878" s="71"/>
      <c r="DJ878" s="71"/>
      <c r="DK878" s="71"/>
      <c r="DL878" s="71"/>
      <c r="DM878" s="71"/>
      <c r="DN878" s="71"/>
      <c r="DO878" s="71"/>
      <c r="DP878" s="71"/>
      <c r="DQ878" s="71"/>
      <c r="DR878" s="71"/>
      <c r="DS878" s="71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  <c r="IJ878" s="71"/>
      <c r="IK878" s="71"/>
      <c r="IL878" s="71"/>
      <c r="IM878" s="71"/>
      <c r="IN878" s="71"/>
      <c r="IO878" s="71"/>
      <c r="IP878" s="71"/>
      <c r="IQ878" s="71"/>
      <c r="IR878" s="71"/>
      <c r="IS878" s="71"/>
      <c r="IT878" s="71"/>
      <c r="IU878" s="71"/>
      <c r="IV878" s="71"/>
      <c r="IW878" s="71"/>
    </row>
    <row r="879" customFormat="false" ht="12.75" hidden="false" customHeight="false" outlineLevel="0" collapsed="false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AZ879" s="71"/>
      <c r="BA879" s="71"/>
      <c r="BB879" s="71"/>
      <c r="BC879" s="71"/>
      <c r="BD879" s="71"/>
      <c r="BE879" s="71"/>
      <c r="BF879" s="71"/>
      <c r="BG879" s="71"/>
      <c r="BH879" s="71"/>
      <c r="BI879" s="71"/>
      <c r="BJ879" s="71"/>
      <c r="BK879" s="71"/>
      <c r="BL879" s="71"/>
      <c r="BM879" s="71"/>
      <c r="BN879" s="71"/>
      <c r="BO879" s="71"/>
      <c r="BP879" s="71"/>
      <c r="BQ879" s="71"/>
      <c r="BR879" s="71"/>
      <c r="BS879" s="71"/>
      <c r="BT879" s="71"/>
      <c r="BU879" s="71"/>
      <c r="BV879" s="71"/>
      <c r="BW879" s="71"/>
      <c r="BX879" s="71"/>
      <c r="BY879" s="71"/>
      <c r="BZ879" s="71"/>
      <c r="CA879" s="71"/>
      <c r="CB879" s="71"/>
      <c r="CC879" s="71"/>
      <c r="CD879" s="71"/>
      <c r="CE879" s="71"/>
      <c r="CF879" s="71"/>
      <c r="CG879" s="71"/>
      <c r="CH879" s="71"/>
      <c r="CI879" s="71"/>
      <c r="CJ879" s="71"/>
      <c r="CK879" s="71"/>
      <c r="CL879" s="71"/>
      <c r="CM879" s="71"/>
      <c r="CN879" s="71"/>
      <c r="CO879" s="71"/>
      <c r="CP879" s="71"/>
      <c r="CQ879" s="71"/>
      <c r="CR879" s="71"/>
      <c r="CS879" s="71"/>
      <c r="CT879" s="71"/>
      <c r="CU879" s="71"/>
      <c r="CV879" s="71"/>
      <c r="CW879" s="71"/>
      <c r="CX879" s="71"/>
      <c r="CY879" s="71"/>
      <c r="CZ879" s="71"/>
      <c r="DA879" s="71"/>
      <c r="DB879" s="71"/>
      <c r="DC879" s="71"/>
      <c r="DD879" s="71"/>
      <c r="DE879" s="71"/>
      <c r="DF879" s="71"/>
      <c r="DG879" s="71"/>
      <c r="DH879" s="71"/>
      <c r="DI879" s="71"/>
      <c r="DJ879" s="71"/>
      <c r="DK879" s="71"/>
      <c r="DL879" s="71"/>
      <c r="DM879" s="71"/>
      <c r="DN879" s="71"/>
      <c r="DO879" s="71"/>
      <c r="DP879" s="71"/>
      <c r="DQ879" s="71"/>
      <c r="DR879" s="71"/>
      <c r="DS879" s="71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  <c r="IJ879" s="71"/>
      <c r="IK879" s="71"/>
      <c r="IL879" s="71"/>
      <c r="IM879" s="71"/>
      <c r="IN879" s="71"/>
      <c r="IO879" s="71"/>
      <c r="IP879" s="71"/>
      <c r="IQ879" s="71"/>
      <c r="IR879" s="71"/>
      <c r="IS879" s="71"/>
      <c r="IT879" s="71"/>
      <c r="IU879" s="71"/>
      <c r="IV879" s="71"/>
      <c r="IW879" s="71"/>
    </row>
    <row r="880" customFormat="false" ht="12.75" hidden="false" customHeight="false" outlineLevel="0" collapsed="false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  <c r="BC880" s="71"/>
      <c r="BD880" s="71"/>
      <c r="BE880" s="71"/>
      <c r="BF880" s="71"/>
      <c r="BG880" s="71"/>
      <c r="BH880" s="71"/>
      <c r="BI880" s="71"/>
      <c r="BJ880" s="71"/>
      <c r="BK880" s="71"/>
      <c r="BL880" s="71"/>
      <c r="BM880" s="71"/>
      <c r="BN880" s="71"/>
      <c r="BO880" s="71"/>
      <c r="BP880" s="71"/>
      <c r="BQ880" s="71"/>
      <c r="BR880" s="71"/>
      <c r="BS880" s="71"/>
      <c r="BT880" s="71"/>
      <c r="BU880" s="71"/>
      <c r="BV880" s="71"/>
      <c r="BW880" s="71"/>
      <c r="BX880" s="71"/>
      <c r="BY880" s="71"/>
      <c r="BZ880" s="71"/>
      <c r="CA880" s="71"/>
      <c r="CB880" s="71"/>
      <c r="CC880" s="71"/>
      <c r="CD880" s="71"/>
      <c r="CE880" s="71"/>
      <c r="CF880" s="71"/>
      <c r="CG880" s="71"/>
      <c r="CH880" s="71"/>
      <c r="CI880" s="71"/>
      <c r="CJ880" s="71"/>
      <c r="CK880" s="71"/>
      <c r="CL880" s="71"/>
      <c r="CM880" s="71"/>
      <c r="CN880" s="71"/>
      <c r="CO880" s="71"/>
      <c r="CP880" s="71"/>
      <c r="CQ880" s="71"/>
      <c r="CR880" s="71"/>
      <c r="CS880" s="71"/>
      <c r="CT880" s="71"/>
      <c r="CU880" s="71"/>
      <c r="CV880" s="71"/>
      <c r="CW880" s="71"/>
      <c r="CX880" s="71"/>
      <c r="CY880" s="71"/>
      <c r="CZ880" s="71"/>
      <c r="DA880" s="71"/>
      <c r="DB880" s="71"/>
      <c r="DC880" s="71"/>
      <c r="DD880" s="71"/>
      <c r="DE880" s="71"/>
      <c r="DF880" s="71"/>
      <c r="DG880" s="71"/>
      <c r="DH880" s="71"/>
      <c r="DI880" s="71"/>
      <c r="DJ880" s="71"/>
      <c r="DK880" s="71"/>
      <c r="DL880" s="71"/>
      <c r="DM880" s="71"/>
      <c r="DN880" s="71"/>
      <c r="DO880" s="71"/>
      <c r="DP880" s="71"/>
      <c r="DQ880" s="71"/>
      <c r="DR880" s="71"/>
      <c r="DS880" s="71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  <c r="IJ880" s="71"/>
      <c r="IK880" s="71"/>
      <c r="IL880" s="71"/>
      <c r="IM880" s="71"/>
      <c r="IN880" s="71"/>
      <c r="IO880" s="71"/>
      <c r="IP880" s="71"/>
      <c r="IQ880" s="71"/>
      <c r="IR880" s="71"/>
      <c r="IS880" s="71"/>
      <c r="IT880" s="71"/>
      <c r="IU880" s="71"/>
      <c r="IV880" s="71"/>
      <c r="IW880" s="71"/>
    </row>
    <row r="881" customFormat="false" ht="12.75" hidden="false" customHeight="false" outlineLevel="0" collapsed="false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  <c r="BC881" s="71"/>
      <c r="BD881" s="71"/>
      <c r="BE881" s="71"/>
      <c r="BF881" s="71"/>
      <c r="BG881" s="71"/>
      <c r="BH881" s="71"/>
      <c r="BI881" s="71"/>
      <c r="BJ881" s="71"/>
      <c r="BK881" s="71"/>
      <c r="BL881" s="71"/>
      <c r="BM881" s="71"/>
      <c r="BN881" s="71"/>
      <c r="BO881" s="71"/>
      <c r="BP881" s="71"/>
      <c r="BQ881" s="71"/>
      <c r="BR881" s="71"/>
      <c r="BS881" s="71"/>
      <c r="BT881" s="71"/>
      <c r="BU881" s="71"/>
      <c r="BV881" s="71"/>
      <c r="BW881" s="71"/>
      <c r="BX881" s="71"/>
      <c r="BY881" s="71"/>
      <c r="BZ881" s="71"/>
      <c r="CA881" s="71"/>
      <c r="CB881" s="71"/>
      <c r="CC881" s="71"/>
      <c r="CD881" s="71"/>
      <c r="CE881" s="71"/>
      <c r="CF881" s="71"/>
      <c r="CG881" s="71"/>
      <c r="CH881" s="71"/>
      <c r="CI881" s="71"/>
      <c r="CJ881" s="71"/>
      <c r="CK881" s="71"/>
      <c r="CL881" s="71"/>
      <c r="CM881" s="71"/>
      <c r="CN881" s="71"/>
      <c r="CO881" s="71"/>
      <c r="CP881" s="71"/>
      <c r="CQ881" s="71"/>
      <c r="CR881" s="71"/>
      <c r="CS881" s="71"/>
      <c r="CT881" s="71"/>
      <c r="CU881" s="71"/>
      <c r="CV881" s="71"/>
      <c r="CW881" s="71"/>
      <c r="CX881" s="71"/>
      <c r="CY881" s="71"/>
      <c r="CZ881" s="71"/>
      <c r="DA881" s="71"/>
      <c r="DB881" s="71"/>
      <c r="DC881" s="71"/>
      <c r="DD881" s="71"/>
      <c r="DE881" s="71"/>
      <c r="DF881" s="71"/>
      <c r="DG881" s="71"/>
      <c r="DH881" s="71"/>
      <c r="DI881" s="71"/>
      <c r="DJ881" s="71"/>
      <c r="DK881" s="71"/>
      <c r="DL881" s="71"/>
      <c r="DM881" s="71"/>
      <c r="DN881" s="71"/>
      <c r="DO881" s="71"/>
      <c r="DP881" s="71"/>
      <c r="DQ881" s="71"/>
      <c r="DR881" s="71"/>
      <c r="DS881" s="71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  <c r="IJ881" s="71"/>
      <c r="IK881" s="71"/>
      <c r="IL881" s="71"/>
      <c r="IM881" s="71"/>
      <c r="IN881" s="71"/>
      <c r="IO881" s="71"/>
      <c r="IP881" s="71"/>
      <c r="IQ881" s="71"/>
      <c r="IR881" s="71"/>
      <c r="IS881" s="71"/>
      <c r="IT881" s="71"/>
      <c r="IU881" s="71"/>
      <c r="IV881" s="71"/>
      <c r="IW881" s="71"/>
    </row>
    <row r="882" customFormat="false" ht="12.75" hidden="false" customHeight="false" outlineLevel="0" collapsed="false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AZ882" s="71"/>
      <c r="BA882" s="71"/>
      <c r="BB882" s="71"/>
      <c r="BC882" s="71"/>
      <c r="BD882" s="71"/>
      <c r="BE882" s="71"/>
      <c r="BF882" s="71"/>
      <c r="BG882" s="71"/>
      <c r="BH882" s="71"/>
      <c r="BI882" s="71"/>
      <c r="BJ882" s="71"/>
      <c r="BK882" s="71"/>
      <c r="BL882" s="71"/>
      <c r="BM882" s="71"/>
      <c r="BN882" s="71"/>
      <c r="BO882" s="71"/>
      <c r="BP882" s="71"/>
      <c r="BQ882" s="71"/>
      <c r="BR882" s="71"/>
      <c r="BS882" s="71"/>
      <c r="BT882" s="71"/>
      <c r="BU882" s="71"/>
      <c r="BV882" s="71"/>
      <c r="BW882" s="71"/>
      <c r="BX882" s="71"/>
      <c r="BY882" s="71"/>
      <c r="BZ882" s="71"/>
      <c r="CA882" s="71"/>
      <c r="CB882" s="71"/>
      <c r="CC882" s="71"/>
      <c r="CD882" s="71"/>
      <c r="CE882" s="71"/>
      <c r="CF882" s="71"/>
      <c r="CG882" s="71"/>
      <c r="CH882" s="71"/>
      <c r="CI882" s="71"/>
      <c r="CJ882" s="71"/>
      <c r="CK882" s="71"/>
      <c r="CL882" s="71"/>
      <c r="CM882" s="71"/>
      <c r="CN882" s="71"/>
      <c r="CO882" s="71"/>
      <c r="CP882" s="71"/>
      <c r="CQ882" s="71"/>
      <c r="CR882" s="71"/>
      <c r="CS882" s="71"/>
      <c r="CT882" s="71"/>
      <c r="CU882" s="71"/>
      <c r="CV882" s="71"/>
      <c r="CW882" s="71"/>
      <c r="CX882" s="71"/>
      <c r="CY882" s="71"/>
      <c r="CZ882" s="71"/>
      <c r="DA882" s="71"/>
      <c r="DB882" s="71"/>
      <c r="DC882" s="71"/>
      <c r="DD882" s="71"/>
      <c r="DE882" s="71"/>
      <c r="DF882" s="71"/>
      <c r="DG882" s="71"/>
      <c r="DH882" s="71"/>
      <c r="DI882" s="71"/>
      <c r="DJ882" s="71"/>
      <c r="DK882" s="71"/>
      <c r="DL882" s="71"/>
      <c r="DM882" s="71"/>
      <c r="DN882" s="71"/>
      <c r="DO882" s="71"/>
      <c r="DP882" s="71"/>
      <c r="DQ882" s="71"/>
      <c r="DR882" s="71"/>
      <c r="DS882" s="71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  <c r="IJ882" s="71"/>
      <c r="IK882" s="71"/>
      <c r="IL882" s="71"/>
      <c r="IM882" s="71"/>
      <c r="IN882" s="71"/>
      <c r="IO882" s="71"/>
      <c r="IP882" s="71"/>
      <c r="IQ882" s="71"/>
      <c r="IR882" s="71"/>
      <c r="IS882" s="71"/>
      <c r="IT882" s="71"/>
      <c r="IU882" s="71"/>
      <c r="IV882" s="71"/>
      <c r="IW882" s="71"/>
    </row>
    <row r="883" customFormat="false" ht="12.75" hidden="false" customHeight="false" outlineLevel="0" collapsed="false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  <c r="BC883" s="71"/>
      <c r="BD883" s="71"/>
      <c r="BE883" s="71"/>
      <c r="BF883" s="71"/>
      <c r="BG883" s="71"/>
      <c r="BH883" s="71"/>
      <c r="BI883" s="71"/>
      <c r="BJ883" s="71"/>
      <c r="BK883" s="71"/>
      <c r="BL883" s="71"/>
      <c r="BM883" s="71"/>
      <c r="BN883" s="71"/>
      <c r="BO883" s="71"/>
      <c r="BP883" s="71"/>
      <c r="BQ883" s="71"/>
      <c r="BR883" s="71"/>
      <c r="BS883" s="71"/>
      <c r="BT883" s="71"/>
      <c r="BU883" s="71"/>
      <c r="BV883" s="71"/>
      <c r="BW883" s="71"/>
      <c r="BX883" s="71"/>
      <c r="BY883" s="71"/>
      <c r="BZ883" s="71"/>
      <c r="CA883" s="71"/>
      <c r="CB883" s="71"/>
      <c r="CC883" s="71"/>
      <c r="CD883" s="71"/>
      <c r="CE883" s="71"/>
      <c r="CF883" s="71"/>
      <c r="CG883" s="71"/>
      <c r="CH883" s="71"/>
      <c r="CI883" s="71"/>
      <c r="CJ883" s="71"/>
      <c r="CK883" s="71"/>
      <c r="CL883" s="71"/>
      <c r="CM883" s="71"/>
      <c r="CN883" s="71"/>
      <c r="CO883" s="71"/>
      <c r="CP883" s="71"/>
      <c r="CQ883" s="71"/>
      <c r="CR883" s="71"/>
      <c r="CS883" s="71"/>
      <c r="CT883" s="71"/>
      <c r="CU883" s="71"/>
      <c r="CV883" s="71"/>
      <c r="CW883" s="71"/>
      <c r="CX883" s="71"/>
      <c r="CY883" s="71"/>
      <c r="CZ883" s="71"/>
      <c r="DA883" s="71"/>
      <c r="DB883" s="71"/>
      <c r="DC883" s="71"/>
      <c r="DD883" s="71"/>
      <c r="DE883" s="71"/>
      <c r="DF883" s="71"/>
      <c r="DG883" s="71"/>
      <c r="DH883" s="71"/>
      <c r="DI883" s="71"/>
      <c r="DJ883" s="71"/>
      <c r="DK883" s="71"/>
      <c r="DL883" s="71"/>
      <c r="DM883" s="71"/>
      <c r="DN883" s="71"/>
      <c r="DO883" s="71"/>
      <c r="DP883" s="71"/>
      <c r="DQ883" s="71"/>
      <c r="DR883" s="71"/>
      <c r="DS883" s="71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  <c r="IJ883" s="71"/>
      <c r="IK883" s="71"/>
      <c r="IL883" s="71"/>
      <c r="IM883" s="71"/>
      <c r="IN883" s="71"/>
      <c r="IO883" s="71"/>
      <c r="IP883" s="71"/>
      <c r="IQ883" s="71"/>
      <c r="IR883" s="71"/>
      <c r="IS883" s="71"/>
      <c r="IT883" s="71"/>
      <c r="IU883" s="71"/>
      <c r="IV883" s="71"/>
      <c r="IW883" s="71"/>
    </row>
    <row r="884" customFormat="false" ht="12.75" hidden="false" customHeight="false" outlineLevel="0" collapsed="false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/>
      <c r="BZ884" s="71"/>
      <c r="CA884" s="71"/>
      <c r="CB884" s="71"/>
      <c r="CC884" s="71"/>
      <c r="CD884" s="71"/>
      <c r="CE884" s="71"/>
      <c r="CF884" s="71"/>
      <c r="CG884" s="71"/>
      <c r="CH884" s="71"/>
      <c r="CI884" s="71"/>
      <c r="CJ884" s="71"/>
      <c r="CK884" s="71"/>
      <c r="CL884" s="71"/>
      <c r="CM884" s="71"/>
      <c r="CN884" s="71"/>
      <c r="CO884" s="71"/>
      <c r="CP884" s="71"/>
      <c r="CQ884" s="71"/>
      <c r="CR884" s="71"/>
      <c r="CS884" s="71"/>
      <c r="CT884" s="71"/>
      <c r="CU884" s="71"/>
      <c r="CV884" s="71"/>
      <c r="CW884" s="71"/>
      <c r="CX884" s="71"/>
      <c r="CY884" s="71"/>
      <c r="CZ884" s="71"/>
      <c r="DA884" s="71"/>
      <c r="DB884" s="71"/>
      <c r="DC884" s="71"/>
      <c r="DD884" s="71"/>
      <c r="DE884" s="71"/>
      <c r="DF884" s="71"/>
      <c r="DG884" s="71"/>
      <c r="DH884" s="71"/>
      <c r="DI884" s="71"/>
      <c r="DJ884" s="71"/>
      <c r="DK884" s="71"/>
      <c r="DL884" s="71"/>
      <c r="DM884" s="71"/>
      <c r="DN884" s="71"/>
      <c r="DO884" s="71"/>
      <c r="DP884" s="71"/>
      <c r="DQ884" s="71"/>
      <c r="DR884" s="71"/>
      <c r="DS884" s="71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  <c r="IJ884" s="71"/>
      <c r="IK884" s="71"/>
      <c r="IL884" s="71"/>
      <c r="IM884" s="71"/>
      <c r="IN884" s="71"/>
      <c r="IO884" s="71"/>
      <c r="IP884" s="71"/>
      <c r="IQ884" s="71"/>
      <c r="IR884" s="71"/>
      <c r="IS884" s="71"/>
      <c r="IT884" s="71"/>
      <c r="IU884" s="71"/>
      <c r="IV884" s="71"/>
      <c r="IW884" s="71"/>
    </row>
    <row r="885" customFormat="false" ht="12.75" hidden="false" customHeight="false" outlineLevel="0" collapsed="false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  <c r="BH885" s="71"/>
      <c r="BI885" s="71"/>
      <c r="BJ885" s="71"/>
      <c r="BK885" s="71"/>
      <c r="BL885" s="71"/>
      <c r="BM885" s="71"/>
      <c r="BN885" s="71"/>
      <c r="BO885" s="71"/>
      <c r="BP885" s="71"/>
      <c r="BQ885" s="71"/>
      <c r="BR885" s="71"/>
      <c r="BS885" s="71"/>
      <c r="BT885" s="71"/>
      <c r="BU885" s="71"/>
      <c r="BV885" s="71"/>
      <c r="BW885" s="71"/>
      <c r="BX885" s="71"/>
      <c r="BY885" s="71"/>
      <c r="BZ885" s="71"/>
      <c r="CA885" s="71"/>
      <c r="CB885" s="71"/>
      <c r="CC885" s="71"/>
      <c r="CD885" s="71"/>
      <c r="CE885" s="71"/>
      <c r="CF885" s="71"/>
      <c r="CG885" s="71"/>
      <c r="CH885" s="71"/>
      <c r="CI885" s="71"/>
      <c r="CJ885" s="71"/>
      <c r="CK885" s="71"/>
      <c r="CL885" s="71"/>
      <c r="CM885" s="71"/>
      <c r="CN885" s="71"/>
      <c r="CO885" s="71"/>
      <c r="CP885" s="71"/>
      <c r="CQ885" s="71"/>
      <c r="CR885" s="71"/>
      <c r="CS885" s="71"/>
      <c r="CT885" s="71"/>
      <c r="CU885" s="71"/>
      <c r="CV885" s="71"/>
      <c r="CW885" s="71"/>
      <c r="CX885" s="71"/>
      <c r="CY885" s="71"/>
      <c r="CZ885" s="71"/>
      <c r="DA885" s="71"/>
      <c r="DB885" s="71"/>
      <c r="DC885" s="71"/>
      <c r="DD885" s="71"/>
      <c r="DE885" s="71"/>
      <c r="DF885" s="71"/>
      <c r="DG885" s="71"/>
      <c r="DH885" s="71"/>
      <c r="DI885" s="71"/>
      <c r="DJ885" s="71"/>
      <c r="DK885" s="71"/>
      <c r="DL885" s="71"/>
      <c r="DM885" s="71"/>
      <c r="DN885" s="71"/>
      <c r="DO885" s="71"/>
      <c r="DP885" s="71"/>
      <c r="DQ885" s="71"/>
      <c r="DR885" s="71"/>
      <c r="DS885" s="71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  <c r="IJ885" s="71"/>
      <c r="IK885" s="71"/>
      <c r="IL885" s="71"/>
      <c r="IM885" s="71"/>
      <c r="IN885" s="71"/>
      <c r="IO885" s="71"/>
      <c r="IP885" s="71"/>
      <c r="IQ885" s="71"/>
      <c r="IR885" s="71"/>
      <c r="IS885" s="71"/>
      <c r="IT885" s="71"/>
      <c r="IU885" s="71"/>
      <c r="IV885" s="71"/>
      <c r="IW885" s="71"/>
    </row>
    <row r="886" customFormat="false" ht="12.75" hidden="false" customHeight="false" outlineLevel="0" collapsed="false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AZ886" s="71"/>
      <c r="BA886" s="71"/>
      <c r="BB886" s="71"/>
      <c r="BC886" s="71"/>
      <c r="BD886" s="71"/>
      <c r="BE886" s="71"/>
      <c r="BF886" s="71"/>
      <c r="BG886" s="71"/>
      <c r="BH886" s="71"/>
      <c r="BI886" s="71"/>
      <c r="BJ886" s="71"/>
      <c r="BK886" s="71"/>
      <c r="BL886" s="71"/>
      <c r="BM886" s="71"/>
      <c r="BN886" s="71"/>
      <c r="BO886" s="71"/>
      <c r="BP886" s="71"/>
      <c r="BQ886" s="71"/>
      <c r="BR886" s="71"/>
      <c r="BS886" s="71"/>
      <c r="BT886" s="71"/>
      <c r="BU886" s="71"/>
      <c r="BV886" s="71"/>
      <c r="BW886" s="71"/>
      <c r="BX886" s="71"/>
      <c r="BY886" s="71"/>
      <c r="BZ886" s="71"/>
      <c r="CA886" s="71"/>
      <c r="CB886" s="71"/>
      <c r="CC886" s="71"/>
      <c r="CD886" s="71"/>
      <c r="CE886" s="71"/>
      <c r="CF886" s="71"/>
      <c r="CG886" s="71"/>
      <c r="CH886" s="71"/>
      <c r="CI886" s="71"/>
      <c r="CJ886" s="71"/>
      <c r="CK886" s="71"/>
      <c r="CL886" s="71"/>
      <c r="CM886" s="71"/>
      <c r="CN886" s="71"/>
      <c r="CO886" s="71"/>
      <c r="CP886" s="71"/>
      <c r="CQ886" s="71"/>
      <c r="CR886" s="71"/>
      <c r="CS886" s="71"/>
      <c r="CT886" s="71"/>
      <c r="CU886" s="71"/>
      <c r="CV886" s="71"/>
      <c r="CW886" s="71"/>
      <c r="CX886" s="71"/>
      <c r="CY886" s="71"/>
      <c r="CZ886" s="71"/>
      <c r="DA886" s="71"/>
      <c r="DB886" s="71"/>
      <c r="DC886" s="71"/>
      <c r="DD886" s="71"/>
      <c r="DE886" s="71"/>
      <c r="DF886" s="71"/>
      <c r="DG886" s="71"/>
      <c r="DH886" s="71"/>
      <c r="DI886" s="71"/>
      <c r="DJ886" s="71"/>
      <c r="DK886" s="71"/>
      <c r="DL886" s="71"/>
      <c r="DM886" s="71"/>
      <c r="DN886" s="71"/>
      <c r="DO886" s="71"/>
      <c r="DP886" s="71"/>
      <c r="DQ886" s="71"/>
      <c r="DR886" s="71"/>
      <c r="DS886" s="71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  <c r="IJ886" s="71"/>
      <c r="IK886" s="71"/>
      <c r="IL886" s="71"/>
      <c r="IM886" s="71"/>
      <c r="IN886" s="71"/>
      <c r="IO886" s="71"/>
      <c r="IP886" s="71"/>
      <c r="IQ886" s="71"/>
      <c r="IR886" s="71"/>
      <c r="IS886" s="71"/>
      <c r="IT886" s="71"/>
      <c r="IU886" s="71"/>
      <c r="IV886" s="71"/>
      <c r="IW886" s="71"/>
    </row>
    <row r="887" customFormat="false" ht="12.75" hidden="false" customHeight="false" outlineLevel="0" collapsed="false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  <c r="BH887" s="71"/>
      <c r="BI887" s="71"/>
      <c r="BJ887" s="71"/>
      <c r="BK887" s="71"/>
      <c r="BL887" s="71"/>
      <c r="BM887" s="71"/>
      <c r="BN887" s="71"/>
      <c r="BO887" s="71"/>
      <c r="BP887" s="71"/>
      <c r="BQ887" s="71"/>
      <c r="BR887" s="71"/>
      <c r="BS887" s="71"/>
      <c r="BT887" s="71"/>
      <c r="BU887" s="71"/>
      <c r="BV887" s="71"/>
      <c r="BW887" s="71"/>
      <c r="BX887" s="71"/>
      <c r="BY887" s="71"/>
      <c r="BZ887" s="71"/>
      <c r="CA887" s="71"/>
      <c r="CB887" s="71"/>
      <c r="CC887" s="71"/>
      <c r="CD887" s="71"/>
      <c r="CE887" s="71"/>
      <c r="CF887" s="71"/>
      <c r="CG887" s="71"/>
      <c r="CH887" s="71"/>
      <c r="CI887" s="71"/>
      <c r="CJ887" s="71"/>
      <c r="CK887" s="71"/>
      <c r="CL887" s="71"/>
      <c r="CM887" s="71"/>
      <c r="CN887" s="71"/>
      <c r="CO887" s="71"/>
      <c r="CP887" s="71"/>
      <c r="CQ887" s="71"/>
      <c r="CR887" s="71"/>
      <c r="CS887" s="71"/>
      <c r="CT887" s="71"/>
      <c r="CU887" s="71"/>
      <c r="CV887" s="71"/>
      <c r="CW887" s="71"/>
      <c r="CX887" s="71"/>
      <c r="CY887" s="71"/>
      <c r="CZ887" s="71"/>
      <c r="DA887" s="71"/>
      <c r="DB887" s="71"/>
      <c r="DC887" s="71"/>
      <c r="DD887" s="71"/>
      <c r="DE887" s="71"/>
      <c r="DF887" s="71"/>
      <c r="DG887" s="71"/>
      <c r="DH887" s="71"/>
      <c r="DI887" s="71"/>
      <c r="DJ887" s="71"/>
      <c r="DK887" s="71"/>
      <c r="DL887" s="71"/>
      <c r="DM887" s="71"/>
      <c r="DN887" s="71"/>
      <c r="DO887" s="71"/>
      <c r="DP887" s="71"/>
      <c r="DQ887" s="71"/>
      <c r="DR887" s="71"/>
      <c r="DS887" s="71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  <c r="IJ887" s="71"/>
      <c r="IK887" s="71"/>
      <c r="IL887" s="71"/>
      <c r="IM887" s="71"/>
      <c r="IN887" s="71"/>
      <c r="IO887" s="71"/>
      <c r="IP887" s="71"/>
      <c r="IQ887" s="71"/>
      <c r="IR887" s="71"/>
      <c r="IS887" s="71"/>
      <c r="IT887" s="71"/>
      <c r="IU887" s="71"/>
      <c r="IV887" s="71"/>
      <c r="IW887" s="71"/>
    </row>
    <row r="888" customFormat="false" ht="12.75" hidden="false" customHeight="false" outlineLevel="0" collapsed="false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  <c r="BC888" s="71"/>
      <c r="BD888" s="71"/>
      <c r="BE888" s="71"/>
      <c r="BF888" s="71"/>
      <c r="BG888" s="71"/>
      <c r="BH888" s="71"/>
      <c r="BI888" s="71"/>
      <c r="BJ888" s="71"/>
      <c r="BK888" s="71"/>
      <c r="BL888" s="71"/>
      <c r="BM888" s="71"/>
      <c r="BN888" s="71"/>
      <c r="BO888" s="71"/>
      <c r="BP888" s="71"/>
      <c r="BQ888" s="71"/>
      <c r="BR888" s="71"/>
      <c r="BS888" s="71"/>
      <c r="BT888" s="71"/>
      <c r="BU888" s="71"/>
      <c r="BV888" s="71"/>
      <c r="BW888" s="71"/>
      <c r="BX888" s="71"/>
      <c r="BY888" s="71"/>
      <c r="BZ888" s="71"/>
      <c r="CA888" s="71"/>
      <c r="CB888" s="71"/>
      <c r="CC888" s="71"/>
      <c r="CD888" s="71"/>
      <c r="CE888" s="71"/>
      <c r="CF888" s="71"/>
      <c r="CG888" s="71"/>
      <c r="CH888" s="71"/>
      <c r="CI888" s="71"/>
      <c r="CJ888" s="71"/>
      <c r="CK888" s="71"/>
      <c r="CL888" s="71"/>
      <c r="CM888" s="71"/>
      <c r="CN888" s="71"/>
      <c r="CO888" s="71"/>
      <c r="CP888" s="71"/>
      <c r="CQ888" s="71"/>
      <c r="CR888" s="71"/>
      <c r="CS888" s="71"/>
      <c r="CT888" s="71"/>
      <c r="CU888" s="71"/>
      <c r="CV888" s="71"/>
      <c r="CW888" s="71"/>
      <c r="CX888" s="71"/>
      <c r="CY888" s="71"/>
      <c r="CZ888" s="71"/>
      <c r="DA888" s="71"/>
      <c r="DB888" s="71"/>
      <c r="DC888" s="71"/>
      <c r="DD888" s="71"/>
      <c r="DE888" s="71"/>
      <c r="DF888" s="71"/>
      <c r="DG888" s="71"/>
      <c r="DH888" s="71"/>
      <c r="DI888" s="71"/>
      <c r="DJ888" s="71"/>
      <c r="DK888" s="71"/>
      <c r="DL888" s="71"/>
      <c r="DM888" s="71"/>
      <c r="DN888" s="71"/>
      <c r="DO888" s="71"/>
      <c r="DP888" s="71"/>
      <c r="DQ888" s="71"/>
      <c r="DR888" s="71"/>
      <c r="DS888" s="71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  <c r="IJ888" s="71"/>
      <c r="IK888" s="71"/>
      <c r="IL888" s="71"/>
      <c r="IM888" s="71"/>
      <c r="IN888" s="71"/>
      <c r="IO888" s="71"/>
      <c r="IP888" s="71"/>
      <c r="IQ888" s="71"/>
      <c r="IR888" s="71"/>
      <c r="IS888" s="71"/>
      <c r="IT888" s="71"/>
      <c r="IU888" s="71"/>
      <c r="IV888" s="71"/>
      <c r="IW888" s="71"/>
    </row>
    <row r="889" customFormat="false" ht="12.75" hidden="false" customHeight="false" outlineLevel="0" collapsed="false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  <c r="BH889" s="71"/>
      <c r="BI889" s="71"/>
      <c r="BJ889" s="71"/>
      <c r="BK889" s="71"/>
      <c r="BL889" s="71"/>
      <c r="BM889" s="71"/>
      <c r="BN889" s="71"/>
      <c r="BO889" s="71"/>
      <c r="BP889" s="71"/>
      <c r="BQ889" s="71"/>
      <c r="BR889" s="71"/>
      <c r="BS889" s="71"/>
      <c r="BT889" s="71"/>
      <c r="BU889" s="71"/>
      <c r="BV889" s="71"/>
      <c r="BW889" s="71"/>
      <c r="BX889" s="71"/>
      <c r="BY889" s="71"/>
      <c r="BZ889" s="71"/>
      <c r="CA889" s="71"/>
      <c r="CB889" s="71"/>
      <c r="CC889" s="71"/>
      <c r="CD889" s="71"/>
      <c r="CE889" s="71"/>
      <c r="CF889" s="71"/>
      <c r="CG889" s="71"/>
      <c r="CH889" s="71"/>
      <c r="CI889" s="71"/>
      <c r="CJ889" s="71"/>
      <c r="CK889" s="71"/>
      <c r="CL889" s="71"/>
      <c r="CM889" s="71"/>
      <c r="CN889" s="71"/>
      <c r="CO889" s="71"/>
      <c r="CP889" s="71"/>
      <c r="CQ889" s="71"/>
      <c r="CR889" s="71"/>
      <c r="CS889" s="71"/>
      <c r="CT889" s="71"/>
      <c r="CU889" s="71"/>
      <c r="CV889" s="71"/>
      <c r="CW889" s="71"/>
      <c r="CX889" s="71"/>
      <c r="CY889" s="71"/>
      <c r="CZ889" s="71"/>
      <c r="DA889" s="71"/>
      <c r="DB889" s="71"/>
      <c r="DC889" s="71"/>
      <c r="DD889" s="71"/>
      <c r="DE889" s="71"/>
      <c r="DF889" s="71"/>
      <c r="DG889" s="71"/>
      <c r="DH889" s="71"/>
      <c r="DI889" s="71"/>
      <c r="DJ889" s="71"/>
      <c r="DK889" s="71"/>
      <c r="DL889" s="71"/>
      <c r="DM889" s="71"/>
      <c r="DN889" s="71"/>
      <c r="DO889" s="71"/>
      <c r="DP889" s="71"/>
      <c r="DQ889" s="71"/>
      <c r="DR889" s="71"/>
      <c r="DS889" s="71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  <c r="IJ889" s="71"/>
      <c r="IK889" s="71"/>
      <c r="IL889" s="71"/>
      <c r="IM889" s="71"/>
      <c r="IN889" s="71"/>
      <c r="IO889" s="71"/>
      <c r="IP889" s="71"/>
      <c r="IQ889" s="71"/>
      <c r="IR889" s="71"/>
      <c r="IS889" s="71"/>
      <c r="IT889" s="71"/>
      <c r="IU889" s="71"/>
      <c r="IV889" s="71"/>
      <c r="IW889" s="71"/>
    </row>
    <row r="890" customFormat="false" ht="12.75" hidden="false" customHeight="false" outlineLevel="0" collapsed="false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  <c r="BC890" s="71"/>
      <c r="BD890" s="71"/>
      <c r="BE890" s="71"/>
      <c r="BF890" s="71"/>
      <c r="BG890" s="71"/>
      <c r="BH890" s="71"/>
      <c r="BI890" s="71"/>
      <c r="BJ890" s="71"/>
      <c r="BK890" s="71"/>
      <c r="BL890" s="71"/>
      <c r="BM890" s="71"/>
      <c r="BN890" s="71"/>
      <c r="BO890" s="71"/>
      <c r="BP890" s="71"/>
      <c r="BQ890" s="71"/>
      <c r="BR890" s="71"/>
      <c r="BS890" s="71"/>
      <c r="BT890" s="71"/>
      <c r="BU890" s="71"/>
      <c r="BV890" s="71"/>
      <c r="BW890" s="71"/>
      <c r="BX890" s="71"/>
      <c r="BY890" s="71"/>
      <c r="BZ890" s="71"/>
      <c r="CA890" s="71"/>
      <c r="CB890" s="71"/>
      <c r="CC890" s="71"/>
      <c r="CD890" s="71"/>
      <c r="CE890" s="71"/>
      <c r="CF890" s="71"/>
      <c r="CG890" s="71"/>
      <c r="CH890" s="71"/>
      <c r="CI890" s="71"/>
      <c r="CJ890" s="71"/>
      <c r="CK890" s="71"/>
      <c r="CL890" s="71"/>
      <c r="CM890" s="71"/>
      <c r="CN890" s="71"/>
      <c r="CO890" s="71"/>
      <c r="CP890" s="71"/>
      <c r="CQ890" s="71"/>
      <c r="CR890" s="71"/>
      <c r="CS890" s="71"/>
      <c r="CT890" s="71"/>
      <c r="CU890" s="71"/>
      <c r="CV890" s="71"/>
      <c r="CW890" s="71"/>
      <c r="CX890" s="71"/>
      <c r="CY890" s="71"/>
      <c r="CZ890" s="71"/>
      <c r="DA890" s="71"/>
      <c r="DB890" s="71"/>
      <c r="DC890" s="71"/>
      <c r="DD890" s="71"/>
      <c r="DE890" s="71"/>
      <c r="DF890" s="71"/>
      <c r="DG890" s="71"/>
      <c r="DH890" s="71"/>
      <c r="DI890" s="71"/>
      <c r="DJ890" s="71"/>
      <c r="DK890" s="71"/>
      <c r="DL890" s="71"/>
      <c r="DM890" s="71"/>
      <c r="DN890" s="71"/>
      <c r="DO890" s="71"/>
      <c r="DP890" s="71"/>
      <c r="DQ890" s="71"/>
      <c r="DR890" s="71"/>
      <c r="DS890" s="71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  <c r="IJ890" s="71"/>
      <c r="IK890" s="71"/>
      <c r="IL890" s="71"/>
      <c r="IM890" s="71"/>
      <c r="IN890" s="71"/>
      <c r="IO890" s="71"/>
      <c r="IP890" s="71"/>
      <c r="IQ890" s="71"/>
      <c r="IR890" s="71"/>
      <c r="IS890" s="71"/>
      <c r="IT890" s="71"/>
      <c r="IU890" s="71"/>
      <c r="IV890" s="71"/>
      <c r="IW890" s="71"/>
    </row>
    <row r="891" customFormat="false" ht="12.75" hidden="false" customHeight="false" outlineLevel="0" collapsed="false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  <c r="BH891" s="71"/>
      <c r="BI891" s="71"/>
      <c r="BJ891" s="71"/>
      <c r="BK891" s="71"/>
      <c r="BL891" s="71"/>
      <c r="BM891" s="71"/>
      <c r="BN891" s="71"/>
      <c r="BO891" s="71"/>
      <c r="BP891" s="71"/>
      <c r="BQ891" s="71"/>
      <c r="BR891" s="71"/>
      <c r="BS891" s="71"/>
      <c r="BT891" s="71"/>
      <c r="BU891" s="71"/>
      <c r="BV891" s="71"/>
      <c r="BW891" s="71"/>
      <c r="BX891" s="71"/>
      <c r="BY891" s="71"/>
      <c r="BZ891" s="71"/>
      <c r="CA891" s="71"/>
      <c r="CB891" s="71"/>
      <c r="CC891" s="71"/>
      <c r="CD891" s="71"/>
      <c r="CE891" s="71"/>
      <c r="CF891" s="71"/>
      <c r="CG891" s="71"/>
      <c r="CH891" s="71"/>
      <c r="CI891" s="71"/>
      <c r="CJ891" s="71"/>
      <c r="CK891" s="71"/>
      <c r="CL891" s="71"/>
      <c r="CM891" s="71"/>
      <c r="CN891" s="71"/>
      <c r="CO891" s="71"/>
      <c r="CP891" s="71"/>
      <c r="CQ891" s="71"/>
      <c r="CR891" s="71"/>
      <c r="CS891" s="71"/>
      <c r="CT891" s="71"/>
      <c r="CU891" s="71"/>
      <c r="CV891" s="71"/>
      <c r="CW891" s="71"/>
      <c r="CX891" s="71"/>
      <c r="CY891" s="71"/>
      <c r="CZ891" s="71"/>
      <c r="DA891" s="71"/>
      <c r="DB891" s="71"/>
      <c r="DC891" s="71"/>
      <c r="DD891" s="71"/>
      <c r="DE891" s="71"/>
      <c r="DF891" s="71"/>
      <c r="DG891" s="71"/>
      <c r="DH891" s="71"/>
      <c r="DI891" s="71"/>
      <c r="DJ891" s="71"/>
      <c r="DK891" s="71"/>
      <c r="DL891" s="71"/>
      <c r="DM891" s="71"/>
      <c r="DN891" s="71"/>
      <c r="DO891" s="71"/>
      <c r="DP891" s="71"/>
      <c r="DQ891" s="71"/>
      <c r="DR891" s="71"/>
      <c r="DS891" s="71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  <c r="IJ891" s="71"/>
      <c r="IK891" s="71"/>
      <c r="IL891" s="71"/>
      <c r="IM891" s="71"/>
      <c r="IN891" s="71"/>
      <c r="IO891" s="71"/>
      <c r="IP891" s="71"/>
      <c r="IQ891" s="71"/>
      <c r="IR891" s="71"/>
      <c r="IS891" s="71"/>
      <c r="IT891" s="71"/>
      <c r="IU891" s="71"/>
      <c r="IV891" s="71"/>
      <c r="IW891" s="71"/>
    </row>
    <row r="892" customFormat="false" ht="12.75" hidden="false" customHeight="false" outlineLevel="0" collapsed="false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AZ892" s="71"/>
      <c r="BA892" s="71"/>
      <c r="BB892" s="71"/>
      <c r="BC892" s="71"/>
      <c r="BD892" s="71"/>
      <c r="BE892" s="71"/>
      <c r="BF892" s="71"/>
      <c r="BG892" s="71"/>
      <c r="BH892" s="71"/>
      <c r="BI892" s="71"/>
      <c r="BJ892" s="71"/>
      <c r="BK892" s="71"/>
      <c r="BL892" s="71"/>
      <c r="BM892" s="71"/>
      <c r="BN892" s="71"/>
      <c r="BO892" s="71"/>
      <c r="BP892" s="71"/>
      <c r="BQ892" s="71"/>
      <c r="BR892" s="71"/>
      <c r="BS892" s="71"/>
      <c r="BT892" s="71"/>
      <c r="BU892" s="71"/>
      <c r="BV892" s="71"/>
      <c r="BW892" s="71"/>
      <c r="BX892" s="71"/>
      <c r="BY892" s="71"/>
      <c r="BZ892" s="71"/>
      <c r="CA892" s="71"/>
      <c r="CB892" s="71"/>
      <c r="CC892" s="71"/>
      <c r="CD892" s="71"/>
      <c r="CE892" s="71"/>
      <c r="CF892" s="71"/>
      <c r="CG892" s="71"/>
      <c r="CH892" s="71"/>
      <c r="CI892" s="71"/>
      <c r="CJ892" s="71"/>
      <c r="CK892" s="71"/>
      <c r="CL892" s="71"/>
      <c r="CM892" s="71"/>
      <c r="CN892" s="71"/>
      <c r="CO892" s="71"/>
      <c r="CP892" s="71"/>
      <c r="CQ892" s="71"/>
      <c r="CR892" s="71"/>
      <c r="CS892" s="71"/>
      <c r="CT892" s="71"/>
      <c r="CU892" s="71"/>
      <c r="CV892" s="71"/>
      <c r="CW892" s="71"/>
      <c r="CX892" s="71"/>
      <c r="CY892" s="71"/>
      <c r="CZ892" s="71"/>
      <c r="DA892" s="71"/>
      <c r="DB892" s="71"/>
      <c r="DC892" s="71"/>
      <c r="DD892" s="71"/>
      <c r="DE892" s="71"/>
      <c r="DF892" s="71"/>
      <c r="DG892" s="71"/>
      <c r="DH892" s="71"/>
      <c r="DI892" s="71"/>
      <c r="DJ892" s="71"/>
      <c r="DK892" s="71"/>
      <c r="DL892" s="71"/>
      <c r="DM892" s="71"/>
      <c r="DN892" s="71"/>
      <c r="DO892" s="71"/>
      <c r="DP892" s="71"/>
      <c r="DQ892" s="71"/>
      <c r="DR892" s="71"/>
      <c r="DS892" s="71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  <c r="IJ892" s="71"/>
      <c r="IK892" s="71"/>
      <c r="IL892" s="71"/>
      <c r="IM892" s="71"/>
      <c r="IN892" s="71"/>
      <c r="IO892" s="71"/>
      <c r="IP892" s="71"/>
      <c r="IQ892" s="71"/>
      <c r="IR892" s="71"/>
      <c r="IS892" s="71"/>
      <c r="IT892" s="71"/>
      <c r="IU892" s="71"/>
      <c r="IV892" s="71"/>
      <c r="IW892" s="71"/>
    </row>
    <row r="893" customFormat="false" ht="12.75" hidden="false" customHeight="false" outlineLevel="0" collapsed="false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  <c r="BC893" s="71"/>
      <c r="BD893" s="71"/>
      <c r="BE893" s="71"/>
      <c r="BF893" s="71"/>
      <c r="BG893" s="71"/>
      <c r="BH893" s="71"/>
      <c r="BI893" s="71"/>
      <c r="BJ893" s="71"/>
      <c r="BK893" s="71"/>
      <c r="BL893" s="71"/>
      <c r="BM893" s="71"/>
      <c r="BN893" s="71"/>
      <c r="BO893" s="71"/>
      <c r="BP893" s="71"/>
      <c r="BQ893" s="71"/>
      <c r="BR893" s="71"/>
      <c r="BS893" s="71"/>
      <c r="BT893" s="71"/>
      <c r="BU893" s="71"/>
      <c r="BV893" s="71"/>
      <c r="BW893" s="71"/>
      <c r="BX893" s="71"/>
      <c r="BY893" s="71"/>
      <c r="BZ893" s="71"/>
      <c r="CA893" s="71"/>
      <c r="CB893" s="71"/>
      <c r="CC893" s="71"/>
      <c r="CD893" s="71"/>
      <c r="CE893" s="71"/>
      <c r="CF893" s="71"/>
      <c r="CG893" s="71"/>
      <c r="CH893" s="71"/>
      <c r="CI893" s="71"/>
      <c r="CJ893" s="71"/>
      <c r="CK893" s="71"/>
      <c r="CL893" s="71"/>
      <c r="CM893" s="71"/>
      <c r="CN893" s="71"/>
      <c r="CO893" s="71"/>
      <c r="CP893" s="71"/>
      <c r="CQ893" s="71"/>
      <c r="CR893" s="71"/>
      <c r="CS893" s="71"/>
      <c r="CT893" s="71"/>
      <c r="CU893" s="71"/>
      <c r="CV893" s="71"/>
      <c r="CW893" s="71"/>
      <c r="CX893" s="71"/>
      <c r="CY893" s="71"/>
      <c r="CZ893" s="71"/>
      <c r="DA893" s="71"/>
      <c r="DB893" s="71"/>
      <c r="DC893" s="71"/>
      <c r="DD893" s="71"/>
      <c r="DE893" s="71"/>
      <c r="DF893" s="71"/>
      <c r="DG893" s="71"/>
      <c r="DH893" s="71"/>
      <c r="DI893" s="71"/>
      <c r="DJ893" s="71"/>
      <c r="DK893" s="71"/>
      <c r="DL893" s="71"/>
      <c r="DM893" s="71"/>
      <c r="DN893" s="71"/>
      <c r="DO893" s="71"/>
      <c r="DP893" s="71"/>
      <c r="DQ893" s="71"/>
      <c r="DR893" s="71"/>
      <c r="DS893" s="71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  <c r="IJ893" s="71"/>
      <c r="IK893" s="71"/>
      <c r="IL893" s="71"/>
      <c r="IM893" s="71"/>
      <c r="IN893" s="71"/>
      <c r="IO893" s="71"/>
      <c r="IP893" s="71"/>
      <c r="IQ893" s="71"/>
      <c r="IR893" s="71"/>
      <c r="IS893" s="71"/>
      <c r="IT893" s="71"/>
      <c r="IU893" s="71"/>
      <c r="IV893" s="71"/>
      <c r="IW893" s="71"/>
    </row>
    <row r="894" customFormat="false" ht="12.75" hidden="false" customHeight="false" outlineLevel="0" collapsed="false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  <c r="BC894" s="71"/>
      <c r="BD894" s="71"/>
      <c r="BE894" s="71"/>
      <c r="BF894" s="71"/>
      <c r="BG894" s="71"/>
      <c r="BH894" s="71"/>
      <c r="BI894" s="71"/>
      <c r="BJ894" s="71"/>
      <c r="BK894" s="71"/>
      <c r="BL894" s="71"/>
      <c r="BM894" s="71"/>
      <c r="BN894" s="71"/>
      <c r="BO894" s="71"/>
      <c r="BP894" s="71"/>
      <c r="BQ894" s="71"/>
      <c r="BR894" s="71"/>
      <c r="BS894" s="71"/>
      <c r="BT894" s="71"/>
      <c r="BU894" s="71"/>
      <c r="BV894" s="71"/>
      <c r="BW894" s="71"/>
      <c r="BX894" s="71"/>
      <c r="BY894" s="71"/>
      <c r="BZ894" s="71"/>
      <c r="CA894" s="71"/>
      <c r="CB894" s="71"/>
      <c r="CC894" s="71"/>
      <c r="CD894" s="71"/>
      <c r="CE894" s="71"/>
      <c r="CF894" s="71"/>
      <c r="CG894" s="71"/>
      <c r="CH894" s="71"/>
      <c r="CI894" s="71"/>
      <c r="CJ894" s="71"/>
      <c r="CK894" s="71"/>
      <c r="CL894" s="71"/>
      <c r="CM894" s="71"/>
      <c r="CN894" s="71"/>
      <c r="CO894" s="71"/>
      <c r="CP894" s="71"/>
      <c r="CQ894" s="71"/>
      <c r="CR894" s="71"/>
      <c r="CS894" s="71"/>
      <c r="CT894" s="71"/>
      <c r="CU894" s="71"/>
      <c r="CV894" s="71"/>
      <c r="CW894" s="71"/>
      <c r="CX894" s="71"/>
      <c r="CY894" s="71"/>
      <c r="CZ894" s="71"/>
      <c r="DA894" s="71"/>
      <c r="DB894" s="71"/>
      <c r="DC894" s="71"/>
      <c r="DD894" s="71"/>
      <c r="DE894" s="71"/>
      <c r="DF894" s="71"/>
      <c r="DG894" s="71"/>
      <c r="DH894" s="71"/>
      <c r="DI894" s="71"/>
      <c r="DJ894" s="71"/>
      <c r="DK894" s="71"/>
      <c r="DL894" s="71"/>
      <c r="DM894" s="71"/>
      <c r="DN894" s="71"/>
      <c r="DO894" s="71"/>
      <c r="DP894" s="71"/>
      <c r="DQ894" s="71"/>
      <c r="DR894" s="71"/>
      <c r="DS894" s="71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  <c r="IJ894" s="71"/>
      <c r="IK894" s="71"/>
      <c r="IL894" s="71"/>
      <c r="IM894" s="71"/>
      <c r="IN894" s="71"/>
      <c r="IO894" s="71"/>
      <c r="IP894" s="71"/>
      <c r="IQ894" s="71"/>
      <c r="IR894" s="71"/>
      <c r="IS894" s="71"/>
      <c r="IT894" s="71"/>
      <c r="IU894" s="71"/>
      <c r="IV894" s="71"/>
      <c r="IW894" s="71"/>
    </row>
    <row r="895" customFormat="false" ht="12.75" hidden="false" customHeight="false" outlineLevel="0" collapsed="false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  <c r="BC895" s="71"/>
      <c r="BD895" s="71"/>
      <c r="BE895" s="71"/>
      <c r="BF895" s="71"/>
      <c r="BG895" s="71"/>
      <c r="BH895" s="71"/>
      <c r="BI895" s="71"/>
      <c r="BJ895" s="71"/>
      <c r="BK895" s="71"/>
      <c r="BL895" s="71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/>
      <c r="BX895" s="71"/>
      <c r="BY895" s="71"/>
      <c r="BZ895" s="71"/>
      <c r="CA895" s="71"/>
      <c r="CB895" s="71"/>
      <c r="CC895" s="71"/>
      <c r="CD895" s="71"/>
      <c r="CE895" s="71"/>
      <c r="CF895" s="71"/>
      <c r="CG895" s="71"/>
      <c r="CH895" s="71"/>
      <c r="CI895" s="71"/>
      <c r="CJ895" s="71"/>
      <c r="CK895" s="71"/>
      <c r="CL895" s="71"/>
      <c r="CM895" s="71"/>
      <c r="CN895" s="71"/>
      <c r="CO895" s="71"/>
      <c r="CP895" s="71"/>
      <c r="CQ895" s="71"/>
      <c r="CR895" s="71"/>
      <c r="CS895" s="71"/>
      <c r="CT895" s="71"/>
      <c r="CU895" s="71"/>
      <c r="CV895" s="71"/>
      <c r="CW895" s="71"/>
      <c r="CX895" s="71"/>
      <c r="CY895" s="71"/>
      <c r="CZ895" s="71"/>
      <c r="DA895" s="71"/>
      <c r="DB895" s="71"/>
      <c r="DC895" s="71"/>
      <c r="DD895" s="71"/>
      <c r="DE895" s="71"/>
      <c r="DF895" s="71"/>
      <c r="DG895" s="71"/>
      <c r="DH895" s="71"/>
      <c r="DI895" s="71"/>
      <c r="DJ895" s="71"/>
      <c r="DK895" s="71"/>
      <c r="DL895" s="71"/>
      <c r="DM895" s="71"/>
      <c r="DN895" s="71"/>
      <c r="DO895" s="71"/>
      <c r="DP895" s="71"/>
      <c r="DQ895" s="71"/>
      <c r="DR895" s="71"/>
      <c r="DS895" s="71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  <c r="IJ895" s="71"/>
      <c r="IK895" s="71"/>
      <c r="IL895" s="71"/>
      <c r="IM895" s="71"/>
      <c r="IN895" s="71"/>
      <c r="IO895" s="71"/>
      <c r="IP895" s="71"/>
      <c r="IQ895" s="71"/>
      <c r="IR895" s="71"/>
      <c r="IS895" s="71"/>
      <c r="IT895" s="71"/>
      <c r="IU895" s="71"/>
      <c r="IV895" s="71"/>
      <c r="IW895" s="71"/>
    </row>
    <row r="896" customFormat="false" ht="12.75" hidden="false" customHeight="false" outlineLevel="0" collapsed="false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  <c r="BC896" s="71"/>
      <c r="BD896" s="71"/>
      <c r="BE896" s="71"/>
      <c r="BF896" s="71"/>
      <c r="BG896" s="71"/>
      <c r="BH896" s="71"/>
      <c r="BI896" s="71"/>
      <c r="BJ896" s="71"/>
      <c r="BK896" s="71"/>
      <c r="BL896" s="71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1"/>
      <c r="CB896" s="71"/>
      <c r="CC896" s="71"/>
      <c r="CD896" s="71"/>
      <c r="CE896" s="71"/>
      <c r="CF896" s="71"/>
      <c r="CG896" s="71"/>
      <c r="CH896" s="71"/>
      <c r="CI896" s="71"/>
      <c r="CJ896" s="71"/>
      <c r="CK896" s="71"/>
      <c r="CL896" s="71"/>
      <c r="CM896" s="71"/>
      <c r="CN896" s="71"/>
      <c r="CO896" s="71"/>
      <c r="CP896" s="71"/>
      <c r="CQ896" s="71"/>
      <c r="CR896" s="71"/>
      <c r="CS896" s="71"/>
      <c r="CT896" s="71"/>
      <c r="CU896" s="71"/>
      <c r="CV896" s="71"/>
      <c r="CW896" s="71"/>
      <c r="CX896" s="71"/>
      <c r="CY896" s="71"/>
      <c r="CZ896" s="71"/>
      <c r="DA896" s="71"/>
      <c r="DB896" s="71"/>
      <c r="DC896" s="71"/>
      <c r="DD896" s="71"/>
      <c r="DE896" s="71"/>
      <c r="DF896" s="71"/>
      <c r="DG896" s="71"/>
      <c r="DH896" s="71"/>
      <c r="DI896" s="71"/>
      <c r="DJ896" s="71"/>
      <c r="DK896" s="71"/>
      <c r="DL896" s="71"/>
      <c r="DM896" s="71"/>
      <c r="DN896" s="71"/>
      <c r="DO896" s="71"/>
      <c r="DP896" s="71"/>
      <c r="DQ896" s="71"/>
      <c r="DR896" s="71"/>
      <c r="DS896" s="71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  <c r="IJ896" s="71"/>
      <c r="IK896" s="71"/>
      <c r="IL896" s="71"/>
      <c r="IM896" s="71"/>
      <c r="IN896" s="71"/>
      <c r="IO896" s="71"/>
      <c r="IP896" s="71"/>
      <c r="IQ896" s="71"/>
      <c r="IR896" s="71"/>
      <c r="IS896" s="71"/>
      <c r="IT896" s="71"/>
      <c r="IU896" s="71"/>
      <c r="IV896" s="71"/>
      <c r="IW896" s="71"/>
    </row>
    <row r="897" customFormat="false" ht="12.75" hidden="false" customHeight="false" outlineLevel="0" collapsed="false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  <c r="BH897" s="71"/>
      <c r="BI897" s="71"/>
      <c r="BJ897" s="71"/>
      <c r="BK897" s="71"/>
      <c r="BL897" s="71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71"/>
      <c r="CE897" s="71"/>
      <c r="CF897" s="71"/>
      <c r="CG897" s="71"/>
      <c r="CH897" s="71"/>
      <c r="CI897" s="71"/>
      <c r="CJ897" s="71"/>
      <c r="CK897" s="71"/>
      <c r="CL897" s="71"/>
      <c r="CM897" s="71"/>
      <c r="CN897" s="71"/>
      <c r="CO897" s="71"/>
      <c r="CP897" s="71"/>
      <c r="CQ897" s="71"/>
      <c r="CR897" s="71"/>
      <c r="CS897" s="71"/>
      <c r="CT897" s="71"/>
      <c r="CU897" s="71"/>
      <c r="CV897" s="71"/>
      <c r="CW897" s="71"/>
      <c r="CX897" s="71"/>
      <c r="CY897" s="71"/>
      <c r="CZ897" s="71"/>
      <c r="DA897" s="71"/>
      <c r="DB897" s="71"/>
      <c r="DC897" s="71"/>
      <c r="DD897" s="71"/>
      <c r="DE897" s="71"/>
      <c r="DF897" s="71"/>
      <c r="DG897" s="71"/>
      <c r="DH897" s="71"/>
      <c r="DI897" s="71"/>
      <c r="DJ897" s="71"/>
      <c r="DK897" s="71"/>
      <c r="DL897" s="71"/>
      <c r="DM897" s="71"/>
      <c r="DN897" s="71"/>
      <c r="DO897" s="71"/>
      <c r="DP897" s="71"/>
      <c r="DQ897" s="71"/>
      <c r="DR897" s="71"/>
      <c r="DS897" s="71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  <c r="IJ897" s="71"/>
      <c r="IK897" s="71"/>
      <c r="IL897" s="71"/>
      <c r="IM897" s="71"/>
      <c r="IN897" s="71"/>
      <c r="IO897" s="71"/>
      <c r="IP897" s="71"/>
      <c r="IQ897" s="71"/>
      <c r="IR897" s="71"/>
      <c r="IS897" s="71"/>
      <c r="IT897" s="71"/>
      <c r="IU897" s="71"/>
      <c r="IV897" s="71"/>
      <c r="IW897" s="71"/>
    </row>
    <row r="898" customFormat="false" ht="12.75" hidden="false" customHeight="false" outlineLevel="0" collapsed="false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  <c r="BC898" s="71"/>
      <c r="BD898" s="71"/>
      <c r="BE898" s="71"/>
      <c r="BF898" s="71"/>
      <c r="BG898" s="71"/>
      <c r="BH898" s="71"/>
      <c r="BI898" s="71"/>
      <c r="BJ898" s="71"/>
      <c r="BK898" s="71"/>
      <c r="BL898" s="71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1"/>
      <c r="CB898" s="71"/>
      <c r="CC898" s="71"/>
      <c r="CD898" s="71"/>
      <c r="CE898" s="71"/>
      <c r="CF898" s="71"/>
      <c r="CG898" s="71"/>
      <c r="CH898" s="71"/>
      <c r="CI898" s="71"/>
      <c r="CJ898" s="71"/>
      <c r="CK898" s="71"/>
      <c r="CL898" s="71"/>
      <c r="CM898" s="71"/>
      <c r="CN898" s="71"/>
      <c r="CO898" s="71"/>
      <c r="CP898" s="71"/>
      <c r="CQ898" s="71"/>
      <c r="CR898" s="71"/>
      <c r="CS898" s="71"/>
      <c r="CT898" s="71"/>
      <c r="CU898" s="71"/>
      <c r="CV898" s="71"/>
      <c r="CW898" s="71"/>
      <c r="CX898" s="71"/>
      <c r="CY898" s="71"/>
      <c r="CZ898" s="71"/>
      <c r="DA898" s="71"/>
      <c r="DB898" s="71"/>
      <c r="DC898" s="71"/>
      <c r="DD898" s="71"/>
      <c r="DE898" s="71"/>
      <c r="DF898" s="71"/>
      <c r="DG898" s="71"/>
      <c r="DH898" s="71"/>
      <c r="DI898" s="71"/>
      <c r="DJ898" s="71"/>
      <c r="DK898" s="71"/>
      <c r="DL898" s="71"/>
      <c r="DM898" s="71"/>
      <c r="DN898" s="71"/>
      <c r="DO898" s="71"/>
      <c r="DP898" s="71"/>
      <c r="DQ898" s="71"/>
      <c r="DR898" s="71"/>
      <c r="DS898" s="71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  <c r="IJ898" s="71"/>
      <c r="IK898" s="71"/>
      <c r="IL898" s="71"/>
      <c r="IM898" s="71"/>
      <c r="IN898" s="71"/>
      <c r="IO898" s="71"/>
      <c r="IP898" s="71"/>
      <c r="IQ898" s="71"/>
      <c r="IR898" s="71"/>
      <c r="IS898" s="71"/>
      <c r="IT898" s="71"/>
      <c r="IU898" s="71"/>
      <c r="IV898" s="71"/>
      <c r="IW898" s="71"/>
    </row>
    <row r="899" customFormat="false" ht="12.75" hidden="false" customHeight="false" outlineLevel="0" collapsed="false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  <c r="BC899" s="71"/>
      <c r="BD899" s="71"/>
      <c r="BE899" s="71"/>
      <c r="BF899" s="71"/>
      <c r="BG899" s="71"/>
      <c r="BH899" s="71"/>
      <c r="BI899" s="71"/>
      <c r="BJ899" s="71"/>
      <c r="BK899" s="71"/>
      <c r="BL899" s="71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1"/>
      <c r="CB899" s="71"/>
      <c r="CC899" s="71"/>
      <c r="CD899" s="71"/>
      <c r="CE899" s="71"/>
      <c r="CF899" s="71"/>
      <c r="CG899" s="71"/>
      <c r="CH899" s="71"/>
      <c r="CI899" s="71"/>
      <c r="CJ899" s="71"/>
      <c r="CK899" s="71"/>
      <c r="CL899" s="71"/>
      <c r="CM899" s="71"/>
      <c r="CN899" s="71"/>
      <c r="CO899" s="71"/>
      <c r="CP899" s="71"/>
      <c r="CQ899" s="71"/>
      <c r="CR899" s="71"/>
      <c r="CS899" s="71"/>
      <c r="CT899" s="71"/>
      <c r="CU899" s="71"/>
      <c r="CV899" s="71"/>
      <c r="CW899" s="71"/>
      <c r="CX899" s="71"/>
      <c r="CY899" s="71"/>
      <c r="CZ899" s="71"/>
      <c r="DA899" s="71"/>
      <c r="DB899" s="71"/>
      <c r="DC899" s="71"/>
      <c r="DD899" s="71"/>
      <c r="DE899" s="71"/>
      <c r="DF899" s="71"/>
      <c r="DG899" s="71"/>
      <c r="DH899" s="71"/>
      <c r="DI899" s="71"/>
      <c r="DJ899" s="71"/>
      <c r="DK899" s="71"/>
      <c r="DL899" s="71"/>
      <c r="DM899" s="71"/>
      <c r="DN899" s="71"/>
      <c r="DO899" s="71"/>
      <c r="DP899" s="71"/>
      <c r="DQ899" s="71"/>
      <c r="DR899" s="71"/>
      <c r="DS899" s="71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  <c r="IJ899" s="71"/>
      <c r="IK899" s="71"/>
      <c r="IL899" s="71"/>
      <c r="IM899" s="71"/>
      <c r="IN899" s="71"/>
      <c r="IO899" s="71"/>
      <c r="IP899" s="71"/>
      <c r="IQ899" s="71"/>
      <c r="IR899" s="71"/>
      <c r="IS899" s="71"/>
      <c r="IT899" s="71"/>
      <c r="IU899" s="71"/>
      <c r="IV899" s="71"/>
      <c r="IW899" s="71"/>
    </row>
    <row r="900" customFormat="false" ht="12.75" hidden="false" customHeight="false" outlineLevel="0" collapsed="false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1"/>
      <c r="CB900" s="71"/>
      <c r="CC900" s="71"/>
      <c r="CD900" s="71"/>
      <c r="CE900" s="71"/>
      <c r="CF900" s="71"/>
      <c r="CG900" s="71"/>
      <c r="CH900" s="71"/>
      <c r="CI900" s="71"/>
      <c r="CJ900" s="71"/>
      <c r="CK900" s="71"/>
      <c r="CL900" s="71"/>
      <c r="CM900" s="71"/>
      <c r="CN900" s="71"/>
      <c r="CO900" s="71"/>
      <c r="CP900" s="71"/>
      <c r="CQ900" s="71"/>
      <c r="CR900" s="71"/>
      <c r="CS900" s="71"/>
      <c r="CT900" s="71"/>
      <c r="CU900" s="71"/>
      <c r="CV900" s="71"/>
      <c r="CW900" s="71"/>
      <c r="CX900" s="71"/>
      <c r="CY900" s="71"/>
      <c r="CZ900" s="71"/>
      <c r="DA900" s="71"/>
      <c r="DB900" s="71"/>
      <c r="DC900" s="71"/>
      <c r="DD900" s="71"/>
      <c r="DE900" s="71"/>
      <c r="DF900" s="71"/>
      <c r="DG900" s="71"/>
      <c r="DH900" s="71"/>
      <c r="DI900" s="71"/>
      <c r="DJ900" s="71"/>
      <c r="DK900" s="71"/>
      <c r="DL900" s="71"/>
      <c r="DM900" s="71"/>
      <c r="DN900" s="71"/>
      <c r="DO900" s="71"/>
      <c r="DP900" s="71"/>
      <c r="DQ900" s="71"/>
      <c r="DR900" s="71"/>
      <c r="DS900" s="71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  <c r="IJ900" s="71"/>
      <c r="IK900" s="71"/>
      <c r="IL900" s="71"/>
      <c r="IM900" s="71"/>
      <c r="IN900" s="71"/>
      <c r="IO900" s="71"/>
      <c r="IP900" s="71"/>
      <c r="IQ900" s="71"/>
      <c r="IR900" s="71"/>
      <c r="IS900" s="71"/>
      <c r="IT900" s="71"/>
      <c r="IU900" s="71"/>
      <c r="IV900" s="71"/>
      <c r="IW900" s="71"/>
    </row>
    <row r="901" customFormat="false" ht="12.75" hidden="false" customHeight="false" outlineLevel="0" collapsed="false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1"/>
      <c r="CB901" s="71"/>
      <c r="CC901" s="71"/>
      <c r="CD901" s="71"/>
      <c r="CE901" s="71"/>
      <c r="CF901" s="71"/>
      <c r="CG901" s="71"/>
      <c r="CH901" s="71"/>
      <c r="CI901" s="71"/>
      <c r="CJ901" s="71"/>
      <c r="CK901" s="71"/>
      <c r="CL901" s="71"/>
      <c r="CM901" s="71"/>
      <c r="CN901" s="71"/>
      <c r="CO901" s="71"/>
      <c r="CP901" s="71"/>
      <c r="CQ901" s="71"/>
      <c r="CR901" s="71"/>
      <c r="CS901" s="71"/>
      <c r="CT901" s="71"/>
      <c r="CU901" s="71"/>
      <c r="CV901" s="71"/>
      <c r="CW901" s="71"/>
      <c r="CX901" s="71"/>
      <c r="CY901" s="71"/>
      <c r="CZ901" s="71"/>
      <c r="DA901" s="71"/>
      <c r="DB901" s="71"/>
      <c r="DC901" s="71"/>
      <c r="DD901" s="71"/>
      <c r="DE901" s="71"/>
      <c r="DF901" s="71"/>
      <c r="DG901" s="71"/>
      <c r="DH901" s="71"/>
      <c r="DI901" s="71"/>
      <c r="DJ901" s="71"/>
      <c r="DK901" s="71"/>
      <c r="DL901" s="71"/>
      <c r="DM901" s="71"/>
      <c r="DN901" s="71"/>
      <c r="DO901" s="71"/>
      <c r="DP901" s="71"/>
      <c r="DQ901" s="71"/>
      <c r="DR901" s="71"/>
      <c r="DS901" s="71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  <c r="IJ901" s="71"/>
      <c r="IK901" s="71"/>
      <c r="IL901" s="71"/>
      <c r="IM901" s="71"/>
      <c r="IN901" s="71"/>
      <c r="IO901" s="71"/>
      <c r="IP901" s="71"/>
      <c r="IQ901" s="71"/>
      <c r="IR901" s="71"/>
      <c r="IS901" s="71"/>
      <c r="IT901" s="71"/>
      <c r="IU901" s="71"/>
      <c r="IV901" s="71"/>
      <c r="IW901" s="71"/>
    </row>
    <row r="902" customFormat="false" ht="12.75" hidden="false" customHeight="false" outlineLevel="0" collapsed="false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1"/>
      <c r="CB902" s="71"/>
      <c r="CC902" s="71"/>
      <c r="CD902" s="71"/>
      <c r="CE902" s="71"/>
      <c r="CF902" s="71"/>
      <c r="CG902" s="71"/>
      <c r="CH902" s="71"/>
      <c r="CI902" s="71"/>
      <c r="CJ902" s="71"/>
      <c r="CK902" s="71"/>
      <c r="CL902" s="71"/>
      <c r="CM902" s="71"/>
      <c r="CN902" s="71"/>
      <c r="CO902" s="71"/>
      <c r="CP902" s="71"/>
      <c r="CQ902" s="71"/>
      <c r="CR902" s="71"/>
      <c r="CS902" s="71"/>
      <c r="CT902" s="71"/>
      <c r="CU902" s="71"/>
      <c r="CV902" s="71"/>
      <c r="CW902" s="71"/>
      <c r="CX902" s="71"/>
      <c r="CY902" s="71"/>
      <c r="CZ902" s="71"/>
      <c r="DA902" s="71"/>
      <c r="DB902" s="71"/>
      <c r="DC902" s="71"/>
      <c r="DD902" s="71"/>
      <c r="DE902" s="71"/>
      <c r="DF902" s="71"/>
      <c r="DG902" s="71"/>
      <c r="DH902" s="71"/>
      <c r="DI902" s="71"/>
      <c r="DJ902" s="71"/>
      <c r="DK902" s="71"/>
      <c r="DL902" s="71"/>
      <c r="DM902" s="71"/>
      <c r="DN902" s="71"/>
      <c r="DO902" s="71"/>
      <c r="DP902" s="71"/>
      <c r="DQ902" s="71"/>
      <c r="DR902" s="71"/>
      <c r="DS902" s="71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  <c r="IJ902" s="71"/>
      <c r="IK902" s="71"/>
      <c r="IL902" s="71"/>
      <c r="IM902" s="71"/>
      <c r="IN902" s="71"/>
      <c r="IO902" s="71"/>
      <c r="IP902" s="71"/>
      <c r="IQ902" s="71"/>
      <c r="IR902" s="71"/>
      <c r="IS902" s="71"/>
      <c r="IT902" s="71"/>
      <c r="IU902" s="71"/>
      <c r="IV902" s="71"/>
      <c r="IW902" s="71"/>
    </row>
    <row r="903" customFormat="false" ht="12.75" hidden="false" customHeight="false" outlineLevel="0" collapsed="false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  <c r="BC903" s="71"/>
      <c r="BD903" s="71"/>
      <c r="BE903" s="71"/>
      <c r="BF903" s="71"/>
      <c r="BG903" s="71"/>
      <c r="BH903" s="71"/>
      <c r="BI903" s="71"/>
      <c r="BJ903" s="71"/>
      <c r="BK903" s="71"/>
      <c r="BL903" s="71"/>
      <c r="BM903" s="71"/>
      <c r="BN903" s="71"/>
      <c r="BO903" s="71"/>
      <c r="BP903" s="71"/>
      <c r="BQ903" s="71"/>
      <c r="BR903" s="71"/>
      <c r="BS903" s="71"/>
      <c r="BT903" s="71"/>
      <c r="BU903" s="71"/>
      <c r="BV903" s="71"/>
      <c r="BW903" s="71"/>
      <c r="BX903" s="71"/>
      <c r="BY903" s="71"/>
      <c r="BZ903" s="71"/>
      <c r="CA903" s="71"/>
      <c r="CB903" s="71"/>
      <c r="CC903" s="71"/>
      <c r="CD903" s="71"/>
      <c r="CE903" s="71"/>
      <c r="CF903" s="71"/>
      <c r="CG903" s="71"/>
      <c r="CH903" s="71"/>
      <c r="CI903" s="71"/>
      <c r="CJ903" s="71"/>
      <c r="CK903" s="71"/>
      <c r="CL903" s="71"/>
      <c r="CM903" s="71"/>
      <c r="CN903" s="71"/>
      <c r="CO903" s="71"/>
      <c r="CP903" s="71"/>
      <c r="CQ903" s="71"/>
      <c r="CR903" s="71"/>
      <c r="CS903" s="71"/>
      <c r="CT903" s="71"/>
      <c r="CU903" s="71"/>
      <c r="CV903" s="71"/>
      <c r="CW903" s="71"/>
      <c r="CX903" s="71"/>
      <c r="CY903" s="71"/>
      <c r="CZ903" s="71"/>
      <c r="DA903" s="71"/>
      <c r="DB903" s="71"/>
      <c r="DC903" s="71"/>
      <c r="DD903" s="71"/>
      <c r="DE903" s="71"/>
      <c r="DF903" s="71"/>
      <c r="DG903" s="71"/>
      <c r="DH903" s="71"/>
      <c r="DI903" s="71"/>
      <c r="DJ903" s="71"/>
      <c r="DK903" s="71"/>
      <c r="DL903" s="71"/>
      <c r="DM903" s="71"/>
      <c r="DN903" s="71"/>
      <c r="DO903" s="71"/>
      <c r="DP903" s="71"/>
      <c r="DQ903" s="71"/>
      <c r="DR903" s="71"/>
      <c r="DS903" s="71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  <c r="IJ903" s="71"/>
      <c r="IK903" s="71"/>
      <c r="IL903" s="71"/>
      <c r="IM903" s="71"/>
      <c r="IN903" s="71"/>
      <c r="IO903" s="71"/>
      <c r="IP903" s="71"/>
      <c r="IQ903" s="71"/>
      <c r="IR903" s="71"/>
      <c r="IS903" s="71"/>
      <c r="IT903" s="71"/>
      <c r="IU903" s="71"/>
      <c r="IV903" s="71"/>
      <c r="IW903" s="71"/>
    </row>
    <row r="904" customFormat="false" ht="12.75" hidden="false" customHeight="false" outlineLevel="0" collapsed="false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AZ904" s="71"/>
      <c r="BA904" s="71"/>
      <c r="BB904" s="71"/>
      <c r="BC904" s="71"/>
      <c r="BD904" s="71"/>
      <c r="BE904" s="71"/>
      <c r="BF904" s="71"/>
      <c r="BG904" s="71"/>
      <c r="BH904" s="71"/>
      <c r="BI904" s="71"/>
      <c r="BJ904" s="71"/>
      <c r="BK904" s="71"/>
      <c r="BL904" s="71"/>
      <c r="BM904" s="71"/>
      <c r="BN904" s="71"/>
      <c r="BO904" s="71"/>
      <c r="BP904" s="71"/>
      <c r="BQ904" s="71"/>
      <c r="BR904" s="71"/>
      <c r="BS904" s="71"/>
      <c r="BT904" s="71"/>
      <c r="BU904" s="71"/>
      <c r="BV904" s="71"/>
      <c r="BW904" s="71"/>
      <c r="BX904" s="71"/>
      <c r="BY904" s="71"/>
      <c r="BZ904" s="71"/>
      <c r="CA904" s="71"/>
      <c r="CB904" s="71"/>
      <c r="CC904" s="71"/>
      <c r="CD904" s="71"/>
      <c r="CE904" s="71"/>
      <c r="CF904" s="71"/>
      <c r="CG904" s="71"/>
      <c r="CH904" s="71"/>
      <c r="CI904" s="71"/>
      <c r="CJ904" s="71"/>
      <c r="CK904" s="71"/>
      <c r="CL904" s="71"/>
      <c r="CM904" s="71"/>
      <c r="CN904" s="71"/>
      <c r="CO904" s="71"/>
      <c r="CP904" s="71"/>
      <c r="CQ904" s="71"/>
      <c r="CR904" s="71"/>
      <c r="CS904" s="71"/>
      <c r="CT904" s="71"/>
      <c r="CU904" s="71"/>
      <c r="CV904" s="71"/>
      <c r="CW904" s="71"/>
      <c r="CX904" s="71"/>
      <c r="CY904" s="71"/>
      <c r="CZ904" s="71"/>
      <c r="DA904" s="71"/>
      <c r="DB904" s="71"/>
      <c r="DC904" s="71"/>
      <c r="DD904" s="71"/>
      <c r="DE904" s="71"/>
      <c r="DF904" s="71"/>
      <c r="DG904" s="71"/>
      <c r="DH904" s="71"/>
      <c r="DI904" s="71"/>
      <c r="DJ904" s="71"/>
      <c r="DK904" s="71"/>
      <c r="DL904" s="71"/>
      <c r="DM904" s="71"/>
      <c r="DN904" s="71"/>
      <c r="DO904" s="71"/>
      <c r="DP904" s="71"/>
      <c r="DQ904" s="71"/>
      <c r="DR904" s="71"/>
      <c r="DS904" s="71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  <c r="IJ904" s="71"/>
      <c r="IK904" s="71"/>
      <c r="IL904" s="71"/>
      <c r="IM904" s="71"/>
      <c r="IN904" s="71"/>
      <c r="IO904" s="71"/>
      <c r="IP904" s="71"/>
      <c r="IQ904" s="71"/>
      <c r="IR904" s="71"/>
      <c r="IS904" s="71"/>
      <c r="IT904" s="71"/>
      <c r="IU904" s="71"/>
      <c r="IV904" s="71"/>
      <c r="IW904" s="71"/>
    </row>
    <row r="905" customFormat="false" ht="12.75" hidden="false" customHeight="false" outlineLevel="0" collapsed="false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AZ905" s="71"/>
      <c r="BA905" s="71"/>
      <c r="BB905" s="71"/>
      <c r="BC905" s="71"/>
      <c r="BD905" s="71"/>
      <c r="BE905" s="71"/>
      <c r="BF905" s="71"/>
      <c r="BG905" s="71"/>
      <c r="BH905" s="71"/>
      <c r="BI905" s="71"/>
      <c r="BJ905" s="71"/>
      <c r="BK905" s="71"/>
      <c r="BL905" s="71"/>
      <c r="BM905" s="71"/>
      <c r="BN905" s="71"/>
      <c r="BO905" s="71"/>
      <c r="BP905" s="71"/>
      <c r="BQ905" s="71"/>
      <c r="BR905" s="71"/>
      <c r="BS905" s="71"/>
      <c r="BT905" s="71"/>
      <c r="BU905" s="71"/>
      <c r="BV905" s="71"/>
      <c r="BW905" s="71"/>
      <c r="BX905" s="71"/>
      <c r="BY905" s="71"/>
      <c r="BZ905" s="71"/>
      <c r="CA905" s="71"/>
      <c r="CB905" s="71"/>
      <c r="CC905" s="71"/>
      <c r="CD905" s="71"/>
      <c r="CE905" s="71"/>
      <c r="CF905" s="71"/>
      <c r="CG905" s="71"/>
      <c r="CH905" s="71"/>
      <c r="CI905" s="71"/>
      <c r="CJ905" s="71"/>
      <c r="CK905" s="71"/>
      <c r="CL905" s="71"/>
      <c r="CM905" s="71"/>
      <c r="CN905" s="71"/>
      <c r="CO905" s="71"/>
      <c r="CP905" s="71"/>
      <c r="CQ905" s="71"/>
      <c r="CR905" s="71"/>
      <c r="CS905" s="71"/>
      <c r="CT905" s="71"/>
      <c r="CU905" s="71"/>
      <c r="CV905" s="71"/>
      <c r="CW905" s="71"/>
      <c r="CX905" s="71"/>
      <c r="CY905" s="71"/>
      <c r="CZ905" s="71"/>
      <c r="DA905" s="71"/>
      <c r="DB905" s="71"/>
      <c r="DC905" s="71"/>
      <c r="DD905" s="71"/>
      <c r="DE905" s="71"/>
      <c r="DF905" s="71"/>
      <c r="DG905" s="71"/>
      <c r="DH905" s="71"/>
      <c r="DI905" s="71"/>
      <c r="DJ905" s="71"/>
      <c r="DK905" s="71"/>
      <c r="DL905" s="71"/>
      <c r="DM905" s="71"/>
      <c r="DN905" s="71"/>
      <c r="DO905" s="71"/>
      <c r="DP905" s="71"/>
      <c r="DQ905" s="71"/>
      <c r="DR905" s="71"/>
      <c r="DS905" s="71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  <c r="IJ905" s="71"/>
      <c r="IK905" s="71"/>
      <c r="IL905" s="71"/>
      <c r="IM905" s="71"/>
      <c r="IN905" s="71"/>
      <c r="IO905" s="71"/>
      <c r="IP905" s="71"/>
      <c r="IQ905" s="71"/>
      <c r="IR905" s="71"/>
      <c r="IS905" s="71"/>
      <c r="IT905" s="71"/>
      <c r="IU905" s="71"/>
      <c r="IV905" s="71"/>
      <c r="IW905" s="71"/>
    </row>
    <row r="906" customFormat="false" ht="12.75" hidden="false" customHeight="false" outlineLevel="0" collapsed="false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AZ906" s="71"/>
      <c r="BA906" s="71"/>
      <c r="BB906" s="71"/>
      <c r="BC906" s="71"/>
      <c r="BD906" s="71"/>
      <c r="BE906" s="71"/>
      <c r="BF906" s="71"/>
      <c r="BG906" s="71"/>
      <c r="BH906" s="71"/>
      <c r="BI906" s="71"/>
      <c r="BJ906" s="71"/>
      <c r="BK906" s="71"/>
      <c r="BL906" s="71"/>
      <c r="BM906" s="71"/>
      <c r="BN906" s="71"/>
      <c r="BO906" s="71"/>
      <c r="BP906" s="71"/>
      <c r="BQ906" s="71"/>
      <c r="BR906" s="71"/>
      <c r="BS906" s="71"/>
      <c r="BT906" s="71"/>
      <c r="BU906" s="71"/>
      <c r="BV906" s="71"/>
      <c r="BW906" s="71"/>
      <c r="BX906" s="71"/>
      <c r="BY906" s="71"/>
      <c r="BZ906" s="71"/>
      <c r="CA906" s="71"/>
      <c r="CB906" s="71"/>
      <c r="CC906" s="71"/>
      <c r="CD906" s="71"/>
      <c r="CE906" s="71"/>
      <c r="CF906" s="71"/>
      <c r="CG906" s="71"/>
      <c r="CH906" s="71"/>
      <c r="CI906" s="71"/>
      <c r="CJ906" s="71"/>
      <c r="CK906" s="71"/>
      <c r="CL906" s="71"/>
      <c r="CM906" s="71"/>
      <c r="CN906" s="71"/>
      <c r="CO906" s="71"/>
      <c r="CP906" s="71"/>
      <c r="CQ906" s="71"/>
      <c r="CR906" s="71"/>
      <c r="CS906" s="71"/>
      <c r="CT906" s="71"/>
      <c r="CU906" s="71"/>
      <c r="CV906" s="71"/>
      <c r="CW906" s="71"/>
      <c r="CX906" s="71"/>
      <c r="CY906" s="71"/>
      <c r="CZ906" s="71"/>
      <c r="DA906" s="71"/>
      <c r="DB906" s="71"/>
      <c r="DC906" s="71"/>
      <c r="DD906" s="71"/>
      <c r="DE906" s="71"/>
      <c r="DF906" s="71"/>
      <c r="DG906" s="71"/>
      <c r="DH906" s="71"/>
      <c r="DI906" s="71"/>
      <c r="DJ906" s="71"/>
      <c r="DK906" s="71"/>
      <c r="DL906" s="71"/>
      <c r="DM906" s="71"/>
      <c r="DN906" s="71"/>
      <c r="DO906" s="71"/>
      <c r="DP906" s="71"/>
      <c r="DQ906" s="71"/>
      <c r="DR906" s="71"/>
      <c r="DS906" s="71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  <c r="IJ906" s="71"/>
      <c r="IK906" s="71"/>
      <c r="IL906" s="71"/>
      <c r="IM906" s="71"/>
      <c r="IN906" s="71"/>
      <c r="IO906" s="71"/>
      <c r="IP906" s="71"/>
      <c r="IQ906" s="71"/>
      <c r="IR906" s="71"/>
      <c r="IS906" s="71"/>
      <c r="IT906" s="71"/>
      <c r="IU906" s="71"/>
      <c r="IV906" s="71"/>
      <c r="IW906" s="71"/>
    </row>
    <row r="907" customFormat="false" ht="12.75" hidden="false" customHeight="false" outlineLevel="0" collapsed="false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  <c r="BC907" s="71"/>
      <c r="BD907" s="71"/>
      <c r="BE907" s="71"/>
      <c r="BF907" s="71"/>
      <c r="BG907" s="71"/>
      <c r="BH907" s="71"/>
      <c r="BI907" s="71"/>
      <c r="BJ907" s="71"/>
      <c r="BK907" s="71"/>
      <c r="BL907" s="71"/>
      <c r="BM907" s="71"/>
      <c r="BN907" s="71"/>
      <c r="BO907" s="71"/>
      <c r="BP907" s="71"/>
      <c r="BQ907" s="71"/>
      <c r="BR907" s="71"/>
      <c r="BS907" s="71"/>
      <c r="BT907" s="71"/>
      <c r="BU907" s="71"/>
      <c r="BV907" s="71"/>
      <c r="BW907" s="71"/>
      <c r="BX907" s="71"/>
      <c r="BY907" s="71"/>
      <c r="BZ907" s="71"/>
      <c r="CA907" s="71"/>
      <c r="CB907" s="71"/>
      <c r="CC907" s="71"/>
      <c r="CD907" s="71"/>
      <c r="CE907" s="71"/>
      <c r="CF907" s="71"/>
      <c r="CG907" s="71"/>
      <c r="CH907" s="71"/>
      <c r="CI907" s="71"/>
      <c r="CJ907" s="71"/>
      <c r="CK907" s="71"/>
      <c r="CL907" s="71"/>
      <c r="CM907" s="71"/>
      <c r="CN907" s="71"/>
      <c r="CO907" s="71"/>
      <c r="CP907" s="71"/>
      <c r="CQ907" s="71"/>
      <c r="CR907" s="71"/>
      <c r="CS907" s="71"/>
      <c r="CT907" s="71"/>
      <c r="CU907" s="71"/>
      <c r="CV907" s="71"/>
      <c r="CW907" s="71"/>
      <c r="CX907" s="71"/>
      <c r="CY907" s="71"/>
      <c r="CZ907" s="71"/>
      <c r="DA907" s="71"/>
      <c r="DB907" s="71"/>
      <c r="DC907" s="71"/>
      <c r="DD907" s="71"/>
      <c r="DE907" s="71"/>
      <c r="DF907" s="71"/>
      <c r="DG907" s="71"/>
      <c r="DH907" s="71"/>
      <c r="DI907" s="71"/>
      <c r="DJ907" s="71"/>
      <c r="DK907" s="71"/>
      <c r="DL907" s="71"/>
      <c r="DM907" s="71"/>
      <c r="DN907" s="71"/>
      <c r="DO907" s="71"/>
      <c r="DP907" s="71"/>
      <c r="DQ907" s="71"/>
      <c r="DR907" s="71"/>
      <c r="DS907" s="71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  <c r="IJ907" s="71"/>
      <c r="IK907" s="71"/>
      <c r="IL907" s="71"/>
      <c r="IM907" s="71"/>
      <c r="IN907" s="71"/>
      <c r="IO907" s="71"/>
      <c r="IP907" s="71"/>
      <c r="IQ907" s="71"/>
      <c r="IR907" s="71"/>
      <c r="IS907" s="71"/>
      <c r="IT907" s="71"/>
      <c r="IU907" s="71"/>
      <c r="IV907" s="71"/>
      <c r="IW907" s="71"/>
    </row>
    <row r="908" customFormat="false" ht="12.75" hidden="false" customHeight="false" outlineLevel="0" collapsed="false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  <c r="BC908" s="71"/>
      <c r="BD908" s="71"/>
      <c r="BE908" s="71"/>
      <c r="BF908" s="71"/>
      <c r="BG908" s="71"/>
      <c r="BH908" s="71"/>
      <c r="BI908" s="71"/>
      <c r="BJ908" s="71"/>
      <c r="BK908" s="71"/>
      <c r="BL908" s="71"/>
      <c r="BM908" s="71"/>
      <c r="BN908" s="71"/>
      <c r="BO908" s="71"/>
      <c r="BP908" s="71"/>
      <c r="BQ908" s="71"/>
      <c r="BR908" s="71"/>
      <c r="BS908" s="71"/>
      <c r="BT908" s="71"/>
      <c r="BU908" s="71"/>
      <c r="BV908" s="71"/>
      <c r="BW908" s="71"/>
      <c r="BX908" s="71"/>
      <c r="BY908" s="71"/>
      <c r="BZ908" s="71"/>
      <c r="CA908" s="71"/>
      <c r="CB908" s="71"/>
      <c r="CC908" s="71"/>
      <c r="CD908" s="71"/>
      <c r="CE908" s="71"/>
      <c r="CF908" s="71"/>
      <c r="CG908" s="71"/>
      <c r="CH908" s="71"/>
      <c r="CI908" s="71"/>
      <c r="CJ908" s="71"/>
      <c r="CK908" s="71"/>
      <c r="CL908" s="71"/>
      <c r="CM908" s="71"/>
      <c r="CN908" s="71"/>
      <c r="CO908" s="71"/>
      <c r="CP908" s="71"/>
      <c r="CQ908" s="71"/>
      <c r="CR908" s="71"/>
      <c r="CS908" s="71"/>
      <c r="CT908" s="71"/>
      <c r="CU908" s="71"/>
      <c r="CV908" s="71"/>
      <c r="CW908" s="71"/>
      <c r="CX908" s="71"/>
      <c r="CY908" s="71"/>
      <c r="CZ908" s="71"/>
      <c r="DA908" s="71"/>
      <c r="DB908" s="71"/>
      <c r="DC908" s="71"/>
      <c r="DD908" s="71"/>
      <c r="DE908" s="71"/>
      <c r="DF908" s="71"/>
      <c r="DG908" s="71"/>
      <c r="DH908" s="71"/>
      <c r="DI908" s="71"/>
      <c r="DJ908" s="71"/>
      <c r="DK908" s="71"/>
      <c r="DL908" s="71"/>
      <c r="DM908" s="71"/>
      <c r="DN908" s="71"/>
      <c r="DO908" s="71"/>
      <c r="DP908" s="71"/>
      <c r="DQ908" s="71"/>
      <c r="DR908" s="71"/>
      <c r="DS908" s="71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  <c r="IJ908" s="71"/>
      <c r="IK908" s="71"/>
      <c r="IL908" s="71"/>
      <c r="IM908" s="71"/>
      <c r="IN908" s="71"/>
      <c r="IO908" s="71"/>
      <c r="IP908" s="71"/>
      <c r="IQ908" s="71"/>
      <c r="IR908" s="71"/>
      <c r="IS908" s="71"/>
      <c r="IT908" s="71"/>
      <c r="IU908" s="71"/>
      <c r="IV908" s="71"/>
      <c r="IW908" s="71"/>
    </row>
    <row r="909" customFormat="false" ht="12.75" hidden="false" customHeight="false" outlineLevel="0" collapsed="false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  <c r="BI909" s="71"/>
      <c r="BJ909" s="71"/>
      <c r="BK909" s="71"/>
      <c r="BL909" s="71"/>
      <c r="BM909" s="71"/>
      <c r="BN909" s="71"/>
      <c r="BO909" s="71"/>
      <c r="BP909" s="71"/>
      <c r="BQ909" s="71"/>
      <c r="BR909" s="71"/>
      <c r="BS909" s="71"/>
      <c r="BT909" s="71"/>
      <c r="BU909" s="71"/>
      <c r="BV909" s="71"/>
      <c r="BW909" s="71"/>
      <c r="BX909" s="71"/>
      <c r="BY909" s="71"/>
      <c r="BZ909" s="71"/>
      <c r="CA909" s="71"/>
      <c r="CB909" s="71"/>
      <c r="CC909" s="71"/>
      <c r="CD909" s="71"/>
      <c r="CE909" s="71"/>
      <c r="CF909" s="71"/>
      <c r="CG909" s="71"/>
      <c r="CH909" s="71"/>
      <c r="CI909" s="71"/>
      <c r="CJ909" s="71"/>
      <c r="CK909" s="71"/>
      <c r="CL909" s="71"/>
      <c r="CM909" s="71"/>
      <c r="CN909" s="71"/>
      <c r="CO909" s="71"/>
      <c r="CP909" s="71"/>
      <c r="CQ909" s="71"/>
      <c r="CR909" s="71"/>
      <c r="CS909" s="71"/>
      <c r="CT909" s="71"/>
      <c r="CU909" s="71"/>
      <c r="CV909" s="71"/>
      <c r="CW909" s="71"/>
      <c r="CX909" s="71"/>
      <c r="CY909" s="71"/>
      <c r="CZ909" s="71"/>
      <c r="DA909" s="71"/>
      <c r="DB909" s="71"/>
      <c r="DC909" s="71"/>
      <c r="DD909" s="71"/>
      <c r="DE909" s="71"/>
      <c r="DF909" s="71"/>
      <c r="DG909" s="71"/>
      <c r="DH909" s="71"/>
      <c r="DI909" s="71"/>
      <c r="DJ909" s="71"/>
      <c r="DK909" s="71"/>
      <c r="DL909" s="71"/>
      <c r="DM909" s="71"/>
      <c r="DN909" s="71"/>
      <c r="DO909" s="71"/>
      <c r="DP909" s="71"/>
      <c r="DQ909" s="71"/>
      <c r="DR909" s="71"/>
      <c r="DS909" s="71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  <c r="IJ909" s="71"/>
      <c r="IK909" s="71"/>
      <c r="IL909" s="71"/>
      <c r="IM909" s="71"/>
      <c r="IN909" s="71"/>
      <c r="IO909" s="71"/>
      <c r="IP909" s="71"/>
      <c r="IQ909" s="71"/>
      <c r="IR909" s="71"/>
      <c r="IS909" s="71"/>
      <c r="IT909" s="71"/>
      <c r="IU909" s="71"/>
      <c r="IV909" s="71"/>
      <c r="IW909" s="71"/>
    </row>
    <row r="910" customFormat="false" ht="12.75" hidden="false" customHeight="false" outlineLevel="0" collapsed="false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  <c r="BC910" s="71"/>
      <c r="BD910" s="71"/>
      <c r="BE910" s="71"/>
      <c r="BF910" s="71"/>
      <c r="BG910" s="71"/>
      <c r="BH910" s="71"/>
      <c r="BI910" s="71"/>
      <c r="BJ910" s="71"/>
      <c r="BK910" s="71"/>
      <c r="BL910" s="71"/>
      <c r="BM910" s="71"/>
      <c r="BN910" s="71"/>
      <c r="BO910" s="71"/>
      <c r="BP910" s="71"/>
      <c r="BQ910" s="71"/>
      <c r="BR910" s="71"/>
      <c r="BS910" s="71"/>
      <c r="BT910" s="71"/>
      <c r="BU910" s="71"/>
      <c r="BV910" s="71"/>
      <c r="BW910" s="71"/>
      <c r="BX910" s="71"/>
      <c r="BY910" s="71"/>
      <c r="BZ910" s="71"/>
      <c r="CA910" s="71"/>
      <c r="CB910" s="71"/>
      <c r="CC910" s="71"/>
      <c r="CD910" s="71"/>
      <c r="CE910" s="71"/>
      <c r="CF910" s="71"/>
      <c r="CG910" s="71"/>
      <c r="CH910" s="71"/>
      <c r="CI910" s="71"/>
      <c r="CJ910" s="71"/>
      <c r="CK910" s="71"/>
      <c r="CL910" s="71"/>
      <c r="CM910" s="71"/>
      <c r="CN910" s="71"/>
      <c r="CO910" s="71"/>
      <c r="CP910" s="71"/>
      <c r="CQ910" s="71"/>
      <c r="CR910" s="71"/>
      <c r="CS910" s="71"/>
      <c r="CT910" s="71"/>
      <c r="CU910" s="71"/>
      <c r="CV910" s="71"/>
      <c r="CW910" s="71"/>
      <c r="CX910" s="71"/>
      <c r="CY910" s="71"/>
      <c r="CZ910" s="71"/>
      <c r="DA910" s="71"/>
      <c r="DB910" s="71"/>
      <c r="DC910" s="71"/>
      <c r="DD910" s="71"/>
      <c r="DE910" s="71"/>
      <c r="DF910" s="71"/>
      <c r="DG910" s="71"/>
      <c r="DH910" s="71"/>
      <c r="DI910" s="71"/>
      <c r="DJ910" s="71"/>
      <c r="DK910" s="71"/>
      <c r="DL910" s="71"/>
      <c r="DM910" s="71"/>
      <c r="DN910" s="71"/>
      <c r="DO910" s="71"/>
      <c r="DP910" s="71"/>
      <c r="DQ910" s="71"/>
      <c r="DR910" s="71"/>
      <c r="DS910" s="71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  <c r="IJ910" s="71"/>
      <c r="IK910" s="71"/>
      <c r="IL910" s="71"/>
      <c r="IM910" s="71"/>
      <c r="IN910" s="71"/>
      <c r="IO910" s="71"/>
      <c r="IP910" s="71"/>
      <c r="IQ910" s="71"/>
      <c r="IR910" s="71"/>
      <c r="IS910" s="71"/>
      <c r="IT910" s="71"/>
      <c r="IU910" s="71"/>
      <c r="IV910" s="71"/>
      <c r="IW910" s="71"/>
    </row>
    <row r="911" customFormat="false" ht="12.75" hidden="false" customHeight="false" outlineLevel="0" collapsed="false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AZ911" s="71"/>
      <c r="BA911" s="71"/>
      <c r="BB911" s="71"/>
      <c r="BC911" s="71"/>
      <c r="BD911" s="71"/>
      <c r="BE911" s="71"/>
      <c r="BF911" s="71"/>
      <c r="BG911" s="71"/>
      <c r="BH911" s="71"/>
      <c r="BI911" s="71"/>
      <c r="BJ911" s="71"/>
      <c r="BK911" s="71"/>
      <c r="BL911" s="71"/>
      <c r="BM911" s="71"/>
      <c r="BN911" s="71"/>
      <c r="BO911" s="71"/>
      <c r="BP911" s="71"/>
      <c r="BQ911" s="71"/>
      <c r="BR911" s="71"/>
      <c r="BS911" s="71"/>
      <c r="BT911" s="71"/>
      <c r="BU911" s="71"/>
      <c r="BV911" s="71"/>
      <c r="BW911" s="71"/>
      <c r="BX911" s="71"/>
      <c r="BY911" s="71"/>
      <c r="BZ911" s="71"/>
      <c r="CA911" s="71"/>
      <c r="CB911" s="71"/>
      <c r="CC911" s="71"/>
      <c r="CD911" s="71"/>
      <c r="CE911" s="71"/>
      <c r="CF911" s="71"/>
      <c r="CG911" s="71"/>
      <c r="CH911" s="71"/>
      <c r="CI911" s="71"/>
      <c r="CJ911" s="71"/>
      <c r="CK911" s="71"/>
      <c r="CL911" s="71"/>
      <c r="CM911" s="71"/>
      <c r="CN911" s="71"/>
      <c r="CO911" s="71"/>
      <c r="CP911" s="71"/>
      <c r="CQ911" s="71"/>
      <c r="CR911" s="71"/>
      <c r="CS911" s="71"/>
      <c r="CT911" s="71"/>
      <c r="CU911" s="71"/>
      <c r="CV911" s="71"/>
      <c r="CW911" s="71"/>
      <c r="CX911" s="71"/>
      <c r="CY911" s="71"/>
      <c r="CZ911" s="71"/>
      <c r="DA911" s="71"/>
      <c r="DB911" s="71"/>
      <c r="DC911" s="71"/>
      <c r="DD911" s="71"/>
      <c r="DE911" s="71"/>
      <c r="DF911" s="71"/>
      <c r="DG911" s="71"/>
      <c r="DH911" s="71"/>
      <c r="DI911" s="71"/>
      <c r="DJ911" s="71"/>
      <c r="DK911" s="71"/>
      <c r="DL911" s="71"/>
      <c r="DM911" s="71"/>
      <c r="DN911" s="71"/>
      <c r="DO911" s="71"/>
      <c r="DP911" s="71"/>
      <c r="DQ911" s="71"/>
      <c r="DR911" s="71"/>
      <c r="DS911" s="71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  <c r="IJ911" s="71"/>
      <c r="IK911" s="71"/>
      <c r="IL911" s="71"/>
      <c r="IM911" s="71"/>
      <c r="IN911" s="71"/>
      <c r="IO911" s="71"/>
      <c r="IP911" s="71"/>
      <c r="IQ911" s="71"/>
      <c r="IR911" s="71"/>
      <c r="IS911" s="71"/>
      <c r="IT911" s="71"/>
      <c r="IU911" s="71"/>
      <c r="IV911" s="71"/>
      <c r="IW911" s="71"/>
    </row>
    <row r="912" customFormat="false" ht="12.75" hidden="false" customHeight="false" outlineLevel="0" collapsed="false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AZ912" s="71"/>
      <c r="BA912" s="71"/>
      <c r="BB912" s="71"/>
      <c r="BC912" s="71"/>
      <c r="BD912" s="71"/>
      <c r="BE912" s="71"/>
      <c r="BF912" s="71"/>
      <c r="BG912" s="71"/>
      <c r="BH912" s="71"/>
      <c r="BI912" s="71"/>
      <c r="BJ912" s="71"/>
      <c r="BK912" s="71"/>
      <c r="BL912" s="71"/>
      <c r="BM912" s="71"/>
      <c r="BN912" s="71"/>
      <c r="BO912" s="71"/>
      <c r="BP912" s="71"/>
      <c r="BQ912" s="71"/>
      <c r="BR912" s="71"/>
      <c r="BS912" s="71"/>
      <c r="BT912" s="71"/>
      <c r="BU912" s="71"/>
      <c r="BV912" s="71"/>
      <c r="BW912" s="71"/>
      <c r="BX912" s="71"/>
      <c r="BY912" s="71"/>
      <c r="BZ912" s="71"/>
      <c r="CA912" s="71"/>
      <c r="CB912" s="71"/>
      <c r="CC912" s="71"/>
      <c r="CD912" s="71"/>
      <c r="CE912" s="71"/>
      <c r="CF912" s="71"/>
      <c r="CG912" s="71"/>
      <c r="CH912" s="71"/>
      <c r="CI912" s="71"/>
      <c r="CJ912" s="71"/>
      <c r="CK912" s="71"/>
      <c r="CL912" s="71"/>
      <c r="CM912" s="71"/>
      <c r="CN912" s="71"/>
      <c r="CO912" s="71"/>
      <c r="CP912" s="71"/>
      <c r="CQ912" s="71"/>
      <c r="CR912" s="71"/>
      <c r="CS912" s="71"/>
      <c r="CT912" s="71"/>
      <c r="CU912" s="71"/>
      <c r="CV912" s="71"/>
      <c r="CW912" s="71"/>
      <c r="CX912" s="71"/>
      <c r="CY912" s="71"/>
      <c r="CZ912" s="71"/>
      <c r="DA912" s="71"/>
      <c r="DB912" s="71"/>
      <c r="DC912" s="71"/>
      <c r="DD912" s="71"/>
      <c r="DE912" s="71"/>
      <c r="DF912" s="71"/>
      <c r="DG912" s="71"/>
      <c r="DH912" s="71"/>
      <c r="DI912" s="71"/>
      <c r="DJ912" s="71"/>
      <c r="DK912" s="71"/>
      <c r="DL912" s="71"/>
      <c r="DM912" s="71"/>
      <c r="DN912" s="71"/>
      <c r="DO912" s="71"/>
      <c r="DP912" s="71"/>
      <c r="DQ912" s="71"/>
      <c r="DR912" s="71"/>
      <c r="DS912" s="71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  <c r="IJ912" s="71"/>
      <c r="IK912" s="71"/>
      <c r="IL912" s="71"/>
      <c r="IM912" s="71"/>
      <c r="IN912" s="71"/>
      <c r="IO912" s="71"/>
      <c r="IP912" s="71"/>
      <c r="IQ912" s="71"/>
      <c r="IR912" s="71"/>
      <c r="IS912" s="71"/>
      <c r="IT912" s="71"/>
      <c r="IU912" s="71"/>
      <c r="IV912" s="71"/>
      <c r="IW912" s="71"/>
    </row>
    <row r="913" customFormat="false" ht="12.75" hidden="false" customHeight="false" outlineLevel="0" collapsed="false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AZ913" s="71"/>
      <c r="BA913" s="71"/>
      <c r="BB913" s="71"/>
      <c r="BC913" s="71"/>
      <c r="BD913" s="71"/>
      <c r="BE913" s="71"/>
      <c r="BF913" s="71"/>
      <c r="BG913" s="71"/>
      <c r="BH913" s="71"/>
      <c r="BI913" s="71"/>
      <c r="BJ913" s="71"/>
      <c r="BK913" s="71"/>
      <c r="BL913" s="71"/>
      <c r="BM913" s="71"/>
      <c r="BN913" s="71"/>
      <c r="BO913" s="71"/>
      <c r="BP913" s="71"/>
      <c r="BQ913" s="71"/>
      <c r="BR913" s="71"/>
      <c r="BS913" s="71"/>
      <c r="BT913" s="71"/>
      <c r="BU913" s="71"/>
      <c r="BV913" s="71"/>
      <c r="BW913" s="71"/>
      <c r="BX913" s="71"/>
      <c r="BY913" s="71"/>
      <c r="BZ913" s="71"/>
      <c r="CA913" s="71"/>
      <c r="CB913" s="71"/>
      <c r="CC913" s="71"/>
      <c r="CD913" s="71"/>
      <c r="CE913" s="71"/>
      <c r="CF913" s="71"/>
      <c r="CG913" s="71"/>
      <c r="CH913" s="71"/>
      <c r="CI913" s="71"/>
      <c r="CJ913" s="71"/>
      <c r="CK913" s="71"/>
      <c r="CL913" s="71"/>
      <c r="CM913" s="71"/>
      <c r="CN913" s="71"/>
      <c r="CO913" s="71"/>
      <c r="CP913" s="71"/>
      <c r="CQ913" s="71"/>
      <c r="CR913" s="71"/>
      <c r="CS913" s="71"/>
      <c r="CT913" s="71"/>
      <c r="CU913" s="71"/>
      <c r="CV913" s="71"/>
      <c r="CW913" s="71"/>
      <c r="CX913" s="71"/>
      <c r="CY913" s="71"/>
      <c r="CZ913" s="71"/>
      <c r="DA913" s="71"/>
      <c r="DB913" s="71"/>
      <c r="DC913" s="71"/>
      <c r="DD913" s="71"/>
      <c r="DE913" s="71"/>
      <c r="DF913" s="71"/>
      <c r="DG913" s="71"/>
      <c r="DH913" s="71"/>
      <c r="DI913" s="71"/>
      <c r="DJ913" s="71"/>
      <c r="DK913" s="71"/>
      <c r="DL913" s="71"/>
      <c r="DM913" s="71"/>
      <c r="DN913" s="71"/>
      <c r="DO913" s="71"/>
      <c r="DP913" s="71"/>
      <c r="DQ913" s="71"/>
      <c r="DR913" s="71"/>
      <c r="DS913" s="71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  <c r="IJ913" s="71"/>
      <c r="IK913" s="71"/>
      <c r="IL913" s="71"/>
      <c r="IM913" s="71"/>
      <c r="IN913" s="71"/>
      <c r="IO913" s="71"/>
      <c r="IP913" s="71"/>
      <c r="IQ913" s="71"/>
      <c r="IR913" s="71"/>
      <c r="IS913" s="71"/>
      <c r="IT913" s="71"/>
      <c r="IU913" s="71"/>
      <c r="IV913" s="71"/>
      <c r="IW913" s="71"/>
    </row>
    <row r="914" customFormat="false" ht="12.75" hidden="false" customHeight="false" outlineLevel="0" collapsed="false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71"/>
      <c r="CE914" s="71"/>
      <c r="CF914" s="71"/>
      <c r="CG914" s="71"/>
      <c r="CH914" s="71"/>
      <c r="CI914" s="71"/>
      <c r="CJ914" s="71"/>
      <c r="CK914" s="71"/>
      <c r="CL914" s="71"/>
      <c r="CM914" s="71"/>
      <c r="CN914" s="71"/>
      <c r="CO914" s="71"/>
      <c r="CP914" s="71"/>
      <c r="CQ914" s="71"/>
      <c r="CR914" s="71"/>
      <c r="CS914" s="71"/>
      <c r="CT914" s="71"/>
      <c r="CU914" s="71"/>
      <c r="CV914" s="71"/>
      <c r="CW914" s="71"/>
      <c r="CX914" s="71"/>
      <c r="CY914" s="71"/>
      <c r="CZ914" s="71"/>
      <c r="DA914" s="71"/>
      <c r="DB914" s="71"/>
      <c r="DC914" s="71"/>
      <c r="DD914" s="71"/>
      <c r="DE914" s="71"/>
      <c r="DF914" s="71"/>
      <c r="DG914" s="71"/>
      <c r="DH914" s="71"/>
      <c r="DI914" s="71"/>
      <c r="DJ914" s="71"/>
      <c r="DK914" s="71"/>
      <c r="DL914" s="71"/>
      <c r="DM914" s="71"/>
      <c r="DN914" s="71"/>
      <c r="DO914" s="71"/>
      <c r="DP914" s="71"/>
      <c r="DQ914" s="71"/>
      <c r="DR914" s="71"/>
      <c r="DS914" s="71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  <c r="IJ914" s="71"/>
      <c r="IK914" s="71"/>
      <c r="IL914" s="71"/>
      <c r="IM914" s="71"/>
      <c r="IN914" s="71"/>
      <c r="IO914" s="71"/>
      <c r="IP914" s="71"/>
      <c r="IQ914" s="71"/>
      <c r="IR914" s="71"/>
      <c r="IS914" s="71"/>
      <c r="IT914" s="71"/>
      <c r="IU914" s="71"/>
      <c r="IV914" s="71"/>
      <c r="IW914" s="71"/>
    </row>
    <row r="915" customFormat="false" ht="12.75" hidden="false" customHeight="false" outlineLevel="0" collapsed="false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  <c r="BC915" s="71"/>
      <c r="BD915" s="71"/>
      <c r="BE915" s="71"/>
      <c r="BF915" s="71"/>
      <c r="BG915" s="71"/>
      <c r="BH915" s="71"/>
      <c r="BI915" s="71"/>
      <c r="BJ915" s="71"/>
      <c r="BK915" s="71"/>
      <c r="BL915" s="71"/>
      <c r="BM915" s="71"/>
      <c r="BN915" s="71"/>
      <c r="BO915" s="71"/>
      <c r="BP915" s="71"/>
      <c r="BQ915" s="71"/>
      <c r="BR915" s="71"/>
      <c r="BS915" s="71"/>
      <c r="BT915" s="71"/>
      <c r="BU915" s="71"/>
      <c r="BV915" s="71"/>
      <c r="BW915" s="71"/>
      <c r="BX915" s="71"/>
      <c r="BY915" s="71"/>
      <c r="BZ915" s="71"/>
      <c r="CA915" s="71"/>
      <c r="CB915" s="71"/>
      <c r="CC915" s="71"/>
      <c r="CD915" s="71"/>
      <c r="CE915" s="71"/>
      <c r="CF915" s="71"/>
      <c r="CG915" s="71"/>
      <c r="CH915" s="71"/>
      <c r="CI915" s="71"/>
      <c r="CJ915" s="71"/>
      <c r="CK915" s="71"/>
      <c r="CL915" s="71"/>
      <c r="CM915" s="71"/>
      <c r="CN915" s="71"/>
      <c r="CO915" s="71"/>
      <c r="CP915" s="71"/>
      <c r="CQ915" s="71"/>
      <c r="CR915" s="71"/>
      <c r="CS915" s="71"/>
      <c r="CT915" s="71"/>
      <c r="CU915" s="71"/>
      <c r="CV915" s="71"/>
      <c r="CW915" s="71"/>
      <c r="CX915" s="71"/>
      <c r="CY915" s="71"/>
      <c r="CZ915" s="71"/>
      <c r="DA915" s="71"/>
      <c r="DB915" s="71"/>
      <c r="DC915" s="71"/>
      <c r="DD915" s="71"/>
      <c r="DE915" s="71"/>
      <c r="DF915" s="71"/>
      <c r="DG915" s="71"/>
      <c r="DH915" s="71"/>
      <c r="DI915" s="71"/>
      <c r="DJ915" s="71"/>
      <c r="DK915" s="71"/>
      <c r="DL915" s="71"/>
      <c r="DM915" s="71"/>
      <c r="DN915" s="71"/>
      <c r="DO915" s="71"/>
      <c r="DP915" s="71"/>
      <c r="DQ915" s="71"/>
      <c r="DR915" s="71"/>
      <c r="DS915" s="71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  <c r="IJ915" s="71"/>
      <c r="IK915" s="71"/>
      <c r="IL915" s="71"/>
      <c r="IM915" s="71"/>
      <c r="IN915" s="71"/>
      <c r="IO915" s="71"/>
      <c r="IP915" s="71"/>
      <c r="IQ915" s="71"/>
      <c r="IR915" s="71"/>
      <c r="IS915" s="71"/>
      <c r="IT915" s="71"/>
      <c r="IU915" s="71"/>
      <c r="IV915" s="71"/>
      <c r="IW915" s="71"/>
    </row>
    <row r="916" customFormat="false" ht="12.75" hidden="false" customHeight="false" outlineLevel="0" collapsed="false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AZ916" s="71"/>
      <c r="BA916" s="71"/>
      <c r="BB916" s="71"/>
      <c r="BC916" s="71"/>
      <c r="BD916" s="71"/>
      <c r="BE916" s="71"/>
      <c r="BF916" s="71"/>
      <c r="BG916" s="71"/>
      <c r="BH916" s="71"/>
      <c r="BI916" s="71"/>
      <c r="BJ916" s="71"/>
      <c r="BK916" s="71"/>
      <c r="BL916" s="71"/>
      <c r="BM916" s="71"/>
      <c r="BN916" s="71"/>
      <c r="BO916" s="71"/>
      <c r="BP916" s="71"/>
      <c r="BQ916" s="71"/>
      <c r="BR916" s="71"/>
      <c r="BS916" s="71"/>
      <c r="BT916" s="71"/>
      <c r="BU916" s="71"/>
      <c r="BV916" s="71"/>
      <c r="BW916" s="71"/>
      <c r="BX916" s="71"/>
      <c r="BY916" s="71"/>
      <c r="BZ916" s="71"/>
      <c r="CA916" s="71"/>
      <c r="CB916" s="71"/>
      <c r="CC916" s="71"/>
      <c r="CD916" s="71"/>
      <c r="CE916" s="71"/>
      <c r="CF916" s="71"/>
      <c r="CG916" s="71"/>
      <c r="CH916" s="71"/>
      <c r="CI916" s="71"/>
      <c r="CJ916" s="71"/>
      <c r="CK916" s="71"/>
      <c r="CL916" s="71"/>
      <c r="CM916" s="71"/>
      <c r="CN916" s="71"/>
      <c r="CO916" s="71"/>
      <c r="CP916" s="71"/>
      <c r="CQ916" s="71"/>
      <c r="CR916" s="71"/>
      <c r="CS916" s="71"/>
      <c r="CT916" s="71"/>
      <c r="CU916" s="71"/>
      <c r="CV916" s="71"/>
      <c r="CW916" s="71"/>
      <c r="CX916" s="71"/>
      <c r="CY916" s="71"/>
      <c r="CZ916" s="71"/>
      <c r="DA916" s="71"/>
      <c r="DB916" s="71"/>
      <c r="DC916" s="71"/>
      <c r="DD916" s="71"/>
      <c r="DE916" s="71"/>
      <c r="DF916" s="71"/>
      <c r="DG916" s="71"/>
      <c r="DH916" s="71"/>
      <c r="DI916" s="71"/>
      <c r="DJ916" s="71"/>
      <c r="DK916" s="71"/>
      <c r="DL916" s="71"/>
      <c r="DM916" s="71"/>
      <c r="DN916" s="71"/>
      <c r="DO916" s="71"/>
      <c r="DP916" s="71"/>
      <c r="DQ916" s="71"/>
      <c r="DR916" s="71"/>
      <c r="DS916" s="71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  <c r="IJ916" s="71"/>
      <c r="IK916" s="71"/>
      <c r="IL916" s="71"/>
      <c r="IM916" s="71"/>
      <c r="IN916" s="71"/>
      <c r="IO916" s="71"/>
      <c r="IP916" s="71"/>
      <c r="IQ916" s="71"/>
      <c r="IR916" s="71"/>
      <c r="IS916" s="71"/>
      <c r="IT916" s="71"/>
      <c r="IU916" s="71"/>
      <c r="IV916" s="71"/>
      <c r="IW916" s="71"/>
    </row>
    <row r="917" customFormat="false" ht="12.75" hidden="false" customHeight="false" outlineLevel="0" collapsed="false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AZ917" s="71"/>
      <c r="BA917" s="71"/>
      <c r="BB917" s="71"/>
      <c r="BC917" s="71"/>
      <c r="BD917" s="71"/>
      <c r="BE917" s="71"/>
      <c r="BF917" s="71"/>
      <c r="BG917" s="71"/>
      <c r="BH917" s="71"/>
      <c r="BI917" s="71"/>
      <c r="BJ917" s="71"/>
      <c r="BK917" s="71"/>
      <c r="BL917" s="71"/>
      <c r="BM917" s="71"/>
      <c r="BN917" s="71"/>
      <c r="BO917" s="71"/>
      <c r="BP917" s="71"/>
      <c r="BQ917" s="71"/>
      <c r="BR917" s="71"/>
      <c r="BS917" s="71"/>
      <c r="BT917" s="71"/>
      <c r="BU917" s="71"/>
      <c r="BV917" s="71"/>
      <c r="BW917" s="71"/>
      <c r="BX917" s="71"/>
      <c r="BY917" s="71"/>
      <c r="BZ917" s="71"/>
      <c r="CA917" s="71"/>
      <c r="CB917" s="71"/>
      <c r="CC917" s="71"/>
      <c r="CD917" s="71"/>
      <c r="CE917" s="71"/>
      <c r="CF917" s="71"/>
      <c r="CG917" s="71"/>
      <c r="CH917" s="71"/>
      <c r="CI917" s="71"/>
      <c r="CJ917" s="71"/>
      <c r="CK917" s="71"/>
      <c r="CL917" s="71"/>
      <c r="CM917" s="71"/>
      <c r="CN917" s="71"/>
      <c r="CO917" s="71"/>
      <c r="CP917" s="71"/>
      <c r="CQ917" s="71"/>
      <c r="CR917" s="71"/>
      <c r="CS917" s="71"/>
      <c r="CT917" s="71"/>
      <c r="CU917" s="71"/>
      <c r="CV917" s="71"/>
      <c r="CW917" s="71"/>
      <c r="CX917" s="71"/>
      <c r="CY917" s="71"/>
      <c r="CZ917" s="71"/>
      <c r="DA917" s="71"/>
      <c r="DB917" s="71"/>
      <c r="DC917" s="71"/>
      <c r="DD917" s="71"/>
      <c r="DE917" s="71"/>
      <c r="DF917" s="71"/>
      <c r="DG917" s="71"/>
      <c r="DH917" s="71"/>
      <c r="DI917" s="71"/>
      <c r="DJ917" s="71"/>
      <c r="DK917" s="71"/>
      <c r="DL917" s="71"/>
      <c r="DM917" s="71"/>
      <c r="DN917" s="71"/>
      <c r="DO917" s="71"/>
      <c r="DP917" s="71"/>
      <c r="DQ917" s="71"/>
      <c r="DR917" s="71"/>
      <c r="DS917" s="71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  <c r="IJ917" s="71"/>
      <c r="IK917" s="71"/>
      <c r="IL917" s="71"/>
      <c r="IM917" s="71"/>
      <c r="IN917" s="71"/>
      <c r="IO917" s="71"/>
      <c r="IP917" s="71"/>
      <c r="IQ917" s="71"/>
      <c r="IR917" s="71"/>
      <c r="IS917" s="71"/>
      <c r="IT917" s="71"/>
      <c r="IU917" s="71"/>
      <c r="IV917" s="71"/>
      <c r="IW917" s="71"/>
    </row>
    <row r="918" customFormat="false" ht="12.75" hidden="false" customHeight="false" outlineLevel="0" collapsed="false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AZ918" s="71"/>
      <c r="BA918" s="71"/>
      <c r="BB918" s="71"/>
      <c r="BC918" s="71"/>
      <c r="BD918" s="71"/>
      <c r="BE918" s="71"/>
      <c r="BF918" s="71"/>
      <c r="BG918" s="71"/>
      <c r="BH918" s="71"/>
      <c r="BI918" s="71"/>
      <c r="BJ918" s="71"/>
      <c r="BK918" s="71"/>
      <c r="BL918" s="71"/>
      <c r="BM918" s="71"/>
      <c r="BN918" s="71"/>
      <c r="BO918" s="71"/>
      <c r="BP918" s="71"/>
      <c r="BQ918" s="71"/>
      <c r="BR918" s="71"/>
      <c r="BS918" s="71"/>
      <c r="BT918" s="71"/>
      <c r="BU918" s="71"/>
      <c r="BV918" s="71"/>
      <c r="BW918" s="71"/>
      <c r="BX918" s="71"/>
      <c r="BY918" s="71"/>
      <c r="BZ918" s="71"/>
      <c r="CA918" s="71"/>
      <c r="CB918" s="71"/>
      <c r="CC918" s="71"/>
      <c r="CD918" s="71"/>
      <c r="CE918" s="71"/>
      <c r="CF918" s="71"/>
      <c r="CG918" s="71"/>
      <c r="CH918" s="71"/>
      <c r="CI918" s="71"/>
      <c r="CJ918" s="71"/>
      <c r="CK918" s="71"/>
      <c r="CL918" s="71"/>
      <c r="CM918" s="71"/>
      <c r="CN918" s="71"/>
      <c r="CO918" s="71"/>
      <c r="CP918" s="71"/>
      <c r="CQ918" s="71"/>
      <c r="CR918" s="71"/>
      <c r="CS918" s="71"/>
      <c r="CT918" s="71"/>
      <c r="CU918" s="71"/>
      <c r="CV918" s="71"/>
      <c r="CW918" s="71"/>
      <c r="CX918" s="71"/>
      <c r="CY918" s="71"/>
      <c r="CZ918" s="71"/>
      <c r="DA918" s="71"/>
      <c r="DB918" s="71"/>
      <c r="DC918" s="71"/>
      <c r="DD918" s="71"/>
      <c r="DE918" s="71"/>
      <c r="DF918" s="71"/>
      <c r="DG918" s="71"/>
      <c r="DH918" s="71"/>
      <c r="DI918" s="71"/>
      <c r="DJ918" s="71"/>
      <c r="DK918" s="71"/>
      <c r="DL918" s="71"/>
      <c r="DM918" s="71"/>
      <c r="DN918" s="71"/>
      <c r="DO918" s="71"/>
      <c r="DP918" s="71"/>
      <c r="DQ918" s="71"/>
      <c r="DR918" s="71"/>
      <c r="DS918" s="71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  <c r="IJ918" s="71"/>
      <c r="IK918" s="71"/>
      <c r="IL918" s="71"/>
      <c r="IM918" s="71"/>
      <c r="IN918" s="71"/>
      <c r="IO918" s="71"/>
      <c r="IP918" s="71"/>
      <c r="IQ918" s="71"/>
      <c r="IR918" s="71"/>
      <c r="IS918" s="71"/>
      <c r="IT918" s="71"/>
      <c r="IU918" s="71"/>
      <c r="IV918" s="71"/>
      <c r="IW918" s="71"/>
    </row>
    <row r="919" customFormat="false" ht="12.75" hidden="false" customHeight="false" outlineLevel="0" collapsed="false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AZ919" s="71"/>
      <c r="BA919" s="71"/>
      <c r="BB919" s="71"/>
      <c r="BC919" s="71"/>
      <c r="BD919" s="71"/>
      <c r="BE919" s="71"/>
      <c r="BF919" s="71"/>
      <c r="BG919" s="71"/>
      <c r="BH919" s="71"/>
      <c r="BI919" s="71"/>
      <c r="BJ919" s="71"/>
      <c r="BK919" s="71"/>
      <c r="BL919" s="71"/>
      <c r="BM919" s="71"/>
      <c r="BN919" s="71"/>
      <c r="BO919" s="71"/>
      <c r="BP919" s="71"/>
      <c r="BQ919" s="71"/>
      <c r="BR919" s="71"/>
      <c r="BS919" s="71"/>
      <c r="BT919" s="71"/>
      <c r="BU919" s="71"/>
      <c r="BV919" s="71"/>
      <c r="BW919" s="71"/>
      <c r="BX919" s="71"/>
      <c r="BY919" s="71"/>
      <c r="BZ919" s="71"/>
      <c r="CA919" s="71"/>
      <c r="CB919" s="71"/>
      <c r="CC919" s="71"/>
      <c r="CD919" s="71"/>
      <c r="CE919" s="71"/>
      <c r="CF919" s="71"/>
      <c r="CG919" s="71"/>
      <c r="CH919" s="71"/>
      <c r="CI919" s="71"/>
      <c r="CJ919" s="71"/>
      <c r="CK919" s="71"/>
      <c r="CL919" s="71"/>
      <c r="CM919" s="71"/>
      <c r="CN919" s="71"/>
      <c r="CO919" s="71"/>
      <c r="CP919" s="71"/>
      <c r="CQ919" s="71"/>
      <c r="CR919" s="71"/>
      <c r="CS919" s="71"/>
      <c r="CT919" s="71"/>
      <c r="CU919" s="71"/>
      <c r="CV919" s="71"/>
      <c r="CW919" s="71"/>
      <c r="CX919" s="71"/>
      <c r="CY919" s="71"/>
      <c r="CZ919" s="71"/>
      <c r="DA919" s="71"/>
      <c r="DB919" s="71"/>
      <c r="DC919" s="71"/>
      <c r="DD919" s="71"/>
      <c r="DE919" s="71"/>
      <c r="DF919" s="71"/>
      <c r="DG919" s="71"/>
      <c r="DH919" s="71"/>
      <c r="DI919" s="71"/>
      <c r="DJ919" s="71"/>
      <c r="DK919" s="71"/>
      <c r="DL919" s="71"/>
      <c r="DM919" s="71"/>
      <c r="DN919" s="71"/>
      <c r="DO919" s="71"/>
      <c r="DP919" s="71"/>
      <c r="DQ919" s="71"/>
      <c r="DR919" s="71"/>
      <c r="DS919" s="71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  <c r="IJ919" s="71"/>
      <c r="IK919" s="71"/>
      <c r="IL919" s="71"/>
      <c r="IM919" s="71"/>
      <c r="IN919" s="71"/>
      <c r="IO919" s="71"/>
      <c r="IP919" s="71"/>
      <c r="IQ919" s="71"/>
      <c r="IR919" s="71"/>
      <c r="IS919" s="71"/>
      <c r="IT919" s="71"/>
      <c r="IU919" s="71"/>
      <c r="IV919" s="71"/>
      <c r="IW919" s="71"/>
    </row>
    <row r="920" customFormat="false" ht="12.75" hidden="false" customHeight="false" outlineLevel="0" collapsed="false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/>
      <c r="BA920" s="71"/>
      <c r="BB920" s="71"/>
      <c r="BC920" s="71"/>
      <c r="BD920" s="71"/>
      <c r="BE920" s="71"/>
      <c r="BF920" s="71"/>
      <c r="BG920" s="71"/>
      <c r="BH920" s="71"/>
      <c r="BI920" s="71"/>
      <c r="BJ920" s="71"/>
      <c r="BK920" s="71"/>
      <c r="BL920" s="71"/>
      <c r="BM920" s="71"/>
      <c r="BN920" s="71"/>
      <c r="BO920" s="71"/>
      <c r="BP920" s="71"/>
      <c r="BQ920" s="71"/>
      <c r="BR920" s="71"/>
      <c r="BS920" s="71"/>
      <c r="BT920" s="71"/>
      <c r="BU920" s="71"/>
      <c r="BV920" s="71"/>
      <c r="BW920" s="71"/>
      <c r="BX920" s="71"/>
      <c r="BY920" s="71"/>
      <c r="BZ920" s="71"/>
      <c r="CA920" s="71"/>
      <c r="CB920" s="71"/>
      <c r="CC920" s="71"/>
      <c r="CD920" s="71"/>
      <c r="CE920" s="71"/>
      <c r="CF920" s="71"/>
      <c r="CG920" s="71"/>
      <c r="CH920" s="71"/>
      <c r="CI920" s="71"/>
      <c r="CJ920" s="71"/>
      <c r="CK920" s="71"/>
      <c r="CL920" s="71"/>
      <c r="CM920" s="71"/>
      <c r="CN920" s="71"/>
      <c r="CO920" s="71"/>
      <c r="CP920" s="71"/>
      <c r="CQ920" s="71"/>
      <c r="CR920" s="71"/>
      <c r="CS920" s="71"/>
      <c r="CT920" s="71"/>
      <c r="CU920" s="71"/>
      <c r="CV920" s="71"/>
      <c r="CW920" s="71"/>
      <c r="CX920" s="71"/>
      <c r="CY920" s="71"/>
      <c r="CZ920" s="71"/>
      <c r="DA920" s="71"/>
      <c r="DB920" s="71"/>
      <c r="DC920" s="71"/>
      <c r="DD920" s="71"/>
      <c r="DE920" s="71"/>
      <c r="DF920" s="71"/>
      <c r="DG920" s="71"/>
      <c r="DH920" s="71"/>
      <c r="DI920" s="71"/>
      <c r="DJ920" s="71"/>
      <c r="DK920" s="71"/>
      <c r="DL920" s="71"/>
      <c r="DM920" s="71"/>
      <c r="DN920" s="71"/>
      <c r="DO920" s="71"/>
      <c r="DP920" s="71"/>
      <c r="DQ920" s="71"/>
      <c r="DR920" s="71"/>
      <c r="DS920" s="71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  <c r="IJ920" s="71"/>
      <c r="IK920" s="71"/>
      <c r="IL920" s="71"/>
      <c r="IM920" s="71"/>
      <c r="IN920" s="71"/>
      <c r="IO920" s="71"/>
      <c r="IP920" s="71"/>
      <c r="IQ920" s="71"/>
      <c r="IR920" s="71"/>
      <c r="IS920" s="71"/>
      <c r="IT920" s="71"/>
      <c r="IU920" s="71"/>
      <c r="IV920" s="71"/>
      <c r="IW920" s="71"/>
    </row>
    <row r="921" customFormat="false" ht="12.75" hidden="false" customHeight="false" outlineLevel="0" collapsed="false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AZ921" s="71"/>
      <c r="BA921" s="71"/>
      <c r="BB921" s="71"/>
      <c r="BC921" s="71"/>
      <c r="BD921" s="71"/>
      <c r="BE921" s="71"/>
      <c r="BF921" s="71"/>
      <c r="BG921" s="71"/>
      <c r="BH921" s="71"/>
      <c r="BI921" s="71"/>
      <c r="BJ921" s="71"/>
      <c r="BK921" s="71"/>
      <c r="BL921" s="71"/>
      <c r="BM921" s="71"/>
      <c r="BN921" s="71"/>
      <c r="BO921" s="71"/>
      <c r="BP921" s="71"/>
      <c r="BQ921" s="71"/>
      <c r="BR921" s="71"/>
      <c r="BS921" s="71"/>
      <c r="BT921" s="71"/>
      <c r="BU921" s="71"/>
      <c r="BV921" s="71"/>
      <c r="BW921" s="71"/>
      <c r="BX921" s="71"/>
      <c r="BY921" s="71"/>
      <c r="BZ921" s="71"/>
      <c r="CA921" s="71"/>
      <c r="CB921" s="71"/>
      <c r="CC921" s="71"/>
      <c r="CD921" s="71"/>
      <c r="CE921" s="71"/>
      <c r="CF921" s="71"/>
      <c r="CG921" s="71"/>
      <c r="CH921" s="71"/>
      <c r="CI921" s="71"/>
      <c r="CJ921" s="71"/>
      <c r="CK921" s="71"/>
      <c r="CL921" s="71"/>
      <c r="CM921" s="71"/>
      <c r="CN921" s="71"/>
      <c r="CO921" s="71"/>
      <c r="CP921" s="71"/>
      <c r="CQ921" s="71"/>
      <c r="CR921" s="71"/>
      <c r="CS921" s="71"/>
      <c r="CT921" s="71"/>
      <c r="CU921" s="71"/>
      <c r="CV921" s="71"/>
      <c r="CW921" s="71"/>
      <c r="CX921" s="71"/>
      <c r="CY921" s="71"/>
      <c r="CZ921" s="71"/>
      <c r="DA921" s="71"/>
      <c r="DB921" s="71"/>
      <c r="DC921" s="71"/>
      <c r="DD921" s="71"/>
      <c r="DE921" s="71"/>
      <c r="DF921" s="71"/>
      <c r="DG921" s="71"/>
      <c r="DH921" s="71"/>
      <c r="DI921" s="71"/>
      <c r="DJ921" s="71"/>
      <c r="DK921" s="71"/>
      <c r="DL921" s="71"/>
      <c r="DM921" s="71"/>
      <c r="DN921" s="71"/>
      <c r="DO921" s="71"/>
      <c r="DP921" s="71"/>
      <c r="DQ921" s="71"/>
      <c r="DR921" s="71"/>
      <c r="DS921" s="71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  <c r="IJ921" s="71"/>
      <c r="IK921" s="71"/>
      <c r="IL921" s="71"/>
      <c r="IM921" s="71"/>
      <c r="IN921" s="71"/>
      <c r="IO921" s="71"/>
      <c r="IP921" s="71"/>
      <c r="IQ921" s="71"/>
      <c r="IR921" s="71"/>
      <c r="IS921" s="71"/>
      <c r="IT921" s="71"/>
      <c r="IU921" s="71"/>
      <c r="IV921" s="71"/>
      <c r="IW921" s="71"/>
    </row>
    <row r="922" customFormat="false" ht="12.75" hidden="false" customHeight="false" outlineLevel="0" collapsed="false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  <c r="BC922" s="71"/>
      <c r="BD922" s="71"/>
      <c r="BE922" s="71"/>
      <c r="BF922" s="71"/>
      <c r="BG922" s="71"/>
      <c r="BH922" s="71"/>
      <c r="BI922" s="71"/>
      <c r="BJ922" s="71"/>
      <c r="BK922" s="71"/>
      <c r="BL922" s="71"/>
      <c r="BM922" s="71"/>
      <c r="BN922" s="71"/>
      <c r="BO922" s="71"/>
      <c r="BP922" s="71"/>
      <c r="BQ922" s="71"/>
      <c r="BR922" s="71"/>
      <c r="BS922" s="71"/>
      <c r="BT922" s="71"/>
      <c r="BU922" s="71"/>
      <c r="BV922" s="71"/>
      <c r="BW922" s="71"/>
      <c r="BX922" s="71"/>
      <c r="BY922" s="71"/>
      <c r="BZ922" s="71"/>
      <c r="CA922" s="71"/>
      <c r="CB922" s="71"/>
      <c r="CC922" s="71"/>
      <c r="CD922" s="71"/>
      <c r="CE922" s="71"/>
      <c r="CF922" s="71"/>
      <c r="CG922" s="71"/>
      <c r="CH922" s="71"/>
      <c r="CI922" s="71"/>
      <c r="CJ922" s="71"/>
      <c r="CK922" s="71"/>
      <c r="CL922" s="71"/>
      <c r="CM922" s="71"/>
      <c r="CN922" s="71"/>
      <c r="CO922" s="71"/>
      <c r="CP922" s="71"/>
      <c r="CQ922" s="71"/>
      <c r="CR922" s="71"/>
      <c r="CS922" s="71"/>
      <c r="CT922" s="71"/>
      <c r="CU922" s="71"/>
      <c r="CV922" s="71"/>
      <c r="CW922" s="71"/>
      <c r="CX922" s="71"/>
      <c r="CY922" s="71"/>
      <c r="CZ922" s="71"/>
      <c r="DA922" s="71"/>
      <c r="DB922" s="71"/>
      <c r="DC922" s="71"/>
      <c r="DD922" s="71"/>
      <c r="DE922" s="71"/>
      <c r="DF922" s="71"/>
      <c r="DG922" s="71"/>
      <c r="DH922" s="71"/>
      <c r="DI922" s="71"/>
      <c r="DJ922" s="71"/>
      <c r="DK922" s="71"/>
      <c r="DL922" s="71"/>
      <c r="DM922" s="71"/>
      <c r="DN922" s="71"/>
      <c r="DO922" s="71"/>
      <c r="DP922" s="71"/>
      <c r="DQ922" s="71"/>
      <c r="DR922" s="71"/>
      <c r="DS922" s="71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  <c r="IJ922" s="71"/>
      <c r="IK922" s="71"/>
      <c r="IL922" s="71"/>
      <c r="IM922" s="71"/>
      <c r="IN922" s="71"/>
      <c r="IO922" s="71"/>
      <c r="IP922" s="71"/>
      <c r="IQ922" s="71"/>
      <c r="IR922" s="71"/>
      <c r="IS922" s="71"/>
      <c r="IT922" s="71"/>
      <c r="IU922" s="71"/>
      <c r="IV922" s="71"/>
      <c r="IW922" s="71"/>
    </row>
    <row r="923" customFormat="false" ht="12.75" hidden="false" customHeight="false" outlineLevel="0" collapsed="false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AZ923" s="71"/>
      <c r="BA923" s="71"/>
      <c r="BB923" s="71"/>
      <c r="BC923" s="71"/>
      <c r="BD923" s="71"/>
      <c r="BE923" s="71"/>
      <c r="BF923" s="71"/>
      <c r="BG923" s="71"/>
      <c r="BH923" s="71"/>
      <c r="BI923" s="71"/>
      <c r="BJ923" s="71"/>
      <c r="BK923" s="71"/>
      <c r="BL923" s="71"/>
      <c r="BM923" s="71"/>
      <c r="BN923" s="71"/>
      <c r="BO923" s="71"/>
      <c r="BP923" s="71"/>
      <c r="BQ923" s="71"/>
      <c r="BR923" s="71"/>
      <c r="BS923" s="71"/>
      <c r="BT923" s="71"/>
      <c r="BU923" s="71"/>
      <c r="BV923" s="71"/>
      <c r="BW923" s="71"/>
      <c r="BX923" s="71"/>
      <c r="BY923" s="71"/>
      <c r="BZ923" s="71"/>
      <c r="CA923" s="71"/>
      <c r="CB923" s="71"/>
      <c r="CC923" s="71"/>
      <c r="CD923" s="71"/>
      <c r="CE923" s="71"/>
      <c r="CF923" s="71"/>
      <c r="CG923" s="71"/>
      <c r="CH923" s="71"/>
      <c r="CI923" s="71"/>
      <c r="CJ923" s="71"/>
      <c r="CK923" s="71"/>
      <c r="CL923" s="71"/>
      <c r="CM923" s="71"/>
      <c r="CN923" s="71"/>
      <c r="CO923" s="71"/>
      <c r="CP923" s="71"/>
      <c r="CQ923" s="71"/>
      <c r="CR923" s="71"/>
      <c r="CS923" s="71"/>
      <c r="CT923" s="71"/>
      <c r="CU923" s="71"/>
      <c r="CV923" s="71"/>
      <c r="CW923" s="71"/>
      <c r="CX923" s="71"/>
      <c r="CY923" s="71"/>
      <c r="CZ923" s="71"/>
      <c r="DA923" s="71"/>
      <c r="DB923" s="71"/>
      <c r="DC923" s="71"/>
      <c r="DD923" s="71"/>
      <c r="DE923" s="71"/>
      <c r="DF923" s="71"/>
      <c r="DG923" s="71"/>
      <c r="DH923" s="71"/>
      <c r="DI923" s="71"/>
      <c r="DJ923" s="71"/>
      <c r="DK923" s="71"/>
      <c r="DL923" s="71"/>
      <c r="DM923" s="71"/>
      <c r="DN923" s="71"/>
      <c r="DO923" s="71"/>
      <c r="DP923" s="71"/>
      <c r="DQ923" s="71"/>
      <c r="DR923" s="71"/>
      <c r="DS923" s="71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  <c r="IJ923" s="71"/>
      <c r="IK923" s="71"/>
      <c r="IL923" s="71"/>
      <c r="IM923" s="71"/>
      <c r="IN923" s="71"/>
      <c r="IO923" s="71"/>
      <c r="IP923" s="71"/>
      <c r="IQ923" s="71"/>
      <c r="IR923" s="71"/>
      <c r="IS923" s="71"/>
      <c r="IT923" s="71"/>
      <c r="IU923" s="71"/>
      <c r="IV923" s="71"/>
      <c r="IW923" s="71"/>
    </row>
    <row r="924" customFormat="false" ht="12.75" hidden="false" customHeight="false" outlineLevel="0" collapsed="false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AZ924" s="71"/>
      <c r="BA924" s="71"/>
      <c r="BB924" s="71"/>
      <c r="BC924" s="71"/>
      <c r="BD924" s="71"/>
      <c r="BE924" s="71"/>
      <c r="BF924" s="71"/>
      <c r="BG924" s="71"/>
      <c r="BH924" s="71"/>
      <c r="BI924" s="71"/>
      <c r="BJ924" s="71"/>
      <c r="BK924" s="71"/>
      <c r="BL924" s="71"/>
      <c r="BM924" s="71"/>
      <c r="BN924" s="71"/>
      <c r="BO924" s="71"/>
      <c r="BP924" s="71"/>
      <c r="BQ924" s="71"/>
      <c r="BR924" s="71"/>
      <c r="BS924" s="71"/>
      <c r="BT924" s="71"/>
      <c r="BU924" s="71"/>
      <c r="BV924" s="71"/>
      <c r="BW924" s="71"/>
      <c r="BX924" s="71"/>
      <c r="BY924" s="71"/>
      <c r="BZ924" s="71"/>
      <c r="CA924" s="71"/>
      <c r="CB924" s="71"/>
      <c r="CC924" s="71"/>
      <c r="CD924" s="71"/>
      <c r="CE924" s="71"/>
      <c r="CF924" s="71"/>
      <c r="CG924" s="71"/>
      <c r="CH924" s="71"/>
      <c r="CI924" s="71"/>
      <c r="CJ924" s="71"/>
      <c r="CK924" s="71"/>
      <c r="CL924" s="71"/>
      <c r="CM924" s="71"/>
      <c r="CN924" s="71"/>
      <c r="CO924" s="71"/>
      <c r="CP924" s="71"/>
      <c r="CQ924" s="71"/>
      <c r="CR924" s="71"/>
      <c r="CS924" s="71"/>
      <c r="CT924" s="71"/>
      <c r="CU924" s="71"/>
      <c r="CV924" s="71"/>
      <c r="CW924" s="71"/>
      <c r="CX924" s="71"/>
      <c r="CY924" s="71"/>
      <c r="CZ924" s="71"/>
      <c r="DA924" s="71"/>
      <c r="DB924" s="71"/>
      <c r="DC924" s="71"/>
      <c r="DD924" s="71"/>
      <c r="DE924" s="71"/>
      <c r="DF924" s="71"/>
      <c r="DG924" s="71"/>
      <c r="DH924" s="71"/>
      <c r="DI924" s="71"/>
      <c r="DJ924" s="71"/>
      <c r="DK924" s="71"/>
      <c r="DL924" s="71"/>
      <c r="DM924" s="71"/>
      <c r="DN924" s="71"/>
      <c r="DO924" s="71"/>
      <c r="DP924" s="71"/>
      <c r="DQ924" s="71"/>
      <c r="DR924" s="71"/>
      <c r="DS924" s="71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  <c r="IJ924" s="71"/>
      <c r="IK924" s="71"/>
      <c r="IL924" s="71"/>
      <c r="IM924" s="71"/>
      <c r="IN924" s="71"/>
      <c r="IO924" s="71"/>
      <c r="IP924" s="71"/>
      <c r="IQ924" s="71"/>
      <c r="IR924" s="71"/>
      <c r="IS924" s="71"/>
      <c r="IT924" s="71"/>
      <c r="IU924" s="71"/>
      <c r="IV924" s="71"/>
      <c r="IW924" s="71"/>
    </row>
    <row r="925" customFormat="false" ht="12.75" hidden="false" customHeight="false" outlineLevel="0" collapsed="false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AZ925" s="71"/>
      <c r="BA925" s="71"/>
      <c r="BB925" s="71"/>
      <c r="BC925" s="71"/>
      <c r="BD925" s="71"/>
      <c r="BE925" s="71"/>
      <c r="BF925" s="71"/>
      <c r="BG925" s="71"/>
      <c r="BH925" s="71"/>
      <c r="BI925" s="71"/>
      <c r="BJ925" s="71"/>
      <c r="BK925" s="71"/>
      <c r="BL925" s="71"/>
      <c r="BM925" s="71"/>
      <c r="BN925" s="71"/>
      <c r="BO925" s="71"/>
      <c r="BP925" s="71"/>
      <c r="BQ925" s="71"/>
      <c r="BR925" s="71"/>
      <c r="BS925" s="71"/>
      <c r="BT925" s="71"/>
      <c r="BU925" s="71"/>
      <c r="BV925" s="71"/>
      <c r="BW925" s="71"/>
      <c r="BX925" s="71"/>
      <c r="BY925" s="71"/>
      <c r="BZ925" s="71"/>
      <c r="CA925" s="71"/>
      <c r="CB925" s="71"/>
      <c r="CC925" s="71"/>
      <c r="CD925" s="71"/>
      <c r="CE925" s="71"/>
      <c r="CF925" s="71"/>
      <c r="CG925" s="71"/>
      <c r="CH925" s="71"/>
      <c r="CI925" s="71"/>
      <c r="CJ925" s="71"/>
      <c r="CK925" s="71"/>
      <c r="CL925" s="71"/>
      <c r="CM925" s="71"/>
      <c r="CN925" s="71"/>
      <c r="CO925" s="71"/>
      <c r="CP925" s="71"/>
      <c r="CQ925" s="71"/>
      <c r="CR925" s="71"/>
      <c r="CS925" s="71"/>
      <c r="CT925" s="71"/>
      <c r="CU925" s="71"/>
      <c r="CV925" s="71"/>
      <c r="CW925" s="71"/>
      <c r="CX925" s="71"/>
      <c r="CY925" s="71"/>
      <c r="CZ925" s="71"/>
      <c r="DA925" s="71"/>
      <c r="DB925" s="71"/>
      <c r="DC925" s="71"/>
      <c r="DD925" s="71"/>
      <c r="DE925" s="71"/>
      <c r="DF925" s="71"/>
      <c r="DG925" s="71"/>
      <c r="DH925" s="71"/>
      <c r="DI925" s="71"/>
      <c r="DJ925" s="71"/>
      <c r="DK925" s="71"/>
      <c r="DL925" s="71"/>
      <c r="DM925" s="71"/>
      <c r="DN925" s="71"/>
      <c r="DO925" s="71"/>
      <c r="DP925" s="71"/>
      <c r="DQ925" s="71"/>
      <c r="DR925" s="71"/>
      <c r="DS925" s="71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  <c r="IJ925" s="71"/>
      <c r="IK925" s="71"/>
      <c r="IL925" s="71"/>
      <c r="IM925" s="71"/>
      <c r="IN925" s="71"/>
      <c r="IO925" s="71"/>
      <c r="IP925" s="71"/>
      <c r="IQ925" s="71"/>
      <c r="IR925" s="71"/>
      <c r="IS925" s="71"/>
      <c r="IT925" s="71"/>
      <c r="IU925" s="71"/>
      <c r="IV925" s="71"/>
      <c r="IW925" s="71"/>
    </row>
    <row r="926" customFormat="false" ht="12.75" hidden="false" customHeight="false" outlineLevel="0" collapsed="false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  <c r="BC926" s="71"/>
      <c r="BD926" s="71"/>
      <c r="BE926" s="71"/>
      <c r="BF926" s="71"/>
      <c r="BG926" s="71"/>
      <c r="BH926" s="71"/>
      <c r="BI926" s="71"/>
      <c r="BJ926" s="71"/>
      <c r="BK926" s="71"/>
      <c r="BL926" s="71"/>
      <c r="BM926" s="71"/>
      <c r="BN926" s="71"/>
      <c r="BO926" s="71"/>
      <c r="BP926" s="71"/>
      <c r="BQ926" s="71"/>
      <c r="BR926" s="71"/>
      <c r="BS926" s="71"/>
      <c r="BT926" s="71"/>
      <c r="BU926" s="71"/>
      <c r="BV926" s="71"/>
      <c r="BW926" s="71"/>
      <c r="BX926" s="71"/>
      <c r="BY926" s="71"/>
      <c r="BZ926" s="71"/>
      <c r="CA926" s="71"/>
      <c r="CB926" s="71"/>
      <c r="CC926" s="71"/>
      <c r="CD926" s="71"/>
      <c r="CE926" s="71"/>
      <c r="CF926" s="71"/>
      <c r="CG926" s="71"/>
      <c r="CH926" s="71"/>
      <c r="CI926" s="71"/>
      <c r="CJ926" s="71"/>
      <c r="CK926" s="71"/>
      <c r="CL926" s="71"/>
      <c r="CM926" s="71"/>
      <c r="CN926" s="71"/>
      <c r="CO926" s="71"/>
      <c r="CP926" s="71"/>
      <c r="CQ926" s="71"/>
      <c r="CR926" s="71"/>
      <c r="CS926" s="71"/>
      <c r="CT926" s="71"/>
      <c r="CU926" s="71"/>
      <c r="CV926" s="71"/>
      <c r="CW926" s="71"/>
      <c r="CX926" s="71"/>
      <c r="CY926" s="71"/>
      <c r="CZ926" s="71"/>
      <c r="DA926" s="71"/>
      <c r="DB926" s="71"/>
      <c r="DC926" s="71"/>
      <c r="DD926" s="71"/>
      <c r="DE926" s="71"/>
      <c r="DF926" s="71"/>
      <c r="DG926" s="71"/>
      <c r="DH926" s="71"/>
      <c r="DI926" s="71"/>
      <c r="DJ926" s="71"/>
      <c r="DK926" s="71"/>
      <c r="DL926" s="71"/>
      <c r="DM926" s="71"/>
      <c r="DN926" s="71"/>
      <c r="DO926" s="71"/>
      <c r="DP926" s="71"/>
      <c r="DQ926" s="71"/>
      <c r="DR926" s="71"/>
      <c r="DS926" s="71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  <c r="IJ926" s="71"/>
      <c r="IK926" s="71"/>
      <c r="IL926" s="71"/>
      <c r="IM926" s="71"/>
      <c r="IN926" s="71"/>
      <c r="IO926" s="71"/>
      <c r="IP926" s="71"/>
      <c r="IQ926" s="71"/>
      <c r="IR926" s="71"/>
      <c r="IS926" s="71"/>
      <c r="IT926" s="71"/>
      <c r="IU926" s="71"/>
      <c r="IV926" s="71"/>
      <c r="IW926" s="71"/>
    </row>
    <row r="927" customFormat="false" ht="12.75" hidden="false" customHeight="false" outlineLevel="0" collapsed="false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  <c r="BC927" s="71"/>
      <c r="BD927" s="71"/>
      <c r="BE927" s="71"/>
      <c r="BF927" s="71"/>
      <c r="BG927" s="71"/>
      <c r="BH927" s="71"/>
      <c r="BI927" s="71"/>
      <c r="BJ927" s="71"/>
      <c r="BK927" s="71"/>
      <c r="BL927" s="71"/>
      <c r="BM927" s="71"/>
      <c r="BN927" s="71"/>
      <c r="BO927" s="71"/>
      <c r="BP927" s="71"/>
      <c r="BQ927" s="71"/>
      <c r="BR927" s="71"/>
      <c r="BS927" s="71"/>
      <c r="BT927" s="71"/>
      <c r="BU927" s="71"/>
      <c r="BV927" s="71"/>
      <c r="BW927" s="71"/>
      <c r="BX927" s="71"/>
      <c r="BY927" s="71"/>
      <c r="BZ927" s="71"/>
      <c r="CA927" s="71"/>
      <c r="CB927" s="71"/>
      <c r="CC927" s="71"/>
      <c r="CD927" s="71"/>
      <c r="CE927" s="71"/>
      <c r="CF927" s="71"/>
      <c r="CG927" s="71"/>
      <c r="CH927" s="71"/>
      <c r="CI927" s="71"/>
      <c r="CJ927" s="71"/>
      <c r="CK927" s="71"/>
      <c r="CL927" s="71"/>
      <c r="CM927" s="71"/>
      <c r="CN927" s="71"/>
      <c r="CO927" s="71"/>
      <c r="CP927" s="71"/>
      <c r="CQ927" s="71"/>
      <c r="CR927" s="71"/>
      <c r="CS927" s="71"/>
      <c r="CT927" s="71"/>
      <c r="CU927" s="71"/>
      <c r="CV927" s="71"/>
      <c r="CW927" s="71"/>
      <c r="CX927" s="71"/>
      <c r="CY927" s="71"/>
      <c r="CZ927" s="71"/>
      <c r="DA927" s="71"/>
      <c r="DB927" s="71"/>
      <c r="DC927" s="71"/>
      <c r="DD927" s="71"/>
      <c r="DE927" s="71"/>
      <c r="DF927" s="71"/>
      <c r="DG927" s="71"/>
      <c r="DH927" s="71"/>
      <c r="DI927" s="71"/>
      <c r="DJ927" s="71"/>
      <c r="DK927" s="71"/>
      <c r="DL927" s="71"/>
      <c r="DM927" s="71"/>
      <c r="DN927" s="71"/>
      <c r="DO927" s="71"/>
      <c r="DP927" s="71"/>
      <c r="DQ927" s="71"/>
      <c r="DR927" s="71"/>
      <c r="DS927" s="71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  <c r="IJ927" s="71"/>
      <c r="IK927" s="71"/>
      <c r="IL927" s="71"/>
      <c r="IM927" s="71"/>
      <c r="IN927" s="71"/>
      <c r="IO927" s="71"/>
      <c r="IP927" s="71"/>
      <c r="IQ927" s="71"/>
      <c r="IR927" s="71"/>
      <c r="IS927" s="71"/>
      <c r="IT927" s="71"/>
      <c r="IU927" s="71"/>
      <c r="IV927" s="71"/>
      <c r="IW927" s="71"/>
    </row>
    <row r="928" customFormat="false" ht="12.75" hidden="false" customHeight="false" outlineLevel="0" collapsed="false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AZ928" s="71"/>
      <c r="BA928" s="71"/>
      <c r="BB928" s="71"/>
      <c r="BC928" s="71"/>
      <c r="BD928" s="71"/>
      <c r="BE928" s="71"/>
      <c r="BF928" s="71"/>
      <c r="BG928" s="71"/>
      <c r="BH928" s="71"/>
      <c r="BI928" s="71"/>
      <c r="BJ928" s="71"/>
      <c r="BK928" s="71"/>
      <c r="BL928" s="71"/>
      <c r="BM928" s="71"/>
      <c r="BN928" s="71"/>
      <c r="BO928" s="71"/>
      <c r="BP928" s="71"/>
      <c r="BQ928" s="71"/>
      <c r="BR928" s="71"/>
      <c r="BS928" s="71"/>
      <c r="BT928" s="71"/>
      <c r="BU928" s="71"/>
      <c r="BV928" s="71"/>
      <c r="BW928" s="71"/>
      <c r="BX928" s="71"/>
      <c r="BY928" s="71"/>
      <c r="BZ928" s="71"/>
      <c r="CA928" s="71"/>
      <c r="CB928" s="71"/>
      <c r="CC928" s="71"/>
      <c r="CD928" s="71"/>
      <c r="CE928" s="71"/>
      <c r="CF928" s="71"/>
      <c r="CG928" s="71"/>
      <c r="CH928" s="71"/>
      <c r="CI928" s="71"/>
      <c r="CJ928" s="71"/>
      <c r="CK928" s="71"/>
      <c r="CL928" s="71"/>
      <c r="CM928" s="71"/>
      <c r="CN928" s="71"/>
      <c r="CO928" s="71"/>
      <c r="CP928" s="71"/>
      <c r="CQ928" s="71"/>
      <c r="CR928" s="71"/>
      <c r="CS928" s="71"/>
      <c r="CT928" s="71"/>
      <c r="CU928" s="71"/>
      <c r="CV928" s="71"/>
      <c r="CW928" s="71"/>
      <c r="CX928" s="71"/>
      <c r="CY928" s="71"/>
      <c r="CZ928" s="71"/>
      <c r="DA928" s="71"/>
      <c r="DB928" s="71"/>
      <c r="DC928" s="71"/>
      <c r="DD928" s="71"/>
      <c r="DE928" s="71"/>
      <c r="DF928" s="71"/>
      <c r="DG928" s="71"/>
      <c r="DH928" s="71"/>
      <c r="DI928" s="71"/>
      <c r="DJ928" s="71"/>
      <c r="DK928" s="71"/>
      <c r="DL928" s="71"/>
      <c r="DM928" s="71"/>
      <c r="DN928" s="71"/>
      <c r="DO928" s="71"/>
      <c r="DP928" s="71"/>
      <c r="DQ928" s="71"/>
      <c r="DR928" s="71"/>
      <c r="DS928" s="71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  <c r="IJ928" s="71"/>
      <c r="IK928" s="71"/>
      <c r="IL928" s="71"/>
      <c r="IM928" s="71"/>
      <c r="IN928" s="71"/>
      <c r="IO928" s="71"/>
      <c r="IP928" s="71"/>
      <c r="IQ928" s="71"/>
      <c r="IR928" s="71"/>
      <c r="IS928" s="71"/>
      <c r="IT928" s="71"/>
      <c r="IU928" s="71"/>
      <c r="IV928" s="71"/>
      <c r="IW928" s="71"/>
    </row>
    <row r="929" customFormat="false" ht="12.75" hidden="false" customHeight="false" outlineLevel="0" collapsed="false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  <c r="BC929" s="71"/>
      <c r="BD929" s="71"/>
      <c r="BE929" s="71"/>
      <c r="BF929" s="71"/>
      <c r="BG929" s="71"/>
      <c r="BH929" s="71"/>
      <c r="BI929" s="71"/>
      <c r="BJ929" s="71"/>
      <c r="BK929" s="71"/>
      <c r="BL929" s="71"/>
      <c r="BM929" s="71"/>
      <c r="BN929" s="71"/>
      <c r="BO929" s="71"/>
      <c r="BP929" s="71"/>
      <c r="BQ929" s="71"/>
      <c r="BR929" s="71"/>
      <c r="BS929" s="71"/>
      <c r="BT929" s="71"/>
      <c r="BU929" s="71"/>
      <c r="BV929" s="71"/>
      <c r="BW929" s="71"/>
      <c r="BX929" s="71"/>
      <c r="BY929" s="71"/>
      <c r="BZ929" s="71"/>
      <c r="CA929" s="71"/>
      <c r="CB929" s="71"/>
      <c r="CC929" s="71"/>
      <c r="CD929" s="71"/>
      <c r="CE929" s="71"/>
      <c r="CF929" s="71"/>
      <c r="CG929" s="71"/>
      <c r="CH929" s="71"/>
      <c r="CI929" s="71"/>
      <c r="CJ929" s="71"/>
      <c r="CK929" s="71"/>
      <c r="CL929" s="71"/>
      <c r="CM929" s="71"/>
      <c r="CN929" s="71"/>
      <c r="CO929" s="71"/>
      <c r="CP929" s="71"/>
      <c r="CQ929" s="71"/>
      <c r="CR929" s="71"/>
      <c r="CS929" s="71"/>
      <c r="CT929" s="71"/>
      <c r="CU929" s="71"/>
      <c r="CV929" s="71"/>
      <c r="CW929" s="71"/>
      <c r="CX929" s="71"/>
      <c r="CY929" s="71"/>
      <c r="CZ929" s="71"/>
      <c r="DA929" s="71"/>
      <c r="DB929" s="71"/>
      <c r="DC929" s="71"/>
      <c r="DD929" s="71"/>
      <c r="DE929" s="71"/>
      <c r="DF929" s="71"/>
      <c r="DG929" s="71"/>
      <c r="DH929" s="71"/>
      <c r="DI929" s="71"/>
      <c r="DJ929" s="71"/>
      <c r="DK929" s="71"/>
      <c r="DL929" s="71"/>
      <c r="DM929" s="71"/>
      <c r="DN929" s="71"/>
      <c r="DO929" s="71"/>
      <c r="DP929" s="71"/>
      <c r="DQ929" s="71"/>
      <c r="DR929" s="71"/>
      <c r="DS929" s="71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  <c r="IJ929" s="71"/>
      <c r="IK929" s="71"/>
      <c r="IL929" s="71"/>
      <c r="IM929" s="71"/>
      <c r="IN929" s="71"/>
      <c r="IO929" s="71"/>
      <c r="IP929" s="71"/>
      <c r="IQ929" s="71"/>
      <c r="IR929" s="71"/>
      <c r="IS929" s="71"/>
      <c r="IT929" s="71"/>
      <c r="IU929" s="71"/>
      <c r="IV929" s="71"/>
      <c r="IW929" s="71"/>
    </row>
    <row r="930" customFormat="false" ht="12.75" hidden="false" customHeight="false" outlineLevel="0" collapsed="false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AZ930" s="71"/>
      <c r="BA930" s="71"/>
      <c r="BB930" s="71"/>
      <c r="BC930" s="71"/>
      <c r="BD930" s="71"/>
      <c r="BE930" s="71"/>
      <c r="BF930" s="71"/>
      <c r="BG930" s="71"/>
      <c r="BH930" s="71"/>
      <c r="BI930" s="71"/>
      <c r="BJ930" s="71"/>
      <c r="BK930" s="71"/>
      <c r="BL930" s="71"/>
      <c r="BM930" s="71"/>
      <c r="BN930" s="71"/>
      <c r="BO930" s="71"/>
      <c r="BP930" s="71"/>
      <c r="BQ930" s="71"/>
      <c r="BR930" s="71"/>
      <c r="BS930" s="71"/>
      <c r="BT930" s="71"/>
      <c r="BU930" s="71"/>
      <c r="BV930" s="71"/>
      <c r="BW930" s="71"/>
      <c r="BX930" s="71"/>
      <c r="BY930" s="71"/>
      <c r="BZ930" s="71"/>
      <c r="CA930" s="71"/>
      <c r="CB930" s="71"/>
      <c r="CC930" s="71"/>
      <c r="CD930" s="71"/>
      <c r="CE930" s="71"/>
      <c r="CF930" s="71"/>
      <c r="CG930" s="71"/>
      <c r="CH930" s="71"/>
      <c r="CI930" s="71"/>
      <c r="CJ930" s="71"/>
      <c r="CK930" s="71"/>
      <c r="CL930" s="71"/>
      <c r="CM930" s="71"/>
      <c r="CN930" s="71"/>
      <c r="CO930" s="71"/>
      <c r="CP930" s="71"/>
      <c r="CQ930" s="71"/>
      <c r="CR930" s="71"/>
      <c r="CS930" s="71"/>
      <c r="CT930" s="71"/>
      <c r="CU930" s="71"/>
      <c r="CV930" s="71"/>
      <c r="CW930" s="71"/>
      <c r="CX930" s="71"/>
      <c r="CY930" s="71"/>
      <c r="CZ930" s="71"/>
      <c r="DA930" s="71"/>
      <c r="DB930" s="71"/>
      <c r="DC930" s="71"/>
      <c r="DD930" s="71"/>
      <c r="DE930" s="71"/>
      <c r="DF930" s="71"/>
      <c r="DG930" s="71"/>
      <c r="DH930" s="71"/>
      <c r="DI930" s="71"/>
      <c r="DJ930" s="71"/>
      <c r="DK930" s="71"/>
      <c r="DL930" s="71"/>
      <c r="DM930" s="71"/>
      <c r="DN930" s="71"/>
      <c r="DO930" s="71"/>
      <c r="DP930" s="71"/>
      <c r="DQ930" s="71"/>
      <c r="DR930" s="71"/>
      <c r="DS930" s="71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  <c r="IJ930" s="71"/>
      <c r="IK930" s="71"/>
      <c r="IL930" s="71"/>
      <c r="IM930" s="71"/>
      <c r="IN930" s="71"/>
      <c r="IO930" s="71"/>
      <c r="IP930" s="71"/>
      <c r="IQ930" s="71"/>
      <c r="IR930" s="71"/>
      <c r="IS930" s="71"/>
      <c r="IT930" s="71"/>
      <c r="IU930" s="71"/>
      <c r="IV930" s="71"/>
      <c r="IW930" s="71"/>
    </row>
    <row r="931" customFormat="false" ht="12.75" hidden="false" customHeight="false" outlineLevel="0" collapsed="false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AZ931" s="71"/>
      <c r="BA931" s="71"/>
      <c r="BB931" s="71"/>
      <c r="BC931" s="71"/>
      <c r="BD931" s="71"/>
      <c r="BE931" s="71"/>
      <c r="BF931" s="71"/>
      <c r="BG931" s="71"/>
      <c r="BH931" s="71"/>
      <c r="BI931" s="71"/>
      <c r="BJ931" s="71"/>
      <c r="BK931" s="71"/>
      <c r="BL931" s="71"/>
      <c r="BM931" s="71"/>
      <c r="BN931" s="71"/>
      <c r="BO931" s="71"/>
      <c r="BP931" s="71"/>
      <c r="BQ931" s="71"/>
      <c r="BR931" s="71"/>
      <c r="BS931" s="71"/>
      <c r="BT931" s="71"/>
      <c r="BU931" s="71"/>
      <c r="BV931" s="71"/>
      <c r="BW931" s="71"/>
      <c r="BX931" s="71"/>
      <c r="BY931" s="71"/>
      <c r="BZ931" s="71"/>
      <c r="CA931" s="71"/>
      <c r="CB931" s="71"/>
      <c r="CC931" s="71"/>
      <c r="CD931" s="71"/>
      <c r="CE931" s="71"/>
      <c r="CF931" s="71"/>
      <c r="CG931" s="71"/>
      <c r="CH931" s="71"/>
      <c r="CI931" s="71"/>
      <c r="CJ931" s="71"/>
      <c r="CK931" s="71"/>
      <c r="CL931" s="71"/>
      <c r="CM931" s="71"/>
      <c r="CN931" s="71"/>
      <c r="CO931" s="71"/>
      <c r="CP931" s="71"/>
      <c r="CQ931" s="71"/>
      <c r="CR931" s="71"/>
      <c r="CS931" s="71"/>
      <c r="CT931" s="71"/>
      <c r="CU931" s="71"/>
      <c r="CV931" s="71"/>
      <c r="CW931" s="71"/>
      <c r="CX931" s="71"/>
      <c r="CY931" s="71"/>
      <c r="CZ931" s="71"/>
      <c r="DA931" s="71"/>
      <c r="DB931" s="71"/>
      <c r="DC931" s="71"/>
      <c r="DD931" s="71"/>
      <c r="DE931" s="71"/>
      <c r="DF931" s="71"/>
      <c r="DG931" s="71"/>
      <c r="DH931" s="71"/>
      <c r="DI931" s="71"/>
      <c r="DJ931" s="71"/>
      <c r="DK931" s="71"/>
      <c r="DL931" s="71"/>
      <c r="DM931" s="71"/>
      <c r="DN931" s="71"/>
      <c r="DO931" s="71"/>
      <c r="DP931" s="71"/>
      <c r="DQ931" s="71"/>
      <c r="DR931" s="71"/>
      <c r="DS931" s="71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  <c r="IJ931" s="71"/>
      <c r="IK931" s="71"/>
      <c r="IL931" s="71"/>
      <c r="IM931" s="71"/>
      <c r="IN931" s="71"/>
      <c r="IO931" s="71"/>
      <c r="IP931" s="71"/>
      <c r="IQ931" s="71"/>
      <c r="IR931" s="71"/>
      <c r="IS931" s="71"/>
      <c r="IT931" s="71"/>
      <c r="IU931" s="71"/>
      <c r="IV931" s="71"/>
      <c r="IW931" s="71"/>
    </row>
    <row r="932" customFormat="false" ht="12.75" hidden="false" customHeight="false" outlineLevel="0" collapsed="false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AZ932" s="71"/>
      <c r="BA932" s="71"/>
      <c r="BB932" s="71"/>
      <c r="BC932" s="71"/>
      <c r="BD932" s="71"/>
      <c r="BE932" s="71"/>
      <c r="BF932" s="71"/>
      <c r="BG932" s="71"/>
      <c r="BH932" s="71"/>
      <c r="BI932" s="71"/>
      <c r="BJ932" s="71"/>
      <c r="BK932" s="71"/>
      <c r="BL932" s="71"/>
      <c r="BM932" s="71"/>
      <c r="BN932" s="71"/>
      <c r="BO932" s="71"/>
      <c r="BP932" s="71"/>
      <c r="BQ932" s="71"/>
      <c r="BR932" s="71"/>
      <c r="BS932" s="71"/>
      <c r="BT932" s="71"/>
      <c r="BU932" s="71"/>
      <c r="BV932" s="71"/>
      <c r="BW932" s="71"/>
      <c r="BX932" s="71"/>
      <c r="BY932" s="71"/>
      <c r="BZ932" s="71"/>
      <c r="CA932" s="71"/>
      <c r="CB932" s="71"/>
      <c r="CC932" s="71"/>
      <c r="CD932" s="71"/>
      <c r="CE932" s="71"/>
      <c r="CF932" s="71"/>
      <c r="CG932" s="71"/>
      <c r="CH932" s="71"/>
      <c r="CI932" s="71"/>
      <c r="CJ932" s="71"/>
      <c r="CK932" s="71"/>
      <c r="CL932" s="71"/>
      <c r="CM932" s="71"/>
      <c r="CN932" s="71"/>
      <c r="CO932" s="71"/>
      <c r="CP932" s="71"/>
      <c r="CQ932" s="71"/>
      <c r="CR932" s="71"/>
      <c r="CS932" s="71"/>
      <c r="CT932" s="71"/>
      <c r="CU932" s="71"/>
      <c r="CV932" s="71"/>
      <c r="CW932" s="71"/>
      <c r="CX932" s="71"/>
      <c r="CY932" s="71"/>
      <c r="CZ932" s="71"/>
      <c r="DA932" s="71"/>
      <c r="DB932" s="71"/>
      <c r="DC932" s="71"/>
      <c r="DD932" s="71"/>
      <c r="DE932" s="71"/>
      <c r="DF932" s="71"/>
      <c r="DG932" s="71"/>
      <c r="DH932" s="71"/>
      <c r="DI932" s="71"/>
      <c r="DJ932" s="71"/>
      <c r="DK932" s="71"/>
      <c r="DL932" s="71"/>
      <c r="DM932" s="71"/>
      <c r="DN932" s="71"/>
      <c r="DO932" s="71"/>
      <c r="DP932" s="71"/>
      <c r="DQ932" s="71"/>
      <c r="DR932" s="71"/>
      <c r="DS932" s="71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  <c r="IJ932" s="71"/>
      <c r="IK932" s="71"/>
      <c r="IL932" s="71"/>
      <c r="IM932" s="71"/>
      <c r="IN932" s="71"/>
      <c r="IO932" s="71"/>
      <c r="IP932" s="71"/>
      <c r="IQ932" s="71"/>
      <c r="IR932" s="71"/>
      <c r="IS932" s="71"/>
      <c r="IT932" s="71"/>
      <c r="IU932" s="71"/>
      <c r="IV932" s="71"/>
      <c r="IW932" s="71"/>
    </row>
    <row r="933" customFormat="false" ht="12.75" hidden="false" customHeight="false" outlineLevel="0" collapsed="false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  <c r="BC933" s="71"/>
      <c r="BD933" s="71"/>
      <c r="BE933" s="71"/>
      <c r="BF933" s="71"/>
      <c r="BG933" s="71"/>
      <c r="BH933" s="71"/>
      <c r="BI933" s="71"/>
      <c r="BJ933" s="71"/>
      <c r="BK933" s="71"/>
      <c r="BL933" s="71"/>
      <c r="BM933" s="71"/>
      <c r="BN933" s="71"/>
      <c r="BO933" s="71"/>
      <c r="BP933" s="71"/>
      <c r="BQ933" s="71"/>
      <c r="BR933" s="71"/>
      <c r="BS933" s="71"/>
      <c r="BT933" s="71"/>
      <c r="BU933" s="71"/>
      <c r="BV933" s="71"/>
      <c r="BW933" s="71"/>
      <c r="BX933" s="71"/>
      <c r="BY933" s="71"/>
      <c r="BZ933" s="71"/>
      <c r="CA933" s="71"/>
      <c r="CB933" s="71"/>
      <c r="CC933" s="71"/>
      <c r="CD933" s="71"/>
      <c r="CE933" s="71"/>
      <c r="CF933" s="71"/>
      <c r="CG933" s="71"/>
      <c r="CH933" s="71"/>
      <c r="CI933" s="71"/>
      <c r="CJ933" s="71"/>
      <c r="CK933" s="71"/>
      <c r="CL933" s="71"/>
      <c r="CM933" s="71"/>
      <c r="CN933" s="71"/>
      <c r="CO933" s="71"/>
      <c r="CP933" s="71"/>
      <c r="CQ933" s="71"/>
      <c r="CR933" s="71"/>
      <c r="CS933" s="71"/>
      <c r="CT933" s="71"/>
      <c r="CU933" s="71"/>
      <c r="CV933" s="71"/>
      <c r="CW933" s="71"/>
      <c r="CX933" s="71"/>
      <c r="CY933" s="71"/>
      <c r="CZ933" s="71"/>
      <c r="DA933" s="71"/>
      <c r="DB933" s="71"/>
      <c r="DC933" s="71"/>
      <c r="DD933" s="71"/>
      <c r="DE933" s="71"/>
      <c r="DF933" s="71"/>
      <c r="DG933" s="71"/>
      <c r="DH933" s="71"/>
      <c r="DI933" s="71"/>
      <c r="DJ933" s="71"/>
      <c r="DK933" s="71"/>
      <c r="DL933" s="71"/>
      <c r="DM933" s="71"/>
      <c r="DN933" s="71"/>
      <c r="DO933" s="71"/>
      <c r="DP933" s="71"/>
      <c r="DQ933" s="71"/>
      <c r="DR933" s="71"/>
      <c r="DS933" s="71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  <c r="IJ933" s="71"/>
      <c r="IK933" s="71"/>
      <c r="IL933" s="71"/>
      <c r="IM933" s="71"/>
      <c r="IN933" s="71"/>
      <c r="IO933" s="71"/>
      <c r="IP933" s="71"/>
      <c r="IQ933" s="71"/>
      <c r="IR933" s="71"/>
      <c r="IS933" s="71"/>
      <c r="IT933" s="71"/>
      <c r="IU933" s="71"/>
      <c r="IV933" s="71"/>
      <c r="IW933" s="71"/>
    </row>
    <row r="934" customFormat="false" ht="12.75" hidden="false" customHeight="false" outlineLevel="0" collapsed="false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AZ934" s="71"/>
      <c r="BA934" s="71"/>
      <c r="BB934" s="71"/>
      <c r="BC934" s="71"/>
      <c r="BD934" s="71"/>
      <c r="BE934" s="71"/>
      <c r="BF934" s="71"/>
      <c r="BG934" s="71"/>
      <c r="BH934" s="71"/>
      <c r="BI934" s="71"/>
      <c r="BJ934" s="71"/>
      <c r="BK934" s="71"/>
      <c r="BL934" s="71"/>
      <c r="BM934" s="71"/>
      <c r="BN934" s="71"/>
      <c r="BO934" s="71"/>
      <c r="BP934" s="71"/>
      <c r="BQ934" s="71"/>
      <c r="BR934" s="71"/>
      <c r="BS934" s="71"/>
      <c r="BT934" s="71"/>
      <c r="BU934" s="71"/>
      <c r="BV934" s="71"/>
      <c r="BW934" s="71"/>
      <c r="BX934" s="71"/>
      <c r="BY934" s="71"/>
      <c r="BZ934" s="71"/>
      <c r="CA934" s="71"/>
      <c r="CB934" s="71"/>
      <c r="CC934" s="71"/>
      <c r="CD934" s="71"/>
      <c r="CE934" s="71"/>
      <c r="CF934" s="71"/>
      <c r="CG934" s="71"/>
      <c r="CH934" s="71"/>
      <c r="CI934" s="71"/>
      <c r="CJ934" s="71"/>
      <c r="CK934" s="71"/>
      <c r="CL934" s="71"/>
      <c r="CM934" s="71"/>
      <c r="CN934" s="71"/>
      <c r="CO934" s="71"/>
      <c r="CP934" s="71"/>
      <c r="CQ934" s="71"/>
      <c r="CR934" s="71"/>
      <c r="CS934" s="71"/>
      <c r="CT934" s="71"/>
      <c r="CU934" s="71"/>
      <c r="CV934" s="71"/>
      <c r="CW934" s="71"/>
      <c r="CX934" s="71"/>
      <c r="CY934" s="71"/>
      <c r="CZ934" s="71"/>
      <c r="DA934" s="71"/>
      <c r="DB934" s="71"/>
      <c r="DC934" s="71"/>
      <c r="DD934" s="71"/>
      <c r="DE934" s="71"/>
      <c r="DF934" s="71"/>
      <c r="DG934" s="71"/>
      <c r="DH934" s="71"/>
      <c r="DI934" s="71"/>
      <c r="DJ934" s="71"/>
      <c r="DK934" s="71"/>
      <c r="DL934" s="71"/>
      <c r="DM934" s="71"/>
      <c r="DN934" s="71"/>
      <c r="DO934" s="71"/>
      <c r="DP934" s="71"/>
      <c r="DQ934" s="71"/>
      <c r="DR934" s="71"/>
      <c r="DS934" s="71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  <c r="IJ934" s="71"/>
      <c r="IK934" s="71"/>
      <c r="IL934" s="71"/>
      <c r="IM934" s="71"/>
      <c r="IN934" s="71"/>
      <c r="IO934" s="71"/>
      <c r="IP934" s="71"/>
      <c r="IQ934" s="71"/>
      <c r="IR934" s="71"/>
      <c r="IS934" s="71"/>
      <c r="IT934" s="71"/>
      <c r="IU934" s="71"/>
      <c r="IV934" s="71"/>
      <c r="IW934" s="71"/>
    </row>
    <row r="935" customFormat="false" ht="12.75" hidden="false" customHeight="false" outlineLevel="0" collapsed="false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AZ935" s="71"/>
      <c r="BA935" s="71"/>
      <c r="BB935" s="71"/>
      <c r="BC935" s="71"/>
      <c r="BD935" s="71"/>
      <c r="BE935" s="71"/>
      <c r="BF935" s="71"/>
      <c r="BG935" s="71"/>
      <c r="BH935" s="71"/>
      <c r="BI935" s="71"/>
      <c r="BJ935" s="71"/>
      <c r="BK935" s="71"/>
      <c r="BL935" s="71"/>
      <c r="BM935" s="71"/>
      <c r="BN935" s="71"/>
      <c r="BO935" s="71"/>
      <c r="BP935" s="71"/>
      <c r="BQ935" s="71"/>
      <c r="BR935" s="71"/>
      <c r="BS935" s="71"/>
      <c r="BT935" s="71"/>
      <c r="BU935" s="71"/>
      <c r="BV935" s="71"/>
      <c r="BW935" s="71"/>
      <c r="BX935" s="71"/>
      <c r="BY935" s="71"/>
      <c r="BZ935" s="71"/>
      <c r="CA935" s="71"/>
      <c r="CB935" s="71"/>
      <c r="CC935" s="71"/>
      <c r="CD935" s="71"/>
      <c r="CE935" s="71"/>
      <c r="CF935" s="71"/>
      <c r="CG935" s="71"/>
      <c r="CH935" s="71"/>
      <c r="CI935" s="71"/>
      <c r="CJ935" s="71"/>
      <c r="CK935" s="71"/>
      <c r="CL935" s="71"/>
      <c r="CM935" s="71"/>
      <c r="CN935" s="71"/>
      <c r="CO935" s="71"/>
      <c r="CP935" s="71"/>
      <c r="CQ935" s="71"/>
      <c r="CR935" s="71"/>
      <c r="CS935" s="71"/>
      <c r="CT935" s="71"/>
      <c r="CU935" s="71"/>
      <c r="CV935" s="71"/>
      <c r="CW935" s="71"/>
      <c r="CX935" s="71"/>
      <c r="CY935" s="71"/>
      <c r="CZ935" s="71"/>
      <c r="DA935" s="71"/>
      <c r="DB935" s="71"/>
      <c r="DC935" s="71"/>
      <c r="DD935" s="71"/>
      <c r="DE935" s="71"/>
      <c r="DF935" s="71"/>
      <c r="DG935" s="71"/>
      <c r="DH935" s="71"/>
      <c r="DI935" s="71"/>
      <c r="DJ935" s="71"/>
      <c r="DK935" s="71"/>
      <c r="DL935" s="71"/>
      <c r="DM935" s="71"/>
      <c r="DN935" s="71"/>
      <c r="DO935" s="71"/>
      <c r="DP935" s="71"/>
      <c r="DQ935" s="71"/>
      <c r="DR935" s="71"/>
      <c r="DS935" s="71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  <c r="IJ935" s="71"/>
      <c r="IK935" s="71"/>
      <c r="IL935" s="71"/>
      <c r="IM935" s="71"/>
      <c r="IN935" s="71"/>
      <c r="IO935" s="71"/>
      <c r="IP935" s="71"/>
      <c r="IQ935" s="71"/>
      <c r="IR935" s="71"/>
      <c r="IS935" s="71"/>
      <c r="IT935" s="71"/>
      <c r="IU935" s="71"/>
      <c r="IV935" s="71"/>
      <c r="IW935" s="71"/>
    </row>
    <row r="936" customFormat="false" ht="12.75" hidden="false" customHeight="false" outlineLevel="0" collapsed="false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AZ936" s="71"/>
      <c r="BA936" s="71"/>
      <c r="BB936" s="71"/>
      <c r="BC936" s="71"/>
      <c r="BD936" s="71"/>
      <c r="BE936" s="71"/>
      <c r="BF936" s="71"/>
      <c r="BG936" s="71"/>
      <c r="BH936" s="71"/>
      <c r="BI936" s="71"/>
      <c r="BJ936" s="71"/>
      <c r="BK936" s="71"/>
      <c r="BL936" s="71"/>
      <c r="BM936" s="71"/>
      <c r="BN936" s="71"/>
      <c r="BO936" s="71"/>
      <c r="BP936" s="71"/>
      <c r="BQ936" s="71"/>
      <c r="BR936" s="71"/>
      <c r="BS936" s="71"/>
      <c r="BT936" s="71"/>
      <c r="BU936" s="71"/>
      <c r="BV936" s="71"/>
      <c r="BW936" s="71"/>
      <c r="BX936" s="71"/>
      <c r="BY936" s="71"/>
      <c r="BZ936" s="71"/>
      <c r="CA936" s="71"/>
      <c r="CB936" s="71"/>
      <c r="CC936" s="71"/>
      <c r="CD936" s="71"/>
      <c r="CE936" s="71"/>
      <c r="CF936" s="71"/>
      <c r="CG936" s="71"/>
      <c r="CH936" s="71"/>
      <c r="CI936" s="71"/>
      <c r="CJ936" s="71"/>
      <c r="CK936" s="71"/>
      <c r="CL936" s="71"/>
      <c r="CM936" s="71"/>
      <c r="CN936" s="71"/>
      <c r="CO936" s="71"/>
      <c r="CP936" s="71"/>
      <c r="CQ936" s="71"/>
      <c r="CR936" s="71"/>
      <c r="CS936" s="71"/>
      <c r="CT936" s="71"/>
      <c r="CU936" s="71"/>
      <c r="CV936" s="71"/>
      <c r="CW936" s="71"/>
      <c r="CX936" s="71"/>
      <c r="CY936" s="71"/>
      <c r="CZ936" s="71"/>
      <c r="DA936" s="71"/>
      <c r="DB936" s="71"/>
      <c r="DC936" s="71"/>
      <c r="DD936" s="71"/>
      <c r="DE936" s="71"/>
      <c r="DF936" s="71"/>
      <c r="DG936" s="71"/>
      <c r="DH936" s="71"/>
      <c r="DI936" s="71"/>
      <c r="DJ936" s="71"/>
      <c r="DK936" s="71"/>
      <c r="DL936" s="71"/>
      <c r="DM936" s="71"/>
      <c r="DN936" s="71"/>
      <c r="DO936" s="71"/>
      <c r="DP936" s="71"/>
      <c r="DQ936" s="71"/>
      <c r="DR936" s="71"/>
      <c r="DS936" s="71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  <c r="IJ936" s="71"/>
      <c r="IK936" s="71"/>
      <c r="IL936" s="71"/>
      <c r="IM936" s="71"/>
      <c r="IN936" s="71"/>
      <c r="IO936" s="71"/>
      <c r="IP936" s="71"/>
      <c r="IQ936" s="71"/>
      <c r="IR936" s="71"/>
      <c r="IS936" s="71"/>
      <c r="IT936" s="71"/>
      <c r="IU936" s="71"/>
      <c r="IV936" s="71"/>
      <c r="IW936" s="71"/>
    </row>
    <row r="937" customFormat="false" ht="12.75" hidden="false" customHeight="false" outlineLevel="0" collapsed="false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AZ937" s="71"/>
      <c r="BA937" s="71"/>
      <c r="BB937" s="71"/>
      <c r="BC937" s="71"/>
      <c r="BD937" s="71"/>
      <c r="BE937" s="71"/>
      <c r="BF937" s="71"/>
      <c r="BG937" s="71"/>
      <c r="BH937" s="71"/>
      <c r="BI937" s="71"/>
      <c r="BJ937" s="71"/>
      <c r="BK937" s="71"/>
      <c r="BL937" s="71"/>
      <c r="BM937" s="71"/>
      <c r="BN937" s="71"/>
      <c r="BO937" s="71"/>
      <c r="BP937" s="71"/>
      <c r="BQ937" s="71"/>
      <c r="BR937" s="71"/>
      <c r="BS937" s="71"/>
      <c r="BT937" s="71"/>
      <c r="BU937" s="71"/>
      <c r="BV937" s="71"/>
      <c r="BW937" s="71"/>
      <c r="BX937" s="71"/>
      <c r="BY937" s="71"/>
      <c r="BZ937" s="71"/>
      <c r="CA937" s="71"/>
      <c r="CB937" s="71"/>
      <c r="CC937" s="71"/>
      <c r="CD937" s="71"/>
      <c r="CE937" s="71"/>
      <c r="CF937" s="71"/>
      <c r="CG937" s="71"/>
      <c r="CH937" s="71"/>
      <c r="CI937" s="71"/>
      <c r="CJ937" s="71"/>
      <c r="CK937" s="71"/>
      <c r="CL937" s="71"/>
      <c r="CM937" s="71"/>
      <c r="CN937" s="71"/>
      <c r="CO937" s="71"/>
      <c r="CP937" s="71"/>
      <c r="CQ937" s="71"/>
      <c r="CR937" s="71"/>
      <c r="CS937" s="71"/>
      <c r="CT937" s="71"/>
      <c r="CU937" s="71"/>
      <c r="CV937" s="71"/>
      <c r="CW937" s="71"/>
      <c r="CX937" s="71"/>
      <c r="CY937" s="71"/>
      <c r="CZ937" s="71"/>
      <c r="DA937" s="71"/>
      <c r="DB937" s="71"/>
      <c r="DC937" s="71"/>
      <c r="DD937" s="71"/>
      <c r="DE937" s="71"/>
      <c r="DF937" s="71"/>
      <c r="DG937" s="71"/>
      <c r="DH937" s="71"/>
      <c r="DI937" s="71"/>
      <c r="DJ937" s="71"/>
      <c r="DK937" s="71"/>
      <c r="DL937" s="71"/>
      <c r="DM937" s="71"/>
      <c r="DN937" s="71"/>
      <c r="DO937" s="71"/>
      <c r="DP937" s="71"/>
      <c r="DQ937" s="71"/>
      <c r="DR937" s="71"/>
      <c r="DS937" s="71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  <c r="IJ937" s="71"/>
      <c r="IK937" s="71"/>
      <c r="IL937" s="71"/>
      <c r="IM937" s="71"/>
      <c r="IN937" s="71"/>
      <c r="IO937" s="71"/>
      <c r="IP937" s="71"/>
      <c r="IQ937" s="71"/>
      <c r="IR937" s="71"/>
      <c r="IS937" s="71"/>
      <c r="IT937" s="71"/>
      <c r="IU937" s="71"/>
      <c r="IV937" s="71"/>
      <c r="IW937" s="71"/>
    </row>
    <row r="938" customFormat="false" ht="12.75" hidden="false" customHeight="false" outlineLevel="0" collapsed="false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AZ938" s="71"/>
      <c r="BA938" s="71"/>
      <c r="BB938" s="71"/>
      <c r="BC938" s="71"/>
      <c r="BD938" s="71"/>
      <c r="BE938" s="71"/>
      <c r="BF938" s="71"/>
      <c r="BG938" s="71"/>
      <c r="BH938" s="71"/>
      <c r="BI938" s="71"/>
      <c r="BJ938" s="71"/>
      <c r="BK938" s="71"/>
      <c r="BL938" s="71"/>
      <c r="BM938" s="71"/>
      <c r="BN938" s="71"/>
      <c r="BO938" s="71"/>
      <c r="BP938" s="71"/>
      <c r="BQ938" s="71"/>
      <c r="BR938" s="71"/>
      <c r="BS938" s="71"/>
      <c r="BT938" s="71"/>
      <c r="BU938" s="71"/>
      <c r="BV938" s="71"/>
      <c r="BW938" s="71"/>
      <c r="BX938" s="71"/>
      <c r="BY938" s="71"/>
      <c r="BZ938" s="71"/>
      <c r="CA938" s="71"/>
      <c r="CB938" s="71"/>
      <c r="CC938" s="71"/>
      <c r="CD938" s="71"/>
      <c r="CE938" s="71"/>
      <c r="CF938" s="71"/>
      <c r="CG938" s="71"/>
      <c r="CH938" s="71"/>
      <c r="CI938" s="71"/>
      <c r="CJ938" s="71"/>
      <c r="CK938" s="71"/>
      <c r="CL938" s="71"/>
      <c r="CM938" s="71"/>
      <c r="CN938" s="71"/>
      <c r="CO938" s="71"/>
      <c r="CP938" s="71"/>
      <c r="CQ938" s="71"/>
      <c r="CR938" s="71"/>
      <c r="CS938" s="71"/>
      <c r="CT938" s="71"/>
      <c r="CU938" s="71"/>
      <c r="CV938" s="71"/>
      <c r="CW938" s="71"/>
      <c r="CX938" s="71"/>
      <c r="CY938" s="71"/>
      <c r="CZ938" s="71"/>
      <c r="DA938" s="71"/>
      <c r="DB938" s="71"/>
      <c r="DC938" s="71"/>
      <c r="DD938" s="71"/>
      <c r="DE938" s="71"/>
      <c r="DF938" s="71"/>
      <c r="DG938" s="71"/>
      <c r="DH938" s="71"/>
      <c r="DI938" s="71"/>
      <c r="DJ938" s="71"/>
      <c r="DK938" s="71"/>
      <c r="DL938" s="71"/>
      <c r="DM938" s="71"/>
      <c r="DN938" s="71"/>
      <c r="DO938" s="71"/>
      <c r="DP938" s="71"/>
      <c r="DQ938" s="71"/>
      <c r="DR938" s="71"/>
      <c r="DS938" s="71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  <c r="IJ938" s="71"/>
      <c r="IK938" s="71"/>
      <c r="IL938" s="71"/>
      <c r="IM938" s="71"/>
      <c r="IN938" s="71"/>
      <c r="IO938" s="71"/>
      <c r="IP938" s="71"/>
      <c r="IQ938" s="71"/>
      <c r="IR938" s="71"/>
      <c r="IS938" s="71"/>
      <c r="IT938" s="71"/>
      <c r="IU938" s="71"/>
      <c r="IV938" s="71"/>
      <c r="IW938" s="71"/>
    </row>
    <row r="939" customFormat="false" ht="12.75" hidden="false" customHeight="false" outlineLevel="0" collapsed="false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  <c r="BC939" s="71"/>
      <c r="BD939" s="71"/>
      <c r="BE939" s="71"/>
      <c r="BF939" s="71"/>
      <c r="BG939" s="71"/>
      <c r="BH939" s="71"/>
      <c r="BI939" s="71"/>
      <c r="BJ939" s="71"/>
      <c r="BK939" s="71"/>
      <c r="BL939" s="71"/>
      <c r="BM939" s="71"/>
      <c r="BN939" s="71"/>
      <c r="BO939" s="71"/>
      <c r="BP939" s="71"/>
      <c r="BQ939" s="71"/>
      <c r="BR939" s="71"/>
      <c r="BS939" s="71"/>
      <c r="BT939" s="71"/>
      <c r="BU939" s="71"/>
      <c r="BV939" s="71"/>
      <c r="BW939" s="71"/>
      <c r="BX939" s="71"/>
      <c r="BY939" s="71"/>
      <c r="BZ939" s="71"/>
      <c r="CA939" s="71"/>
      <c r="CB939" s="71"/>
      <c r="CC939" s="71"/>
      <c r="CD939" s="71"/>
      <c r="CE939" s="71"/>
      <c r="CF939" s="71"/>
      <c r="CG939" s="71"/>
      <c r="CH939" s="71"/>
      <c r="CI939" s="71"/>
      <c r="CJ939" s="71"/>
      <c r="CK939" s="71"/>
      <c r="CL939" s="71"/>
      <c r="CM939" s="71"/>
      <c r="CN939" s="71"/>
      <c r="CO939" s="71"/>
      <c r="CP939" s="71"/>
      <c r="CQ939" s="71"/>
      <c r="CR939" s="71"/>
      <c r="CS939" s="71"/>
      <c r="CT939" s="71"/>
      <c r="CU939" s="71"/>
      <c r="CV939" s="71"/>
      <c r="CW939" s="71"/>
      <c r="CX939" s="71"/>
      <c r="CY939" s="71"/>
      <c r="CZ939" s="71"/>
      <c r="DA939" s="71"/>
      <c r="DB939" s="71"/>
      <c r="DC939" s="71"/>
      <c r="DD939" s="71"/>
      <c r="DE939" s="71"/>
      <c r="DF939" s="71"/>
      <c r="DG939" s="71"/>
      <c r="DH939" s="71"/>
      <c r="DI939" s="71"/>
      <c r="DJ939" s="71"/>
      <c r="DK939" s="71"/>
      <c r="DL939" s="71"/>
      <c r="DM939" s="71"/>
      <c r="DN939" s="71"/>
      <c r="DO939" s="71"/>
      <c r="DP939" s="71"/>
      <c r="DQ939" s="71"/>
      <c r="DR939" s="71"/>
      <c r="DS939" s="71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  <c r="IJ939" s="71"/>
      <c r="IK939" s="71"/>
      <c r="IL939" s="71"/>
      <c r="IM939" s="71"/>
      <c r="IN939" s="71"/>
      <c r="IO939" s="71"/>
      <c r="IP939" s="71"/>
      <c r="IQ939" s="71"/>
      <c r="IR939" s="71"/>
      <c r="IS939" s="71"/>
      <c r="IT939" s="71"/>
      <c r="IU939" s="71"/>
      <c r="IV939" s="71"/>
      <c r="IW939" s="71"/>
    </row>
    <row r="940" customFormat="false" ht="12.75" hidden="false" customHeight="false" outlineLevel="0" collapsed="false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AZ940" s="71"/>
      <c r="BA940" s="71"/>
      <c r="BB940" s="71"/>
      <c r="BC940" s="71"/>
      <c r="BD940" s="71"/>
      <c r="BE940" s="71"/>
      <c r="BF940" s="71"/>
      <c r="BG940" s="71"/>
      <c r="BH940" s="71"/>
      <c r="BI940" s="71"/>
      <c r="BJ940" s="71"/>
      <c r="BK940" s="71"/>
      <c r="BL940" s="71"/>
      <c r="BM940" s="71"/>
      <c r="BN940" s="71"/>
      <c r="BO940" s="71"/>
      <c r="BP940" s="71"/>
      <c r="BQ940" s="71"/>
      <c r="BR940" s="71"/>
      <c r="BS940" s="71"/>
      <c r="BT940" s="71"/>
      <c r="BU940" s="71"/>
      <c r="BV940" s="71"/>
      <c r="BW940" s="71"/>
      <c r="BX940" s="71"/>
      <c r="BY940" s="71"/>
      <c r="BZ940" s="71"/>
      <c r="CA940" s="71"/>
      <c r="CB940" s="71"/>
      <c r="CC940" s="71"/>
      <c r="CD940" s="71"/>
      <c r="CE940" s="71"/>
      <c r="CF940" s="71"/>
      <c r="CG940" s="71"/>
      <c r="CH940" s="71"/>
      <c r="CI940" s="71"/>
      <c r="CJ940" s="71"/>
      <c r="CK940" s="71"/>
      <c r="CL940" s="71"/>
      <c r="CM940" s="71"/>
      <c r="CN940" s="71"/>
      <c r="CO940" s="71"/>
      <c r="CP940" s="71"/>
      <c r="CQ940" s="71"/>
      <c r="CR940" s="71"/>
      <c r="CS940" s="71"/>
      <c r="CT940" s="71"/>
      <c r="CU940" s="71"/>
      <c r="CV940" s="71"/>
      <c r="CW940" s="71"/>
      <c r="CX940" s="71"/>
      <c r="CY940" s="71"/>
      <c r="CZ940" s="71"/>
      <c r="DA940" s="71"/>
      <c r="DB940" s="71"/>
      <c r="DC940" s="71"/>
      <c r="DD940" s="71"/>
      <c r="DE940" s="71"/>
      <c r="DF940" s="71"/>
      <c r="DG940" s="71"/>
      <c r="DH940" s="71"/>
      <c r="DI940" s="71"/>
      <c r="DJ940" s="71"/>
      <c r="DK940" s="71"/>
      <c r="DL940" s="71"/>
      <c r="DM940" s="71"/>
      <c r="DN940" s="71"/>
      <c r="DO940" s="71"/>
      <c r="DP940" s="71"/>
      <c r="DQ940" s="71"/>
      <c r="DR940" s="71"/>
      <c r="DS940" s="71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  <c r="IJ940" s="71"/>
      <c r="IK940" s="71"/>
      <c r="IL940" s="71"/>
      <c r="IM940" s="71"/>
      <c r="IN940" s="71"/>
      <c r="IO940" s="71"/>
      <c r="IP940" s="71"/>
      <c r="IQ940" s="71"/>
      <c r="IR940" s="71"/>
      <c r="IS940" s="71"/>
      <c r="IT940" s="71"/>
      <c r="IU940" s="71"/>
      <c r="IV940" s="71"/>
      <c r="IW940" s="71"/>
    </row>
    <row r="941" customFormat="false" ht="12.75" hidden="false" customHeight="false" outlineLevel="0" collapsed="false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AZ941" s="71"/>
      <c r="BA941" s="71"/>
      <c r="BB941" s="71"/>
      <c r="BC941" s="71"/>
      <c r="BD941" s="71"/>
      <c r="BE941" s="71"/>
      <c r="BF941" s="71"/>
      <c r="BG941" s="71"/>
      <c r="BH941" s="71"/>
      <c r="BI941" s="71"/>
      <c r="BJ941" s="71"/>
      <c r="BK941" s="71"/>
      <c r="BL941" s="71"/>
      <c r="BM941" s="71"/>
      <c r="BN941" s="71"/>
      <c r="BO941" s="71"/>
      <c r="BP941" s="71"/>
      <c r="BQ941" s="71"/>
      <c r="BR941" s="71"/>
      <c r="BS941" s="71"/>
      <c r="BT941" s="71"/>
      <c r="BU941" s="71"/>
      <c r="BV941" s="71"/>
      <c r="BW941" s="71"/>
      <c r="BX941" s="71"/>
      <c r="BY941" s="71"/>
      <c r="BZ941" s="71"/>
      <c r="CA941" s="71"/>
      <c r="CB941" s="71"/>
      <c r="CC941" s="71"/>
      <c r="CD941" s="71"/>
      <c r="CE941" s="71"/>
      <c r="CF941" s="71"/>
      <c r="CG941" s="71"/>
      <c r="CH941" s="71"/>
      <c r="CI941" s="71"/>
      <c r="CJ941" s="71"/>
      <c r="CK941" s="71"/>
      <c r="CL941" s="71"/>
      <c r="CM941" s="71"/>
      <c r="CN941" s="71"/>
      <c r="CO941" s="71"/>
      <c r="CP941" s="71"/>
      <c r="CQ941" s="71"/>
      <c r="CR941" s="71"/>
      <c r="CS941" s="71"/>
      <c r="CT941" s="71"/>
      <c r="CU941" s="71"/>
      <c r="CV941" s="71"/>
      <c r="CW941" s="71"/>
      <c r="CX941" s="71"/>
      <c r="CY941" s="71"/>
      <c r="CZ941" s="71"/>
      <c r="DA941" s="71"/>
      <c r="DB941" s="71"/>
      <c r="DC941" s="71"/>
      <c r="DD941" s="71"/>
      <c r="DE941" s="71"/>
      <c r="DF941" s="71"/>
      <c r="DG941" s="71"/>
      <c r="DH941" s="71"/>
      <c r="DI941" s="71"/>
      <c r="DJ941" s="71"/>
      <c r="DK941" s="71"/>
      <c r="DL941" s="71"/>
      <c r="DM941" s="71"/>
      <c r="DN941" s="71"/>
      <c r="DO941" s="71"/>
      <c r="DP941" s="71"/>
      <c r="DQ941" s="71"/>
      <c r="DR941" s="71"/>
      <c r="DS941" s="71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  <c r="IJ941" s="71"/>
      <c r="IK941" s="71"/>
      <c r="IL941" s="71"/>
      <c r="IM941" s="71"/>
      <c r="IN941" s="71"/>
      <c r="IO941" s="71"/>
      <c r="IP941" s="71"/>
      <c r="IQ941" s="71"/>
      <c r="IR941" s="71"/>
      <c r="IS941" s="71"/>
      <c r="IT941" s="71"/>
      <c r="IU941" s="71"/>
      <c r="IV941" s="71"/>
      <c r="IW941" s="71"/>
    </row>
    <row r="942" customFormat="false" ht="12.75" hidden="false" customHeight="false" outlineLevel="0" collapsed="false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/>
      <c r="BA942" s="71"/>
      <c r="BB942" s="71"/>
      <c r="BC942" s="71"/>
      <c r="BD942" s="71"/>
      <c r="BE942" s="71"/>
      <c r="BF942" s="71"/>
      <c r="BG942" s="71"/>
      <c r="BH942" s="71"/>
      <c r="BI942" s="71"/>
      <c r="BJ942" s="71"/>
      <c r="BK942" s="71"/>
      <c r="BL942" s="71"/>
      <c r="BM942" s="71"/>
      <c r="BN942" s="71"/>
      <c r="BO942" s="71"/>
      <c r="BP942" s="71"/>
      <c r="BQ942" s="71"/>
      <c r="BR942" s="71"/>
      <c r="BS942" s="71"/>
      <c r="BT942" s="71"/>
      <c r="BU942" s="71"/>
      <c r="BV942" s="71"/>
      <c r="BW942" s="71"/>
      <c r="BX942" s="71"/>
      <c r="BY942" s="71"/>
      <c r="BZ942" s="71"/>
      <c r="CA942" s="71"/>
      <c r="CB942" s="71"/>
      <c r="CC942" s="71"/>
      <c r="CD942" s="71"/>
      <c r="CE942" s="71"/>
      <c r="CF942" s="71"/>
      <c r="CG942" s="71"/>
      <c r="CH942" s="71"/>
      <c r="CI942" s="71"/>
      <c r="CJ942" s="71"/>
      <c r="CK942" s="71"/>
      <c r="CL942" s="71"/>
      <c r="CM942" s="71"/>
      <c r="CN942" s="71"/>
      <c r="CO942" s="71"/>
      <c r="CP942" s="71"/>
      <c r="CQ942" s="71"/>
      <c r="CR942" s="71"/>
      <c r="CS942" s="71"/>
      <c r="CT942" s="71"/>
      <c r="CU942" s="71"/>
      <c r="CV942" s="71"/>
      <c r="CW942" s="71"/>
      <c r="CX942" s="71"/>
      <c r="CY942" s="71"/>
      <c r="CZ942" s="71"/>
      <c r="DA942" s="71"/>
      <c r="DB942" s="71"/>
      <c r="DC942" s="71"/>
      <c r="DD942" s="71"/>
      <c r="DE942" s="71"/>
      <c r="DF942" s="71"/>
      <c r="DG942" s="71"/>
      <c r="DH942" s="71"/>
      <c r="DI942" s="71"/>
      <c r="DJ942" s="71"/>
      <c r="DK942" s="71"/>
      <c r="DL942" s="71"/>
      <c r="DM942" s="71"/>
      <c r="DN942" s="71"/>
      <c r="DO942" s="71"/>
      <c r="DP942" s="71"/>
      <c r="DQ942" s="71"/>
      <c r="DR942" s="71"/>
      <c r="DS942" s="71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  <c r="IJ942" s="71"/>
      <c r="IK942" s="71"/>
      <c r="IL942" s="71"/>
      <c r="IM942" s="71"/>
      <c r="IN942" s="71"/>
      <c r="IO942" s="71"/>
      <c r="IP942" s="71"/>
      <c r="IQ942" s="71"/>
      <c r="IR942" s="71"/>
      <c r="IS942" s="71"/>
      <c r="IT942" s="71"/>
      <c r="IU942" s="71"/>
      <c r="IV942" s="71"/>
      <c r="IW942" s="71"/>
    </row>
    <row r="943" customFormat="false" ht="12.75" hidden="false" customHeight="false" outlineLevel="0" collapsed="false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  <c r="BC943" s="71"/>
      <c r="BD943" s="71"/>
      <c r="BE943" s="71"/>
      <c r="BF943" s="71"/>
      <c r="BG943" s="71"/>
      <c r="BH943" s="71"/>
      <c r="BI943" s="71"/>
      <c r="BJ943" s="71"/>
      <c r="BK943" s="71"/>
      <c r="BL943" s="71"/>
      <c r="BM943" s="71"/>
      <c r="BN943" s="71"/>
      <c r="BO943" s="71"/>
      <c r="BP943" s="71"/>
      <c r="BQ943" s="71"/>
      <c r="BR943" s="71"/>
      <c r="BS943" s="71"/>
      <c r="BT943" s="71"/>
      <c r="BU943" s="71"/>
      <c r="BV943" s="71"/>
      <c r="BW943" s="71"/>
      <c r="BX943" s="71"/>
      <c r="BY943" s="71"/>
      <c r="BZ943" s="71"/>
      <c r="CA943" s="71"/>
      <c r="CB943" s="71"/>
      <c r="CC943" s="71"/>
      <c r="CD943" s="71"/>
      <c r="CE943" s="71"/>
      <c r="CF943" s="71"/>
      <c r="CG943" s="71"/>
      <c r="CH943" s="71"/>
      <c r="CI943" s="71"/>
      <c r="CJ943" s="71"/>
      <c r="CK943" s="71"/>
      <c r="CL943" s="71"/>
      <c r="CM943" s="71"/>
      <c r="CN943" s="71"/>
      <c r="CO943" s="71"/>
      <c r="CP943" s="71"/>
      <c r="CQ943" s="71"/>
      <c r="CR943" s="71"/>
      <c r="CS943" s="71"/>
      <c r="CT943" s="71"/>
      <c r="CU943" s="71"/>
      <c r="CV943" s="71"/>
      <c r="CW943" s="71"/>
      <c r="CX943" s="71"/>
      <c r="CY943" s="71"/>
      <c r="CZ943" s="71"/>
      <c r="DA943" s="71"/>
      <c r="DB943" s="71"/>
      <c r="DC943" s="71"/>
      <c r="DD943" s="71"/>
      <c r="DE943" s="71"/>
      <c r="DF943" s="71"/>
      <c r="DG943" s="71"/>
      <c r="DH943" s="71"/>
      <c r="DI943" s="71"/>
      <c r="DJ943" s="71"/>
      <c r="DK943" s="71"/>
      <c r="DL943" s="71"/>
      <c r="DM943" s="71"/>
      <c r="DN943" s="71"/>
      <c r="DO943" s="71"/>
      <c r="DP943" s="71"/>
      <c r="DQ943" s="71"/>
      <c r="DR943" s="71"/>
      <c r="DS943" s="71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  <c r="IJ943" s="71"/>
      <c r="IK943" s="71"/>
      <c r="IL943" s="71"/>
      <c r="IM943" s="71"/>
      <c r="IN943" s="71"/>
      <c r="IO943" s="71"/>
      <c r="IP943" s="71"/>
      <c r="IQ943" s="71"/>
      <c r="IR943" s="71"/>
      <c r="IS943" s="71"/>
      <c r="IT943" s="71"/>
      <c r="IU943" s="71"/>
      <c r="IV943" s="71"/>
      <c r="IW943" s="71"/>
    </row>
    <row r="944" customFormat="false" ht="12.75" hidden="false" customHeight="false" outlineLevel="0" collapsed="false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1"/>
      <c r="BD944" s="71"/>
      <c r="BE944" s="71"/>
      <c r="BF944" s="71"/>
      <c r="BG944" s="71"/>
      <c r="BH944" s="71"/>
      <c r="BI944" s="71"/>
      <c r="BJ944" s="71"/>
      <c r="BK944" s="71"/>
      <c r="BL944" s="71"/>
      <c r="BM944" s="71"/>
      <c r="BN944" s="71"/>
      <c r="BO944" s="71"/>
      <c r="BP944" s="71"/>
      <c r="BQ944" s="71"/>
      <c r="BR944" s="71"/>
      <c r="BS944" s="71"/>
      <c r="BT944" s="71"/>
      <c r="BU944" s="71"/>
      <c r="BV944" s="71"/>
      <c r="BW944" s="71"/>
      <c r="BX944" s="71"/>
      <c r="BY944" s="71"/>
      <c r="BZ944" s="71"/>
      <c r="CA944" s="71"/>
      <c r="CB944" s="71"/>
      <c r="CC944" s="71"/>
      <c r="CD944" s="71"/>
      <c r="CE944" s="71"/>
      <c r="CF944" s="71"/>
      <c r="CG944" s="71"/>
      <c r="CH944" s="71"/>
      <c r="CI944" s="71"/>
      <c r="CJ944" s="71"/>
      <c r="CK944" s="71"/>
      <c r="CL944" s="71"/>
      <c r="CM944" s="71"/>
      <c r="CN944" s="71"/>
      <c r="CO944" s="71"/>
      <c r="CP944" s="71"/>
      <c r="CQ944" s="71"/>
      <c r="CR944" s="71"/>
      <c r="CS944" s="71"/>
      <c r="CT944" s="71"/>
      <c r="CU944" s="71"/>
      <c r="CV944" s="71"/>
      <c r="CW944" s="71"/>
      <c r="CX944" s="71"/>
      <c r="CY944" s="71"/>
      <c r="CZ944" s="71"/>
      <c r="DA944" s="71"/>
      <c r="DB944" s="71"/>
      <c r="DC944" s="71"/>
      <c r="DD944" s="71"/>
      <c r="DE944" s="71"/>
      <c r="DF944" s="71"/>
      <c r="DG944" s="71"/>
      <c r="DH944" s="71"/>
      <c r="DI944" s="71"/>
      <c r="DJ944" s="71"/>
      <c r="DK944" s="71"/>
      <c r="DL944" s="71"/>
      <c r="DM944" s="71"/>
      <c r="DN944" s="71"/>
      <c r="DO944" s="71"/>
      <c r="DP944" s="71"/>
      <c r="DQ944" s="71"/>
      <c r="DR944" s="71"/>
      <c r="DS944" s="71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  <c r="IJ944" s="71"/>
      <c r="IK944" s="71"/>
      <c r="IL944" s="71"/>
      <c r="IM944" s="71"/>
      <c r="IN944" s="71"/>
      <c r="IO944" s="71"/>
      <c r="IP944" s="71"/>
      <c r="IQ944" s="71"/>
      <c r="IR944" s="71"/>
      <c r="IS944" s="71"/>
      <c r="IT944" s="71"/>
      <c r="IU944" s="71"/>
      <c r="IV944" s="71"/>
      <c r="IW944" s="71"/>
    </row>
    <row r="945" customFormat="false" ht="12.75" hidden="false" customHeight="false" outlineLevel="0" collapsed="false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  <c r="BH945" s="71"/>
      <c r="BI945" s="71"/>
      <c r="BJ945" s="71"/>
      <c r="BK945" s="71"/>
      <c r="BL945" s="71"/>
      <c r="BM945" s="71"/>
      <c r="BN945" s="71"/>
      <c r="BO945" s="71"/>
      <c r="BP945" s="71"/>
      <c r="BQ945" s="71"/>
      <c r="BR945" s="71"/>
      <c r="BS945" s="71"/>
      <c r="BT945" s="71"/>
      <c r="BU945" s="71"/>
      <c r="BV945" s="71"/>
      <c r="BW945" s="71"/>
      <c r="BX945" s="71"/>
      <c r="BY945" s="71"/>
      <c r="BZ945" s="71"/>
      <c r="CA945" s="71"/>
      <c r="CB945" s="71"/>
      <c r="CC945" s="71"/>
      <c r="CD945" s="71"/>
      <c r="CE945" s="71"/>
      <c r="CF945" s="71"/>
      <c r="CG945" s="71"/>
      <c r="CH945" s="71"/>
      <c r="CI945" s="71"/>
      <c r="CJ945" s="71"/>
      <c r="CK945" s="71"/>
      <c r="CL945" s="71"/>
      <c r="CM945" s="71"/>
      <c r="CN945" s="71"/>
      <c r="CO945" s="71"/>
      <c r="CP945" s="71"/>
      <c r="CQ945" s="71"/>
      <c r="CR945" s="71"/>
      <c r="CS945" s="71"/>
      <c r="CT945" s="71"/>
      <c r="CU945" s="71"/>
      <c r="CV945" s="71"/>
      <c r="CW945" s="71"/>
      <c r="CX945" s="71"/>
      <c r="CY945" s="71"/>
      <c r="CZ945" s="71"/>
      <c r="DA945" s="71"/>
      <c r="DB945" s="71"/>
      <c r="DC945" s="71"/>
      <c r="DD945" s="71"/>
      <c r="DE945" s="71"/>
      <c r="DF945" s="71"/>
      <c r="DG945" s="71"/>
      <c r="DH945" s="71"/>
      <c r="DI945" s="71"/>
      <c r="DJ945" s="71"/>
      <c r="DK945" s="71"/>
      <c r="DL945" s="71"/>
      <c r="DM945" s="71"/>
      <c r="DN945" s="71"/>
      <c r="DO945" s="71"/>
      <c r="DP945" s="71"/>
      <c r="DQ945" s="71"/>
      <c r="DR945" s="71"/>
      <c r="DS945" s="71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  <c r="IJ945" s="71"/>
      <c r="IK945" s="71"/>
      <c r="IL945" s="71"/>
      <c r="IM945" s="71"/>
      <c r="IN945" s="71"/>
      <c r="IO945" s="71"/>
      <c r="IP945" s="71"/>
      <c r="IQ945" s="71"/>
      <c r="IR945" s="71"/>
      <c r="IS945" s="71"/>
      <c r="IT945" s="71"/>
      <c r="IU945" s="71"/>
      <c r="IV945" s="71"/>
      <c r="IW945" s="71"/>
    </row>
    <row r="946" customFormat="false" ht="12.75" hidden="false" customHeight="false" outlineLevel="0" collapsed="false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  <c r="BC946" s="71"/>
      <c r="BD946" s="71"/>
      <c r="BE946" s="71"/>
      <c r="BF946" s="71"/>
      <c r="BG946" s="71"/>
      <c r="BH946" s="71"/>
      <c r="BI946" s="71"/>
      <c r="BJ946" s="71"/>
      <c r="BK946" s="71"/>
      <c r="BL946" s="71"/>
      <c r="BM946" s="71"/>
      <c r="BN946" s="71"/>
      <c r="BO946" s="71"/>
      <c r="BP946" s="71"/>
      <c r="BQ946" s="71"/>
      <c r="BR946" s="71"/>
      <c r="BS946" s="71"/>
      <c r="BT946" s="71"/>
      <c r="BU946" s="71"/>
      <c r="BV946" s="71"/>
      <c r="BW946" s="71"/>
      <c r="BX946" s="71"/>
      <c r="BY946" s="71"/>
      <c r="BZ946" s="71"/>
      <c r="CA946" s="71"/>
      <c r="CB946" s="71"/>
      <c r="CC946" s="71"/>
      <c r="CD946" s="71"/>
      <c r="CE946" s="71"/>
      <c r="CF946" s="71"/>
      <c r="CG946" s="71"/>
      <c r="CH946" s="71"/>
      <c r="CI946" s="71"/>
      <c r="CJ946" s="71"/>
      <c r="CK946" s="71"/>
      <c r="CL946" s="71"/>
      <c r="CM946" s="71"/>
      <c r="CN946" s="71"/>
      <c r="CO946" s="71"/>
      <c r="CP946" s="71"/>
      <c r="CQ946" s="71"/>
      <c r="CR946" s="71"/>
      <c r="CS946" s="71"/>
      <c r="CT946" s="71"/>
      <c r="CU946" s="71"/>
      <c r="CV946" s="71"/>
      <c r="CW946" s="71"/>
      <c r="CX946" s="71"/>
      <c r="CY946" s="71"/>
      <c r="CZ946" s="71"/>
      <c r="DA946" s="71"/>
      <c r="DB946" s="71"/>
      <c r="DC946" s="71"/>
      <c r="DD946" s="71"/>
      <c r="DE946" s="71"/>
      <c r="DF946" s="71"/>
      <c r="DG946" s="71"/>
      <c r="DH946" s="71"/>
      <c r="DI946" s="71"/>
      <c r="DJ946" s="71"/>
      <c r="DK946" s="71"/>
      <c r="DL946" s="71"/>
      <c r="DM946" s="71"/>
      <c r="DN946" s="71"/>
      <c r="DO946" s="71"/>
      <c r="DP946" s="71"/>
      <c r="DQ946" s="71"/>
      <c r="DR946" s="71"/>
      <c r="DS946" s="71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  <c r="IJ946" s="71"/>
      <c r="IK946" s="71"/>
      <c r="IL946" s="71"/>
      <c r="IM946" s="71"/>
      <c r="IN946" s="71"/>
      <c r="IO946" s="71"/>
      <c r="IP946" s="71"/>
      <c r="IQ946" s="71"/>
      <c r="IR946" s="71"/>
      <c r="IS946" s="71"/>
      <c r="IT946" s="71"/>
      <c r="IU946" s="71"/>
      <c r="IV946" s="71"/>
      <c r="IW946" s="71"/>
    </row>
    <row r="947" customFormat="false" ht="12.75" hidden="false" customHeight="false" outlineLevel="0" collapsed="false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  <c r="BC947" s="71"/>
      <c r="BD947" s="71"/>
      <c r="BE947" s="71"/>
      <c r="BF947" s="71"/>
      <c r="BG947" s="71"/>
      <c r="BH947" s="71"/>
      <c r="BI947" s="71"/>
      <c r="BJ947" s="71"/>
      <c r="BK947" s="71"/>
      <c r="BL947" s="71"/>
      <c r="BM947" s="71"/>
      <c r="BN947" s="71"/>
      <c r="BO947" s="71"/>
      <c r="BP947" s="71"/>
      <c r="BQ947" s="71"/>
      <c r="BR947" s="71"/>
      <c r="BS947" s="71"/>
      <c r="BT947" s="71"/>
      <c r="BU947" s="71"/>
      <c r="BV947" s="71"/>
      <c r="BW947" s="71"/>
      <c r="BX947" s="71"/>
      <c r="BY947" s="71"/>
      <c r="BZ947" s="71"/>
      <c r="CA947" s="71"/>
      <c r="CB947" s="71"/>
      <c r="CC947" s="71"/>
      <c r="CD947" s="71"/>
      <c r="CE947" s="71"/>
      <c r="CF947" s="71"/>
      <c r="CG947" s="71"/>
      <c r="CH947" s="71"/>
      <c r="CI947" s="71"/>
      <c r="CJ947" s="71"/>
      <c r="CK947" s="71"/>
      <c r="CL947" s="71"/>
      <c r="CM947" s="71"/>
      <c r="CN947" s="71"/>
      <c r="CO947" s="71"/>
      <c r="CP947" s="71"/>
      <c r="CQ947" s="71"/>
      <c r="CR947" s="71"/>
      <c r="CS947" s="71"/>
      <c r="CT947" s="71"/>
      <c r="CU947" s="71"/>
      <c r="CV947" s="71"/>
      <c r="CW947" s="71"/>
      <c r="CX947" s="71"/>
      <c r="CY947" s="71"/>
      <c r="CZ947" s="71"/>
      <c r="DA947" s="71"/>
      <c r="DB947" s="71"/>
      <c r="DC947" s="71"/>
      <c r="DD947" s="71"/>
      <c r="DE947" s="71"/>
      <c r="DF947" s="71"/>
      <c r="DG947" s="71"/>
      <c r="DH947" s="71"/>
      <c r="DI947" s="71"/>
      <c r="DJ947" s="71"/>
      <c r="DK947" s="71"/>
      <c r="DL947" s="71"/>
      <c r="DM947" s="71"/>
      <c r="DN947" s="71"/>
      <c r="DO947" s="71"/>
      <c r="DP947" s="71"/>
      <c r="DQ947" s="71"/>
      <c r="DR947" s="71"/>
      <c r="DS947" s="71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  <c r="IJ947" s="71"/>
      <c r="IK947" s="71"/>
      <c r="IL947" s="71"/>
      <c r="IM947" s="71"/>
      <c r="IN947" s="71"/>
      <c r="IO947" s="71"/>
      <c r="IP947" s="71"/>
      <c r="IQ947" s="71"/>
      <c r="IR947" s="71"/>
      <c r="IS947" s="71"/>
      <c r="IT947" s="71"/>
      <c r="IU947" s="71"/>
      <c r="IV947" s="71"/>
      <c r="IW947" s="71"/>
    </row>
    <row r="948" customFormat="false" ht="12.75" hidden="false" customHeight="false" outlineLevel="0" collapsed="false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  <c r="BC948" s="71"/>
      <c r="BD948" s="71"/>
      <c r="BE948" s="71"/>
      <c r="BF948" s="71"/>
      <c r="BG948" s="71"/>
      <c r="BH948" s="71"/>
      <c r="BI948" s="71"/>
      <c r="BJ948" s="71"/>
      <c r="BK948" s="71"/>
      <c r="BL948" s="71"/>
      <c r="BM948" s="71"/>
      <c r="BN948" s="71"/>
      <c r="BO948" s="71"/>
      <c r="BP948" s="71"/>
      <c r="BQ948" s="71"/>
      <c r="BR948" s="71"/>
      <c r="BS948" s="71"/>
      <c r="BT948" s="71"/>
      <c r="BU948" s="71"/>
      <c r="BV948" s="71"/>
      <c r="BW948" s="71"/>
      <c r="BX948" s="71"/>
      <c r="BY948" s="71"/>
      <c r="BZ948" s="71"/>
      <c r="CA948" s="71"/>
      <c r="CB948" s="71"/>
      <c r="CC948" s="71"/>
      <c r="CD948" s="71"/>
      <c r="CE948" s="71"/>
      <c r="CF948" s="71"/>
      <c r="CG948" s="71"/>
      <c r="CH948" s="71"/>
      <c r="CI948" s="71"/>
      <c r="CJ948" s="71"/>
      <c r="CK948" s="71"/>
      <c r="CL948" s="71"/>
      <c r="CM948" s="71"/>
      <c r="CN948" s="71"/>
      <c r="CO948" s="71"/>
      <c r="CP948" s="71"/>
      <c r="CQ948" s="71"/>
      <c r="CR948" s="71"/>
      <c r="CS948" s="71"/>
      <c r="CT948" s="71"/>
      <c r="CU948" s="71"/>
      <c r="CV948" s="71"/>
      <c r="CW948" s="71"/>
      <c r="CX948" s="71"/>
      <c r="CY948" s="71"/>
      <c r="CZ948" s="71"/>
      <c r="DA948" s="71"/>
      <c r="DB948" s="71"/>
      <c r="DC948" s="71"/>
      <c r="DD948" s="71"/>
      <c r="DE948" s="71"/>
      <c r="DF948" s="71"/>
      <c r="DG948" s="71"/>
      <c r="DH948" s="71"/>
      <c r="DI948" s="71"/>
      <c r="DJ948" s="71"/>
      <c r="DK948" s="71"/>
      <c r="DL948" s="71"/>
      <c r="DM948" s="71"/>
      <c r="DN948" s="71"/>
      <c r="DO948" s="71"/>
      <c r="DP948" s="71"/>
      <c r="DQ948" s="71"/>
      <c r="DR948" s="71"/>
      <c r="DS948" s="71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  <c r="IJ948" s="71"/>
      <c r="IK948" s="71"/>
      <c r="IL948" s="71"/>
      <c r="IM948" s="71"/>
      <c r="IN948" s="71"/>
      <c r="IO948" s="71"/>
      <c r="IP948" s="71"/>
      <c r="IQ948" s="71"/>
      <c r="IR948" s="71"/>
      <c r="IS948" s="71"/>
      <c r="IT948" s="71"/>
      <c r="IU948" s="71"/>
      <c r="IV948" s="71"/>
      <c r="IW948" s="71"/>
    </row>
    <row r="949" customFormat="false" ht="12.75" hidden="false" customHeight="false" outlineLevel="0" collapsed="false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  <c r="BC949" s="71"/>
      <c r="BD949" s="71"/>
      <c r="BE949" s="71"/>
      <c r="BF949" s="71"/>
      <c r="BG949" s="71"/>
      <c r="BH949" s="71"/>
      <c r="BI949" s="71"/>
      <c r="BJ949" s="71"/>
      <c r="BK949" s="71"/>
      <c r="BL949" s="71"/>
      <c r="BM949" s="71"/>
      <c r="BN949" s="71"/>
      <c r="BO949" s="71"/>
      <c r="BP949" s="71"/>
      <c r="BQ949" s="71"/>
      <c r="BR949" s="71"/>
      <c r="BS949" s="71"/>
      <c r="BT949" s="71"/>
      <c r="BU949" s="71"/>
      <c r="BV949" s="71"/>
      <c r="BW949" s="71"/>
      <c r="BX949" s="71"/>
      <c r="BY949" s="71"/>
      <c r="BZ949" s="71"/>
      <c r="CA949" s="71"/>
      <c r="CB949" s="71"/>
      <c r="CC949" s="71"/>
      <c r="CD949" s="71"/>
      <c r="CE949" s="71"/>
      <c r="CF949" s="71"/>
      <c r="CG949" s="71"/>
      <c r="CH949" s="71"/>
      <c r="CI949" s="71"/>
      <c r="CJ949" s="71"/>
      <c r="CK949" s="71"/>
      <c r="CL949" s="71"/>
      <c r="CM949" s="71"/>
      <c r="CN949" s="71"/>
      <c r="CO949" s="71"/>
      <c r="CP949" s="71"/>
      <c r="CQ949" s="71"/>
      <c r="CR949" s="71"/>
      <c r="CS949" s="71"/>
      <c r="CT949" s="71"/>
      <c r="CU949" s="71"/>
      <c r="CV949" s="71"/>
      <c r="CW949" s="71"/>
      <c r="CX949" s="71"/>
      <c r="CY949" s="71"/>
      <c r="CZ949" s="71"/>
      <c r="DA949" s="71"/>
      <c r="DB949" s="71"/>
      <c r="DC949" s="71"/>
      <c r="DD949" s="71"/>
      <c r="DE949" s="71"/>
      <c r="DF949" s="71"/>
      <c r="DG949" s="71"/>
      <c r="DH949" s="71"/>
      <c r="DI949" s="71"/>
      <c r="DJ949" s="71"/>
      <c r="DK949" s="71"/>
      <c r="DL949" s="71"/>
      <c r="DM949" s="71"/>
      <c r="DN949" s="71"/>
      <c r="DO949" s="71"/>
      <c r="DP949" s="71"/>
      <c r="DQ949" s="71"/>
      <c r="DR949" s="71"/>
      <c r="DS949" s="71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  <c r="IJ949" s="71"/>
      <c r="IK949" s="71"/>
      <c r="IL949" s="71"/>
      <c r="IM949" s="71"/>
      <c r="IN949" s="71"/>
      <c r="IO949" s="71"/>
      <c r="IP949" s="71"/>
      <c r="IQ949" s="71"/>
      <c r="IR949" s="71"/>
      <c r="IS949" s="71"/>
      <c r="IT949" s="71"/>
      <c r="IU949" s="71"/>
      <c r="IV949" s="71"/>
      <c r="IW949" s="71"/>
    </row>
    <row r="950" customFormat="false" ht="12.75" hidden="false" customHeight="false" outlineLevel="0" collapsed="false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AZ950" s="71"/>
      <c r="BA950" s="71"/>
      <c r="BB950" s="71"/>
      <c r="BC950" s="71"/>
      <c r="BD950" s="71"/>
      <c r="BE950" s="71"/>
      <c r="BF950" s="71"/>
      <c r="BG950" s="71"/>
      <c r="BH950" s="71"/>
      <c r="BI950" s="71"/>
      <c r="BJ950" s="71"/>
      <c r="BK950" s="71"/>
      <c r="BL950" s="71"/>
      <c r="BM950" s="71"/>
      <c r="BN950" s="71"/>
      <c r="BO950" s="71"/>
      <c r="BP950" s="71"/>
      <c r="BQ950" s="71"/>
      <c r="BR950" s="71"/>
      <c r="BS950" s="71"/>
      <c r="BT950" s="71"/>
      <c r="BU950" s="71"/>
      <c r="BV950" s="71"/>
      <c r="BW950" s="71"/>
      <c r="BX950" s="71"/>
      <c r="BY950" s="71"/>
      <c r="BZ950" s="71"/>
      <c r="CA950" s="71"/>
      <c r="CB950" s="71"/>
      <c r="CC950" s="71"/>
      <c r="CD950" s="71"/>
      <c r="CE950" s="71"/>
      <c r="CF950" s="71"/>
      <c r="CG950" s="71"/>
      <c r="CH950" s="71"/>
      <c r="CI950" s="71"/>
      <c r="CJ950" s="71"/>
      <c r="CK950" s="71"/>
      <c r="CL950" s="71"/>
      <c r="CM950" s="71"/>
      <c r="CN950" s="71"/>
      <c r="CO950" s="71"/>
      <c r="CP950" s="71"/>
      <c r="CQ950" s="71"/>
      <c r="CR950" s="71"/>
      <c r="CS950" s="71"/>
      <c r="CT950" s="71"/>
      <c r="CU950" s="71"/>
      <c r="CV950" s="71"/>
      <c r="CW950" s="71"/>
      <c r="CX950" s="71"/>
      <c r="CY950" s="71"/>
      <c r="CZ950" s="71"/>
      <c r="DA950" s="71"/>
      <c r="DB950" s="71"/>
      <c r="DC950" s="71"/>
      <c r="DD950" s="71"/>
      <c r="DE950" s="71"/>
      <c r="DF950" s="71"/>
      <c r="DG950" s="71"/>
      <c r="DH950" s="71"/>
      <c r="DI950" s="71"/>
      <c r="DJ950" s="71"/>
      <c r="DK950" s="71"/>
      <c r="DL950" s="71"/>
      <c r="DM950" s="71"/>
      <c r="DN950" s="71"/>
      <c r="DO950" s="71"/>
      <c r="DP950" s="71"/>
      <c r="DQ950" s="71"/>
      <c r="DR950" s="71"/>
      <c r="DS950" s="71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  <c r="IJ950" s="71"/>
      <c r="IK950" s="71"/>
      <c r="IL950" s="71"/>
      <c r="IM950" s="71"/>
      <c r="IN950" s="71"/>
      <c r="IO950" s="71"/>
      <c r="IP950" s="71"/>
      <c r="IQ950" s="71"/>
      <c r="IR950" s="71"/>
      <c r="IS950" s="71"/>
      <c r="IT950" s="71"/>
      <c r="IU950" s="71"/>
      <c r="IV950" s="71"/>
      <c r="IW950" s="71"/>
    </row>
    <row r="951" customFormat="false" ht="12.75" hidden="false" customHeight="false" outlineLevel="0" collapsed="false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AZ951" s="71"/>
      <c r="BA951" s="71"/>
      <c r="BB951" s="71"/>
      <c r="BC951" s="71"/>
      <c r="BD951" s="71"/>
      <c r="BE951" s="71"/>
      <c r="BF951" s="71"/>
      <c r="BG951" s="71"/>
      <c r="BH951" s="71"/>
      <c r="BI951" s="71"/>
      <c r="BJ951" s="71"/>
      <c r="BK951" s="71"/>
      <c r="BL951" s="71"/>
      <c r="BM951" s="71"/>
      <c r="BN951" s="71"/>
      <c r="BO951" s="71"/>
      <c r="BP951" s="71"/>
      <c r="BQ951" s="71"/>
      <c r="BR951" s="71"/>
      <c r="BS951" s="71"/>
      <c r="BT951" s="71"/>
      <c r="BU951" s="71"/>
      <c r="BV951" s="71"/>
      <c r="BW951" s="71"/>
      <c r="BX951" s="71"/>
      <c r="BY951" s="71"/>
      <c r="BZ951" s="71"/>
      <c r="CA951" s="71"/>
      <c r="CB951" s="71"/>
      <c r="CC951" s="71"/>
      <c r="CD951" s="71"/>
      <c r="CE951" s="71"/>
      <c r="CF951" s="71"/>
      <c r="CG951" s="71"/>
      <c r="CH951" s="71"/>
      <c r="CI951" s="71"/>
      <c r="CJ951" s="71"/>
      <c r="CK951" s="71"/>
      <c r="CL951" s="71"/>
      <c r="CM951" s="71"/>
      <c r="CN951" s="71"/>
      <c r="CO951" s="71"/>
      <c r="CP951" s="71"/>
      <c r="CQ951" s="71"/>
      <c r="CR951" s="71"/>
      <c r="CS951" s="71"/>
      <c r="CT951" s="71"/>
      <c r="CU951" s="71"/>
      <c r="CV951" s="71"/>
      <c r="CW951" s="71"/>
      <c r="CX951" s="71"/>
      <c r="CY951" s="71"/>
      <c r="CZ951" s="71"/>
      <c r="DA951" s="71"/>
      <c r="DB951" s="71"/>
      <c r="DC951" s="71"/>
      <c r="DD951" s="71"/>
      <c r="DE951" s="71"/>
      <c r="DF951" s="71"/>
      <c r="DG951" s="71"/>
      <c r="DH951" s="71"/>
      <c r="DI951" s="71"/>
      <c r="DJ951" s="71"/>
      <c r="DK951" s="71"/>
      <c r="DL951" s="71"/>
      <c r="DM951" s="71"/>
      <c r="DN951" s="71"/>
      <c r="DO951" s="71"/>
      <c r="DP951" s="71"/>
      <c r="DQ951" s="71"/>
      <c r="DR951" s="71"/>
      <c r="DS951" s="71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  <c r="IJ951" s="71"/>
      <c r="IK951" s="71"/>
      <c r="IL951" s="71"/>
      <c r="IM951" s="71"/>
      <c r="IN951" s="71"/>
      <c r="IO951" s="71"/>
      <c r="IP951" s="71"/>
      <c r="IQ951" s="71"/>
      <c r="IR951" s="71"/>
      <c r="IS951" s="71"/>
      <c r="IT951" s="71"/>
      <c r="IU951" s="71"/>
      <c r="IV951" s="71"/>
      <c r="IW951" s="71"/>
    </row>
    <row r="952" customFormat="false" ht="12.75" hidden="false" customHeight="false" outlineLevel="0" collapsed="false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  <c r="BC952" s="71"/>
      <c r="BD952" s="71"/>
      <c r="BE952" s="71"/>
      <c r="BF952" s="71"/>
      <c r="BG952" s="71"/>
      <c r="BH952" s="71"/>
      <c r="BI952" s="71"/>
      <c r="BJ952" s="71"/>
      <c r="BK952" s="71"/>
      <c r="BL952" s="71"/>
      <c r="BM952" s="71"/>
      <c r="BN952" s="71"/>
      <c r="BO952" s="71"/>
      <c r="BP952" s="71"/>
      <c r="BQ952" s="71"/>
      <c r="BR952" s="71"/>
      <c r="BS952" s="71"/>
      <c r="BT952" s="71"/>
      <c r="BU952" s="71"/>
      <c r="BV952" s="71"/>
      <c r="BW952" s="71"/>
      <c r="BX952" s="71"/>
      <c r="BY952" s="71"/>
      <c r="BZ952" s="71"/>
      <c r="CA952" s="71"/>
      <c r="CB952" s="71"/>
      <c r="CC952" s="71"/>
      <c r="CD952" s="71"/>
      <c r="CE952" s="71"/>
      <c r="CF952" s="71"/>
      <c r="CG952" s="71"/>
      <c r="CH952" s="71"/>
      <c r="CI952" s="71"/>
      <c r="CJ952" s="71"/>
      <c r="CK952" s="71"/>
      <c r="CL952" s="71"/>
      <c r="CM952" s="71"/>
      <c r="CN952" s="71"/>
      <c r="CO952" s="71"/>
      <c r="CP952" s="71"/>
      <c r="CQ952" s="71"/>
      <c r="CR952" s="71"/>
      <c r="CS952" s="71"/>
      <c r="CT952" s="71"/>
      <c r="CU952" s="71"/>
      <c r="CV952" s="71"/>
      <c r="CW952" s="71"/>
      <c r="CX952" s="71"/>
      <c r="CY952" s="71"/>
      <c r="CZ952" s="71"/>
      <c r="DA952" s="71"/>
      <c r="DB952" s="71"/>
      <c r="DC952" s="71"/>
      <c r="DD952" s="71"/>
      <c r="DE952" s="71"/>
      <c r="DF952" s="71"/>
      <c r="DG952" s="71"/>
      <c r="DH952" s="71"/>
      <c r="DI952" s="71"/>
      <c r="DJ952" s="71"/>
      <c r="DK952" s="71"/>
      <c r="DL952" s="71"/>
      <c r="DM952" s="71"/>
      <c r="DN952" s="71"/>
      <c r="DO952" s="71"/>
      <c r="DP952" s="71"/>
      <c r="DQ952" s="71"/>
      <c r="DR952" s="71"/>
      <c r="DS952" s="71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  <c r="IJ952" s="71"/>
      <c r="IK952" s="71"/>
      <c r="IL952" s="71"/>
      <c r="IM952" s="71"/>
      <c r="IN952" s="71"/>
      <c r="IO952" s="71"/>
      <c r="IP952" s="71"/>
      <c r="IQ952" s="71"/>
      <c r="IR952" s="71"/>
      <c r="IS952" s="71"/>
      <c r="IT952" s="71"/>
      <c r="IU952" s="71"/>
      <c r="IV952" s="71"/>
      <c r="IW952" s="71"/>
    </row>
    <row r="953" customFormat="false" ht="12.75" hidden="false" customHeight="false" outlineLevel="0" collapsed="false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  <c r="BC953" s="71"/>
      <c r="BD953" s="71"/>
      <c r="BE953" s="71"/>
      <c r="BF953" s="71"/>
      <c r="BG953" s="71"/>
      <c r="BH953" s="71"/>
      <c r="BI953" s="71"/>
      <c r="BJ953" s="71"/>
      <c r="BK953" s="71"/>
      <c r="BL953" s="71"/>
      <c r="BM953" s="71"/>
      <c r="BN953" s="71"/>
      <c r="BO953" s="71"/>
      <c r="BP953" s="71"/>
      <c r="BQ953" s="71"/>
      <c r="BR953" s="71"/>
      <c r="BS953" s="71"/>
      <c r="BT953" s="71"/>
      <c r="BU953" s="71"/>
      <c r="BV953" s="71"/>
      <c r="BW953" s="71"/>
      <c r="BX953" s="71"/>
      <c r="BY953" s="71"/>
      <c r="BZ953" s="71"/>
      <c r="CA953" s="71"/>
      <c r="CB953" s="71"/>
      <c r="CC953" s="71"/>
      <c r="CD953" s="71"/>
      <c r="CE953" s="71"/>
      <c r="CF953" s="71"/>
      <c r="CG953" s="71"/>
      <c r="CH953" s="71"/>
      <c r="CI953" s="71"/>
      <c r="CJ953" s="71"/>
      <c r="CK953" s="71"/>
      <c r="CL953" s="71"/>
      <c r="CM953" s="71"/>
      <c r="CN953" s="71"/>
      <c r="CO953" s="71"/>
      <c r="CP953" s="71"/>
      <c r="CQ953" s="71"/>
      <c r="CR953" s="71"/>
      <c r="CS953" s="71"/>
      <c r="CT953" s="71"/>
      <c r="CU953" s="71"/>
      <c r="CV953" s="71"/>
      <c r="CW953" s="71"/>
      <c r="CX953" s="71"/>
      <c r="CY953" s="71"/>
      <c r="CZ953" s="71"/>
      <c r="DA953" s="71"/>
      <c r="DB953" s="71"/>
      <c r="DC953" s="71"/>
      <c r="DD953" s="71"/>
      <c r="DE953" s="71"/>
      <c r="DF953" s="71"/>
      <c r="DG953" s="71"/>
      <c r="DH953" s="71"/>
      <c r="DI953" s="71"/>
      <c r="DJ953" s="71"/>
      <c r="DK953" s="71"/>
      <c r="DL953" s="71"/>
      <c r="DM953" s="71"/>
      <c r="DN953" s="71"/>
      <c r="DO953" s="71"/>
      <c r="DP953" s="71"/>
      <c r="DQ953" s="71"/>
      <c r="DR953" s="71"/>
      <c r="DS953" s="71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  <c r="IJ953" s="71"/>
      <c r="IK953" s="71"/>
      <c r="IL953" s="71"/>
      <c r="IM953" s="71"/>
      <c r="IN953" s="71"/>
      <c r="IO953" s="71"/>
      <c r="IP953" s="71"/>
      <c r="IQ953" s="71"/>
      <c r="IR953" s="71"/>
      <c r="IS953" s="71"/>
      <c r="IT953" s="71"/>
      <c r="IU953" s="71"/>
      <c r="IV953" s="71"/>
      <c r="IW953" s="71"/>
    </row>
    <row r="954" customFormat="false" ht="12.75" hidden="false" customHeight="false" outlineLevel="0" collapsed="false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  <c r="BH954" s="71"/>
      <c r="BI954" s="71"/>
      <c r="BJ954" s="71"/>
      <c r="BK954" s="71"/>
      <c r="BL954" s="71"/>
      <c r="BM954" s="71"/>
      <c r="BN954" s="71"/>
      <c r="BO954" s="71"/>
      <c r="BP954" s="71"/>
      <c r="BQ954" s="71"/>
      <c r="BR954" s="71"/>
      <c r="BS954" s="71"/>
      <c r="BT954" s="71"/>
      <c r="BU954" s="71"/>
      <c r="BV954" s="71"/>
      <c r="BW954" s="71"/>
      <c r="BX954" s="71"/>
      <c r="BY954" s="71"/>
      <c r="BZ954" s="71"/>
      <c r="CA954" s="71"/>
      <c r="CB954" s="71"/>
      <c r="CC954" s="71"/>
      <c r="CD954" s="71"/>
      <c r="CE954" s="71"/>
      <c r="CF954" s="71"/>
      <c r="CG954" s="71"/>
      <c r="CH954" s="71"/>
      <c r="CI954" s="71"/>
      <c r="CJ954" s="71"/>
      <c r="CK954" s="71"/>
      <c r="CL954" s="71"/>
      <c r="CM954" s="71"/>
      <c r="CN954" s="71"/>
      <c r="CO954" s="71"/>
      <c r="CP954" s="71"/>
      <c r="CQ954" s="71"/>
      <c r="CR954" s="71"/>
      <c r="CS954" s="71"/>
      <c r="CT954" s="71"/>
      <c r="CU954" s="71"/>
      <c r="CV954" s="71"/>
      <c r="CW954" s="71"/>
      <c r="CX954" s="71"/>
      <c r="CY954" s="71"/>
      <c r="CZ954" s="71"/>
      <c r="DA954" s="71"/>
      <c r="DB954" s="71"/>
      <c r="DC954" s="71"/>
      <c r="DD954" s="71"/>
      <c r="DE954" s="71"/>
      <c r="DF954" s="71"/>
      <c r="DG954" s="71"/>
      <c r="DH954" s="71"/>
      <c r="DI954" s="71"/>
      <c r="DJ954" s="71"/>
      <c r="DK954" s="71"/>
      <c r="DL954" s="71"/>
      <c r="DM954" s="71"/>
      <c r="DN954" s="71"/>
      <c r="DO954" s="71"/>
      <c r="DP954" s="71"/>
      <c r="DQ954" s="71"/>
      <c r="DR954" s="71"/>
      <c r="DS954" s="71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  <c r="IJ954" s="71"/>
      <c r="IK954" s="71"/>
      <c r="IL954" s="71"/>
      <c r="IM954" s="71"/>
      <c r="IN954" s="71"/>
      <c r="IO954" s="71"/>
      <c r="IP954" s="71"/>
      <c r="IQ954" s="71"/>
      <c r="IR954" s="71"/>
      <c r="IS954" s="71"/>
      <c r="IT954" s="71"/>
      <c r="IU954" s="71"/>
      <c r="IV954" s="71"/>
      <c r="IW954" s="71"/>
    </row>
    <row r="955" customFormat="false" ht="12.75" hidden="false" customHeight="false" outlineLevel="0" collapsed="false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AZ955" s="71"/>
      <c r="BA955" s="71"/>
      <c r="BB955" s="71"/>
      <c r="BC955" s="71"/>
      <c r="BD955" s="71"/>
      <c r="BE955" s="71"/>
      <c r="BF955" s="71"/>
      <c r="BG955" s="71"/>
      <c r="BH955" s="71"/>
      <c r="BI955" s="71"/>
      <c r="BJ955" s="71"/>
      <c r="BK955" s="71"/>
      <c r="BL955" s="71"/>
      <c r="BM955" s="71"/>
      <c r="BN955" s="71"/>
      <c r="BO955" s="71"/>
      <c r="BP955" s="71"/>
      <c r="BQ955" s="71"/>
      <c r="BR955" s="71"/>
      <c r="BS955" s="71"/>
      <c r="BT955" s="71"/>
      <c r="BU955" s="71"/>
      <c r="BV955" s="71"/>
      <c r="BW955" s="71"/>
      <c r="BX955" s="71"/>
      <c r="BY955" s="71"/>
      <c r="BZ955" s="71"/>
      <c r="CA955" s="71"/>
      <c r="CB955" s="71"/>
      <c r="CC955" s="71"/>
      <c r="CD955" s="71"/>
      <c r="CE955" s="71"/>
      <c r="CF955" s="71"/>
      <c r="CG955" s="71"/>
      <c r="CH955" s="71"/>
      <c r="CI955" s="71"/>
      <c r="CJ955" s="71"/>
      <c r="CK955" s="71"/>
      <c r="CL955" s="71"/>
      <c r="CM955" s="71"/>
      <c r="CN955" s="71"/>
      <c r="CO955" s="71"/>
      <c r="CP955" s="71"/>
      <c r="CQ955" s="71"/>
      <c r="CR955" s="71"/>
      <c r="CS955" s="71"/>
      <c r="CT955" s="71"/>
      <c r="CU955" s="71"/>
      <c r="CV955" s="71"/>
      <c r="CW955" s="71"/>
      <c r="CX955" s="71"/>
      <c r="CY955" s="71"/>
      <c r="CZ955" s="71"/>
      <c r="DA955" s="71"/>
      <c r="DB955" s="71"/>
      <c r="DC955" s="71"/>
      <c r="DD955" s="71"/>
      <c r="DE955" s="71"/>
      <c r="DF955" s="71"/>
      <c r="DG955" s="71"/>
      <c r="DH955" s="71"/>
      <c r="DI955" s="71"/>
      <c r="DJ955" s="71"/>
      <c r="DK955" s="71"/>
      <c r="DL955" s="71"/>
      <c r="DM955" s="71"/>
      <c r="DN955" s="71"/>
      <c r="DO955" s="71"/>
      <c r="DP955" s="71"/>
      <c r="DQ955" s="71"/>
      <c r="DR955" s="71"/>
      <c r="DS955" s="71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  <c r="IJ955" s="71"/>
      <c r="IK955" s="71"/>
      <c r="IL955" s="71"/>
      <c r="IM955" s="71"/>
      <c r="IN955" s="71"/>
      <c r="IO955" s="71"/>
      <c r="IP955" s="71"/>
      <c r="IQ955" s="71"/>
      <c r="IR955" s="71"/>
      <c r="IS955" s="71"/>
      <c r="IT955" s="71"/>
      <c r="IU955" s="71"/>
      <c r="IV955" s="71"/>
      <c r="IW955" s="71"/>
    </row>
    <row r="956" customFormat="false" ht="12.75" hidden="false" customHeight="false" outlineLevel="0" collapsed="false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/>
      <c r="BA956" s="71"/>
      <c r="BB956" s="71"/>
      <c r="BC956" s="71"/>
      <c r="BD956" s="71"/>
      <c r="BE956" s="71"/>
      <c r="BF956" s="71"/>
      <c r="BG956" s="71"/>
      <c r="BH956" s="71"/>
      <c r="BI956" s="71"/>
      <c r="BJ956" s="71"/>
      <c r="BK956" s="71"/>
      <c r="BL956" s="71"/>
      <c r="BM956" s="71"/>
      <c r="BN956" s="71"/>
      <c r="BO956" s="71"/>
      <c r="BP956" s="71"/>
      <c r="BQ956" s="71"/>
      <c r="BR956" s="71"/>
      <c r="BS956" s="71"/>
      <c r="BT956" s="71"/>
      <c r="BU956" s="71"/>
      <c r="BV956" s="71"/>
      <c r="BW956" s="71"/>
      <c r="BX956" s="71"/>
      <c r="BY956" s="71"/>
      <c r="BZ956" s="71"/>
      <c r="CA956" s="71"/>
      <c r="CB956" s="71"/>
      <c r="CC956" s="71"/>
      <c r="CD956" s="71"/>
      <c r="CE956" s="71"/>
      <c r="CF956" s="71"/>
      <c r="CG956" s="71"/>
      <c r="CH956" s="71"/>
      <c r="CI956" s="71"/>
      <c r="CJ956" s="71"/>
      <c r="CK956" s="71"/>
      <c r="CL956" s="71"/>
      <c r="CM956" s="71"/>
      <c r="CN956" s="71"/>
      <c r="CO956" s="71"/>
      <c r="CP956" s="71"/>
      <c r="CQ956" s="71"/>
      <c r="CR956" s="71"/>
      <c r="CS956" s="71"/>
      <c r="CT956" s="71"/>
      <c r="CU956" s="71"/>
      <c r="CV956" s="71"/>
      <c r="CW956" s="71"/>
      <c r="CX956" s="71"/>
      <c r="CY956" s="71"/>
      <c r="CZ956" s="71"/>
      <c r="DA956" s="71"/>
      <c r="DB956" s="71"/>
      <c r="DC956" s="71"/>
      <c r="DD956" s="71"/>
      <c r="DE956" s="71"/>
      <c r="DF956" s="71"/>
      <c r="DG956" s="71"/>
      <c r="DH956" s="71"/>
      <c r="DI956" s="71"/>
      <c r="DJ956" s="71"/>
      <c r="DK956" s="71"/>
      <c r="DL956" s="71"/>
      <c r="DM956" s="71"/>
      <c r="DN956" s="71"/>
      <c r="DO956" s="71"/>
      <c r="DP956" s="71"/>
      <c r="DQ956" s="71"/>
      <c r="DR956" s="71"/>
      <c r="DS956" s="71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  <c r="IJ956" s="71"/>
      <c r="IK956" s="71"/>
      <c r="IL956" s="71"/>
      <c r="IM956" s="71"/>
      <c r="IN956" s="71"/>
      <c r="IO956" s="71"/>
      <c r="IP956" s="71"/>
      <c r="IQ956" s="71"/>
      <c r="IR956" s="71"/>
      <c r="IS956" s="71"/>
      <c r="IT956" s="71"/>
      <c r="IU956" s="71"/>
      <c r="IV956" s="71"/>
      <c r="IW956" s="71"/>
    </row>
    <row r="957" customFormat="false" ht="12.75" hidden="false" customHeight="false" outlineLevel="0" collapsed="false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AZ957" s="71"/>
      <c r="BA957" s="71"/>
      <c r="BB957" s="71"/>
      <c r="BC957" s="71"/>
      <c r="BD957" s="71"/>
      <c r="BE957" s="71"/>
      <c r="BF957" s="71"/>
      <c r="BG957" s="71"/>
      <c r="BH957" s="71"/>
      <c r="BI957" s="71"/>
      <c r="BJ957" s="71"/>
      <c r="BK957" s="71"/>
      <c r="BL957" s="71"/>
      <c r="BM957" s="71"/>
      <c r="BN957" s="71"/>
      <c r="BO957" s="71"/>
      <c r="BP957" s="71"/>
      <c r="BQ957" s="71"/>
      <c r="BR957" s="71"/>
      <c r="BS957" s="71"/>
      <c r="BT957" s="71"/>
      <c r="BU957" s="71"/>
      <c r="BV957" s="71"/>
      <c r="BW957" s="71"/>
      <c r="BX957" s="71"/>
      <c r="BY957" s="71"/>
      <c r="BZ957" s="71"/>
      <c r="CA957" s="71"/>
      <c r="CB957" s="71"/>
      <c r="CC957" s="71"/>
      <c r="CD957" s="71"/>
      <c r="CE957" s="71"/>
      <c r="CF957" s="71"/>
      <c r="CG957" s="71"/>
      <c r="CH957" s="71"/>
      <c r="CI957" s="71"/>
      <c r="CJ957" s="71"/>
      <c r="CK957" s="71"/>
      <c r="CL957" s="71"/>
      <c r="CM957" s="71"/>
      <c r="CN957" s="71"/>
      <c r="CO957" s="71"/>
      <c r="CP957" s="71"/>
      <c r="CQ957" s="71"/>
      <c r="CR957" s="71"/>
      <c r="CS957" s="71"/>
      <c r="CT957" s="71"/>
      <c r="CU957" s="71"/>
      <c r="CV957" s="71"/>
      <c r="CW957" s="71"/>
      <c r="CX957" s="71"/>
      <c r="CY957" s="71"/>
      <c r="CZ957" s="71"/>
      <c r="DA957" s="71"/>
      <c r="DB957" s="71"/>
      <c r="DC957" s="71"/>
      <c r="DD957" s="71"/>
      <c r="DE957" s="71"/>
      <c r="DF957" s="71"/>
      <c r="DG957" s="71"/>
      <c r="DH957" s="71"/>
      <c r="DI957" s="71"/>
      <c r="DJ957" s="71"/>
      <c r="DK957" s="71"/>
      <c r="DL957" s="71"/>
      <c r="DM957" s="71"/>
      <c r="DN957" s="71"/>
      <c r="DO957" s="71"/>
      <c r="DP957" s="71"/>
      <c r="DQ957" s="71"/>
      <c r="DR957" s="71"/>
      <c r="DS957" s="71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  <c r="IJ957" s="71"/>
      <c r="IK957" s="71"/>
      <c r="IL957" s="71"/>
      <c r="IM957" s="71"/>
      <c r="IN957" s="71"/>
      <c r="IO957" s="71"/>
      <c r="IP957" s="71"/>
      <c r="IQ957" s="71"/>
      <c r="IR957" s="71"/>
      <c r="IS957" s="71"/>
      <c r="IT957" s="71"/>
      <c r="IU957" s="71"/>
      <c r="IV957" s="71"/>
      <c r="IW957" s="71"/>
    </row>
    <row r="958" customFormat="false" ht="12.75" hidden="false" customHeight="false" outlineLevel="0" collapsed="false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AZ958" s="71"/>
      <c r="BA958" s="71"/>
      <c r="BB958" s="71"/>
      <c r="BC958" s="71"/>
      <c r="BD958" s="71"/>
      <c r="BE958" s="71"/>
      <c r="BF958" s="71"/>
      <c r="BG958" s="71"/>
      <c r="BH958" s="71"/>
      <c r="BI958" s="71"/>
      <c r="BJ958" s="71"/>
      <c r="BK958" s="71"/>
      <c r="BL958" s="71"/>
      <c r="BM958" s="71"/>
      <c r="BN958" s="71"/>
      <c r="BO958" s="71"/>
      <c r="BP958" s="71"/>
      <c r="BQ958" s="71"/>
      <c r="BR958" s="71"/>
      <c r="BS958" s="71"/>
      <c r="BT958" s="71"/>
      <c r="BU958" s="71"/>
      <c r="BV958" s="71"/>
      <c r="BW958" s="71"/>
      <c r="BX958" s="71"/>
      <c r="BY958" s="71"/>
      <c r="BZ958" s="71"/>
      <c r="CA958" s="71"/>
      <c r="CB958" s="71"/>
      <c r="CC958" s="71"/>
      <c r="CD958" s="71"/>
      <c r="CE958" s="71"/>
      <c r="CF958" s="71"/>
      <c r="CG958" s="71"/>
      <c r="CH958" s="71"/>
      <c r="CI958" s="71"/>
      <c r="CJ958" s="71"/>
      <c r="CK958" s="71"/>
      <c r="CL958" s="71"/>
      <c r="CM958" s="71"/>
      <c r="CN958" s="71"/>
      <c r="CO958" s="71"/>
      <c r="CP958" s="71"/>
      <c r="CQ958" s="71"/>
      <c r="CR958" s="71"/>
      <c r="CS958" s="71"/>
      <c r="CT958" s="71"/>
      <c r="CU958" s="71"/>
      <c r="CV958" s="71"/>
      <c r="CW958" s="71"/>
      <c r="CX958" s="71"/>
      <c r="CY958" s="71"/>
      <c r="CZ958" s="71"/>
      <c r="DA958" s="71"/>
      <c r="DB958" s="71"/>
      <c r="DC958" s="71"/>
      <c r="DD958" s="71"/>
      <c r="DE958" s="71"/>
      <c r="DF958" s="71"/>
      <c r="DG958" s="71"/>
      <c r="DH958" s="71"/>
      <c r="DI958" s="71"/>
      <c r="DJ958" s="71"/>
      <c r="DK958" s="71"/>
      <c r="DL958" s="71"/>
      <c r="DM958" s="71"/>
      <c r="DN958" s="71"/>
      <c r="DO958" s="71"/>
      <c r="DP958" s="71"/>
      <c r="DQ958" s="71"/>
      <c r="DR958" s="71"/>
      <c r="DS958" s="71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  <c r="IJ958" s="71"/>
      <c r="IK958" s="71"/>
      <c r="IL958" s="71"/>
      <c r="IM958" s="71"/>
      <c r="IN958" s="71"/>
      <c r="IO958" s="71"/>
      <c r="IP958" s="71"/>
      <c r="IQ958" s="71"/>
      <c r="IR958" s="71"/>
      <c r="IS958" s="71"/>
      <c r="IT958" s="71"/>
      <c r="IU958" s="71"/>
      <c r="IV958" s="71"/>
      <c r="IW958" s="71"/>
    </row>
    <row r="959" customFormat="false" ht="12.75" hidden="false" customHeight="false" outlineLevel="0" collapsed="false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  <c r="BH959" s="71"/>
      <c r="BI959" s="71"/>
      <c r="BJ959" s="71"/>
      <c r="BK959" s="71"/>
      <c r="BL959" s="71"/>
      <c r="BM959" s="71"/>
      <c r="BN959" s="71"/>
      <c r="BO959" s="71"/>
      <c r="BP959" s="71"/>
      <c r="BQ959" s="71"/>
      <c r="BR959" s="71"/>
      <c r="BS959" s="71"/>
      <c r="BT959" s="71"/>
      <c r="BU959" s="71"/>
      <c r="BV959" s="71"/>
      <c r="BW959" s="71"/>
      <c r="BX959" s="71"/>
      <c r="BY959" s="71"/>
      <c r="BZ959" s="71"/>
      <c r="CA959" s="71"/>
      <c r="CB959" s="71"/>
      <c r="CC959" s="71"/>
      <c r="CD959" s="71"/>
      <c r="CE959" s="71"/>
      <c r="CF959" s="71"/>
      <c r="CG959" s="71"/>
      <c r="CH959" s="71"/>
      <c r="CI959" s="71"/>
      <c r="CJ959" s="71"/>
      <c r="CK959" s="71"/>
      <c r="CL959" s="71"/>
      <c r="CM959" s="71"/>
      <c r="CN959" s="71"/>
      <c r="CO959" s="71"/>
      <c r="CP959" s="71"/>
      <c r="CQ959" s="71"/>
      <c r="CR959" s="71"/>
      <c r="CS959" s="71"/>
      <c r="CT959" s="71"/>
      <c r="CU959" s="71"/>
      <c r="CV959" s="71"/>
      <c r="CW959" s="71"/>
      <c r="CX959" s="71"/>
      <c r="CY959" s="71"/>
      <c r="CZ959" s="71"/>
      <c r="DA959" s="71"/>
      <c r="DB959" s="71"/>
      <c r="DC959" s="71"/>
      <c r="DD959" s="71"/>
      <c r="DE959" s="71"/>
      <c r="DF959" s="71"/>
      <c r="DG959" s="71"/>
      <c r="DH959" s="71"/>
      <c r="DI959" s="71"/>
      <c r="DJ959" s="71"/>
      <c r="DK959" s="71"/>
      <c r="DL959" s="71"/>
      <c r="DM959" s="71"/>
      <c r="DN959" s="71"/>
      <c r="DO959" s="71"/>
      <c r="DP959" s="71"/>
      <c r="DQ959" s="71"/>
      <c r="DR959" s="71"/>
      <c r="DS959" s="71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  <c r="IJ959" s="71"/>
      <c r="IK959" s="71"/>
      <c r="IL959" s="71"/>
      <c r="IM959" s="71"/>
      <c r="IN959" s="71"/>
      <c r="IO959" s="71"/>
      <c r="IP959" s="71"/>
      <c r="IQ959" s="71"/>
      <c r="IR959" s="71"/>
      <c r="IS959" s="71"/>
      <c r="IT959" s="71"/>
      <c r="IU959" s="71"/>
      <c r="IV959" s="71"/>
      <c r="IW959" s="71"/>
    </row>
    <row r="960" customFormat="false" ht="12.75" hidden="false" customHeight="false" outlineLevel="0" collapsed="false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  <c r="BH960" s="71"/>
      <c r="BI960" s="71"/>
      <c r="BJ960" s="71"/>
      <c r="BK960" s="71"/>
      <c r="BL960" s="71"/>
      <c r="BM960" s="71"/>
      <c r="BN960" s="71"/>
      <c r="BO960" s="71"/>
      <c r="BP960" s="71"/>
      <c r="BQ960" s="71"/>
      <c r="BR960" s="71"/>
      <c r="BS960" s="71"/>
      <c r="BT960" s="71"/>
      <c r="BU960" s="71"/>
      <c r="BV960" s="71"/>
      <c r="BW960" s="71"/>
      <c r="BX960" s="71"/>
      <c r="BY960" s="71"/>
      <c r="BZ960" s="71"/>
      <c r="CA960" s="71"/>
      <c r="CB960" s="71"/>
      <c r="CC960" s="71"/>
      <c r="CD960" s="71"/>
      <c r="CE960" s="71"/>
      <c r="CF960" s="71"/>
      <c r="CG960" s="71"/>
      <c r="CH960" s="71"/>
      <c r="CI960" s="71"/>
      <c r="CJ960" s="71"/>
      <c r="CK960" s="71"/>
      <c r="CL960" s="71"/>
      <c r="CM960" s="71"/>
      <c r="CN960" s="71"/>
      <c r="CO960" s="71"/>
      <c r="CP960" s="71"/>
      <c r="CQ960" s="71"/>
      <c r="CR960" s="71"/>
      <c r="CS960" s="71"/>
      <c r="CT960" s="71"/>
      <c r="CU960" s="71"/>
      <c r="CV960" s="71"/>
      <c r="CW960" s="71"/>
      <c r="CX960" s="71"/>
      <c r="CY960" s="71"/>
      <c r="CZ960" s="71"/>
      <c r="DA960" s="71"/>
      <c r="DB960" s="71"/>
      <c r="DC960" s="71"/>
      <c r="DD960" s="71"/>
      <c r="DE960" s="71"/>
      <c r="DF960" s="71"/>
      <c r="DG960" s="71"/>
      <c r="DH960" s="71"/>
      <c r="DI960" s="71"/>
      <c r="DJ960" s="71"/>
      <c r="DK960" s="71"/>
      <c r="DL960" s="71"/>
      <c r="DM960" s="71"/>
      <c r="DN960" s="71"/>
      <c r="DO960" s="71"/>
      <c r="DP960" s="71"/>
      <c r="DQ960" s="71"/>
      <c r="DR960" s="71"/>
      <c r="DS960" s="71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  <c r="IJ960" s="71"/>
      <c r="IK960" s="71"/>
      <c r="IL960" s="71"/>
      <c r="IM960" s="71"/>
      <c r="IN960" s="71"/>
      <c r="IO960" s="71"/>
      <c r="IP960" s="71"/>
      <c r="IQ960" s="71"/>
      <c r="IR960" s="71"/>
      <c r="IS960" s="71"/>
      <c r="IT960" s="71"/>
      <c r="IU960" s="71"/>
      <c r="IV960" s="71"/>
      <c r="IW960" s="71"/>
    </row>
    <row r="961" customFormat="false" ht="12.75" hidden="false" customHeight="false" outlineLevel="0" collapsed="false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  <c r="BC961" s="71"/>
      <c r="BD961" s="71"/>
      <c r="BE961" s="71"/>
      <c r="BF961" s="71"/>
      <c r="BG961" s="71"/>
      <c r="BH961" s="71"/>
      <c r="BI961" s="71"/>
      <c r="BJ961" s="71"/>
      <c r="BK961" s="71"/>
      <c r="BL961" s="71"/>
      <c r="BM961" s="71"/>
      <c r="BN961" s="71"/>
      <c r="BO961" s="71"/>
      <c r="BP961" s="71"/>
      <c r="BQ961" s="71"/>
      <c r="BR961" s="71"/>
      <c r="BS961" s="71"/>
      <c r="BT961" s="71"/>
      <c r="BU961" s="71"/>
      <c r="BV961" s="71"/>
      <c r="BW961" s="71"/>
      <c r="BX961" s="71"/>
      <c r="BY961" s="71"/>
      <c r="BZ961" s="71"/>
      <c r="CA961" s="71"/>
      <c r="CB961" s="71"/>
      <c r="CC961" s="71"/>
      <c r="CD961" s="71"/>
      <c r="CE961" s="71"/>
      <c r="CF961" s="71"/>
      <c r="CG961" s="71"/>
      <c r="CH961" s="71"/>
      <c r="CI961" s="71"/>
      <c r="CJ961" s="71"/>
      <c r="CK961" s="71"/>
      <c r="CL961" s="71"/>
      <c r="CM961" s="71"/>
      <c r="CN961" s="71"/>
      <c r="CO961" s="71"/>
      <c r="CP961" s="71"/>
      <c r="CQ961" s="71"/>
      <c r="CR961" s="71"/>
      <c r="CS961" s="71"/>
      <c r="CT961" s="71"/>
      <c r="CU961" s="71"/>
      <c r="CV961" s="71"/>
      <c r="CW961" s="71"/>
      <c r="CX961" s="71"/>
      <c r="CY961" s="71"/>
      <c r="CZ961" s="71"/>
      <c r="DA961" s="71"/>
      <c r="DB961" s="71"/>
      <c r="DC961" s="71"/>
      <c r="DD961" s="71"/>
      <c r="DE961" s="71"/>
      <c r="DF961" s="71"/>
      <c r="DG961" s="71"/>
      <c r="DH961" s="71"/>
      <c r="DI961" s="71"/>
      <c r="DJ961" s="71"/>
      <c r="DK961" s="71"/>
      <c r="DL961" s="71"/>
      <c r="DM961" s="71"/>
      <c r="DN961" s="71"/>
      <c r="DO961" s="71"/>
      <c r="DP961" s="71"/>
      <c r="DQ961" s="71"/>
      <c r="DR961" s="71"/>
      <c r="DS961" s="71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  <c r="IJ961" s="71"/>
      <c r="IK961" s="71"/>
      <c r="IL961" s="71"/>
      <c r="IM961" s="71"/>
      <c r="IN961" s="71"/>
      <c r="IO961" s="71"/>
      <c r="IP961" s="71"/>
      <c r="IQ961" s="71"/>
      <c r="IR961" s="71"/>
      <c r="IS961" s="71"/>
      <c r="IT961" s="71"/>
      <c r="IU961" s="71"/>
      <c r="IV961" s="71"/>
      <c r="IW961" s="71"/>
    </row>
    <row r="962" customFormat="false" ht="12.75" hidden="false" customHeight="false" outlineLevel="0" collapsed="false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  <c r="BC962" s="71"/>
      <c r="BD962" s="71"/>
      <c r="BE962" s="71"/>
      <c r="BF962" s="71"/>
      <c r="BG962" s="71"/>
      <c r="BH962" s="71"/>
      <c r="BI962" s="71"/>
      <c r="BJ962" s="71"/>
      <c r="BK962" s="71"/>
      <c r="BL962" s="71"/>
      <c r="BM962" s="71"/>
      <c r="BN962" s="71"/>
      <c r="BO962" s="71"/>
      <c r="BP962" s="71"/>
      <c r="BQ962" s="71"/>
      <c r="BR962" s="71"/>
      <c r="BS962" s="71"/>
      <c r="BT962" s="71"/>
      <c r="BU962" s="71"/>
      <c r="BV962" s="71"/>
      <c r="BW962" s="71"/>
      <c r="BX962" s="71"/>
      <c r="BY962" s="71"/>
      <c r="BZ962" s="71"/>
      <c r="CA962" s="71"/>
      <c r="CB962" s="71"/>
      <c r="CC962" s="71"/>
      <c r="CD962" s="71"/>
      <c r="CE962" s="71"/>
      <c r="CF962" s="71"/>
      <c r="CG962" s="71"/>
      <c r="CH962" s="71"/>
      <c r="CI962" s="71"/>
      <c r="CJ962" s="71"/>
      <c r="CK962" s="71"/>
      <c r="CL962" s="71"/>
      <c r="CM962" s="71"/>
      <c r="CN962" s="71"/>
      <c r="CO962" s="71"/>
      <c r="CP962" s="71"/>
      <c r="CQ962" s="71"/>
      <c r="CR962" s="71"/>
      <c r="CS962" s="71"/>
      <c r="CT962" s="71"/>
      <c r="CU962" s="71"/>
      <c r="CV962" s="71"/>
      <c r="CW962" s="71"/>
      <c r="CX962" s="71"/>
      <c r="CY962" s="71"/>
      <c r="CZ962" s="71"/>
      <c r="DA962" s="71"/>
      <c r="DB962" s="71"/>
      <c r="DC962" s="71"/>
      <c r="DD962" s="71"/>
      <c r="DE962" s="71"/>
      <c r="DF962" s="71"/>
      <c r="DG962" s="71"/>
      <c r="DH962" s="71"/>
      <c r="DI962" s="71"/>
      <c r="DJ962" s="71"/>
      <c r="DK962" s="71"/>
      <c r="DL962" s="71"/>
      <c r="DM962" s="71"/>
      <c r="DN962" s="71"/>
      <c r="DO962" s="71"/>
      <c r="DP962" s="71"/>
      <c r="DQ962" s="71"/>
      <c r="DR962" s="71"/>
      <c r="DS962" s="71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  <c r="IJ962" s="71"/>
      <c r="IK962" s="71"/>
      <c r="IL962" s="71"/>
      <c r="IM962" s="71"/>
      <c r="IN962" s="71"/>
      <c r="IO962" s="71"/>
      <c r="IP962" s="71"/>
      <c r="IQ962" s="71"/>
      <c r="IR962" s="71"/>
      <c r="IS962" s="71"/>
      <c r="IT962" s="71"/>
      <c r="IU962" s="71"/>
      <c r="IV962" s="71"/>
      <c r="IW962" s="71"/>
    </row>
    <row r="963" customFormat="false" ht="12.75" hidden="false" customHeight="false" outlineLevel="0" collapsed="false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/>
      <c r="BA963" s="71"/>
      <c r="BB963" s="71"/>
      <c r="BC963" s="71"/>
      <c r="BD963" s="71"/>
      <c r="BE963" s="71"/>
      <c r="BF963" s="71"/>
      <c r="BG963" s="71"/>
      <c r="BH963" s="71"/>
      <c r="BI963" s="71"/>
      <c r="BJ963" s="71"/>
      <c r="BK963" s="71"/>
      <c r="BL963" s="71"/>
      <c r="BM963" s="71"/>
      <c r="BN963" s="71"/>
      <c r="BO963" s="71"/>
      <c r="BP963" s="71"/>
      <c r="BQ963" s="71"/>
      <c r="BR963" s="71"/>
      <c r="BS963" s="71"/>
      <c r="BT963" s="71"/>
      <c r="BU963" s="71"/>
      <c r="BV963" s="71"/>
      <c r="BW963" s="71"/>
      <c r="BX963" s="71"/>
      <c r="BY963" s="71"/>
      <c r="BZ963" s="71"/>
      <c r="CA963" s="71"/>
      <c r="CB963" s="71"/>
      <c r="CC963" s="71"/>
      <c r="CD963" s="71"/>
      <c r="CE963" s="71"/>
      <c r="CF963" s="71"/>
      <c r="CG963" s="71"/>
      <c r="CH963" s="71"/>
      <c r="CI963" s="71"/>
      <c r="CJ963" s="71"/>
      <c r="CK963" s="71"/>
      <c r="CL963" s="71"/>
      <c r="CM963" s="71"/>
      <c r="CN963" s="71"/>
      <c r="CO963" s="71"/>
      <c r="CP963" s="71"/>
      <c r="CQ963" s="71"/>
      <c r="CR963" s="71"/>
      <c r="CS963" s="71"/>
      <c r="CT963" s="71"/>
      <c r="CU963" s="71"/>
      <c r="CV963" s="71"/>
      <c r="CW963" s="71"/>
      <c r="CX963" s="71"/>
      <c r="CY963" s="71"/>
      <c r="CZ963" s="71"/>
      <c r="DA963" s="71"/>
      <c r="DB963" s="71"/>
      <c r="DC963" s="71"/>
      <c r="DD963" s="71"/>
      <c r="DE963" s="71"/>
      <c r="DF963" s="71"/>
      <c r="DG963" s="71"/>
      <c r="DH963" s="71"/>
      <c r="DI963" s="71"/>
      <c r="DJ963" s="71"/>
      <c r="DK963" s="71"/>
      <c r="DL963" s="71"/>
      <c r="DM963" s="71"/>
      <c r="DN963" s="71"/>
      <c r="DO963" s="71"/>
      <c r="DP963" s="71"/>
      <c r="DQ963" s="71"/>
      <c r="DR963" s="71"/>
      <c r="DS963" s="71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  <c r="IJ963" s="71"/>
      <c r="IK963" s="71"/>
      <c r="IL963" s="71"/>
      <c r="IM963" s="71"/>
      <c r="IN963" s="71"/>
      <c r="IO963" s="71"/>
      <c r="IP963" s="71"/>
      <c r="IQ963" s="71"/>
      <c r="IR963" s="71"/>
      <c r="IS963" s="71"/>
      <c r="IT963" s="71"/>
      <c r="IU963" s="71"/>
      <c r="IV963" s="71"/>
      <c r="IW963" s="71"/>
    </row>
    <row r="964" customFormat="false" ht="12.75" hidden="false" customHeight="false" outlineLevel="0" collapsed="false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AZ964" s="71"/>
      <c r="BA964" s="71"/>
      <c r="BB964" s="71"/>
      <c r="BC964" s="71"/>
      <c r="BD964" s="71"/>
      <c r="BE964" s="71"/>
      <c r="BF964" s="71"/>
      <c r="BG964" s="71"/>
      <c r="BH964" s="71"/>
      <c r="BI964" s="71"/>
      <c r="BJ964" s="71"/>
      <c r="BK964" s="71"/>
      <c r="BL964" s="71"/>
      <c r="BM964" s="71"/>
      <c r="BN964" s="71"/>
      <c r="BO964" s="71"/>
      <c r="BP964" s="71"/>
      <c r="BQ964" s="71"/>
      <c r="BR964" s="71"/>
      <c r="BS964" s="71"/>
      <c r="BT964" s="71"/>
      <c r="BU964" s="71"/>
      <c r="BV964" s="71"/>
      <c r="BW964" s="71"/>
      <c r="BX964" s="71"/>
      <c r="BY964" s="71"/>
      <c r="BZ964" s="71"/>
      <c r="CA964" s="71"/>
      <c r="CB964" s="71"/>
      <c r="CC964" s="71"/>
      <c r="CD964" s="71"/>
      <c r="CE964" s="71"/>
      <c r="CF964" s="71"/>
      <c r="CG964" s="71"/>
      <c r="CH964" s="71"/>
      <c r="CI964" s="71"/>
      <c r="CJ964" s="71"/>
      <c r="CK964" s="71"/>
      <c r="CL964" s="71"/>
      <c r="CM964" s="71"/>
      <c r="CN964" s="71"/>
      <c r="CO964" s="71"/>
      <c r="CP964" s="71"/>
      <c r="CQ964" s="71"/>
      <c r="CR964" s="71"/>
      <c r="CS964" s="71"/>
      <c r="CT964" s="71"/>
      <c r="CU964" s="71"/>
      <c r="CV964" s="71"/>
      <c r="CW964" s="71"/>
      <c r="CX964" s="71"/>
      <c r="CY964" s="71"/>
      <c r="CZ964" s="71"/>
      <c r="DA964" s="71"/>
      <c r="DB964" s="71"/>
      <c r="DC964" s="71"/>
      <c r="DD964" s="71"/>
      <c r="DE964" s="71"/>
      <c r="DF964" s="71"/>
      <c r="DG964" s="71"/>
      <c r="DH964" s="71"/>
      <c r="DI964" s="71"/>
      <c r="DJ964" s="71"/>
      <c r="DK964" s="71"/>
      <c r="DL964" s="71"/>
      <c r="DM964" s="71"/>
      <c r="DN964" s="71"/>
      <c r="DO964" s="71"/>
      <c r="DP964" s="71"/>
      <c r="DQ964" s="71"/>
      <c r="DR964" s="71"/>
      <c r="DS964" s="71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  <c r="IJ964" s="71"/>
      <c r="IK964" s="71"/>
      <c r="IL964" s="71"/>
      <c r="IM964" s="71"/>
      <c r="IN964" s="71"/>
      <c r="IO964" s="71"/>
      <c r="IP964" s="71"/>
      <c r="IQ964" s="71"/>
      <c r="IR964" s="71"/>
      <c r="IS964" s="71"/>
      <c r="IT964" s="71"/>
      <c r="IU964" s="71"/>
      <c r="IV964" s="71"/>
      <c r="IW964" s="71"/>
    </row>
    <row r="965" customFormat="false" ht="12.75" hidden="false" customHeight="false" outlineLevel="0" collapsed="false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AZ965" s="71"/>
      <c r="BA965" s="71"/>
      <c r="BB965" s="71"/>
      <c r="BC965" s="71"/>
      <c r="BD965" s="71"/>
      <c r="BE965" s="71"/>
      <c r="BF965" s="71"/>
      <c r="BG965" s="71"/>
      <c r="BH965" s="71"/>
      <c r="BI965" s="71"/>
      <c r="BJ965" s="71"/>
      <c r="BK965" s="71"/>
      <c r="BL965" s="71"/>
      <c r="BM965" s="71"/>
      <c r="BN965" s="71"/>
      <c r="BO965" s="71"/>
      <c r="BP965" s="71"/>
      <c r="BQ965" s="71"/>
      <c r="BR965" s="71"/>
      <c r="BS965" s="71"/>
      <c r="BT965" s="71"/>
      <c r="BU965" s="71"/>
      <c r="BV965" s="71"/>
      <c r="BW965" s="71"/>
      <c r="BX965" s="71"/>
      <c r="BY965" s="71"/>
      <c r="BZ965" s="71"/>
      <c r="CA965" s="71"/>
      <c r="CB965" s="71"/>
      <c r="CC965" s="71"/>
      <c r="CD965" s="71"/>
      <c r="CE965" s="71"/>
      <c r="CF965" s="71"/>
      <c r="CG965" s="71"/>
      <c r="CH965" s="71"/>
      <c r="CI965" s="71"/>
      <c r="CJ965" s="71"/>
      <c r="CK965" s="71"/>
      <c r="CL965" s="71"/>
      <c r="CM965" s="71"/>
      <c r="CN965" s="71"/>
      <c r="CO965" s="71"/>
      <c r="CP965" s="71"/>
      <c r="CQ965" s="71"/>
      <c r="CR965" s="71"/>
      <c r="CS965" s="71"/>
      <c r="CT965" s="71"/>
      <c r="CU965" s="71"/>
      <c r="CV965" s="71"/>
      <c r="CW965" s="71"/>
      <c r="CX965" s="71"/>
      <c r="CY965" s="71"/>
      <c r="CZ965" s="71"/>
      <c r="DA965" s="71"/>
      <c r="DB965" s="71"/>
      <c r="DC965" s="71"/>
      <c r="DD965" s="71"/>
      <c r="DE965" s="71"/>
      <c r="DF965" s="71"/>
      <c r="DG965" s="71"/>
      <c r="DH965" s="71"/>
      <c r="DI965" s="71"/>
      <c r="DJ965" s="71"/>
      <c r="DK965" s="71"/>
      <c r="DL965" s="71"/>
      <c r="DM965" s="71"/>
      <c r="DN965" s="71"/>
      <c r="DO965" s="71"/>
      <c r="DP965" s="71"/>
      <c r="DQ965" s="71"/>
      <c r="DR965" s="71"/>
      <c r="DS965" s="71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  <c r="IJ965" s="71"/>
      <c r="IK965" s="71"/>
      <c r="IL965" s="71"/>
      <c r="IM965" s="71"/>
      <c r="IN965" s="71"/>
      <c r="IO965" s="71"/>
      <c r="IP965" s="71"/>
      <c r="IQ965" s="71"/>
      <c r="IR965" s="71"/>
      <c r="IS965" s="71"/>
      <c r="IT965" s="71"/>
      <c r="IU965" s="71"/>
      <c r="IV965" s="71"/>
      <c r="IW965" s="71"/>
    </row>
    <row r="966" customFormat="false" ht="12.75" hidden="false" customHeight="false" outlineLevel="0" collapsed="false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  <c r="BC966" s="71"/>
      <c r="BD966" s="71"/>
      <c r="BE966" s="71"/>
      <c r="BF966" s="71"/>
      <c r="BG966" s="71"/>
      <c r="BH966" s="71"/>
      <c r="BI966" s="71"/>
      <c r="BJ966" s="71"/>
      <c r="BK966" s="71"/>
      <c r="BL966" s="71"/>
      <c r="BM966" s="71"/>
      <c r="BN966" s="71"/>
      <c r="BO966" s="71"/>
      <c r="BP966" s="71"/>
      <c r="BQ966" s="71"/>
      <c r="BR966" s="71"/>
      <c r="BS966" s="71"/>
      <c r="BT966" s="71"/>
      <c r="BU966" s="71"/>
      <c r="BV966" s="71"/>
      <c r="BW966" s="71"/>
      <c r="BX966" s="71"/>
      <c r="BY966" s="71"/>
      <c r="BZ966" s="71"/>
      <c r="CA966" s="71"/>
      <c r="CB966" s="71"/>
      <c r="CC966" s="71"/>
      <c r="CD966" s="71"/>
      <c r="CE966" s="71"/>
      <c r="CF966" s="71"/>
      <c r="CG966" s="71"/>
      <c r="CH966" s="71"/>
      <c r="CI966" s="71"/>
      <c r="CJ966" s="71"/>
      <c r="CK966" s="71"/>
      <c r="CL966" s="71"/>
      <c r="CM966" s="71"/>
      <c r="CN966" s="71"/>
      <c r="CO966" s="71"/>
      <c r="CP966" s="71"/>
      <c r="CQ966" s="71"/>
      <c r="CR966" s="71"/>
      <c r="CS966" s="71"/>
      <c r="CT966" s="71"/>
      <c r="CU966" s="71"/>
      <c r="CV966" s="71"/>
      <c r="CW966" s="71"/>
      <c r="CX966" s="71"/>
      <c r="CY966" s="71"/>
      <c r="CZ966" s="71"/>
      <c r="DA966" s="71"/>
      <c r="DB966" s="71"/>
      <c r="DC966" s="71"/>
      <c r="DD966" s="71"/>
      <c r="DE966" s="71"/>
      <c r="DF966" s="71"/>
      <c r="DG966" s="71"/>
      <c r="DH966" s="71"/>
      <c r="DI966" s="71"/>
      <c r="DJ966" s="71"/>
      <c r="DK966" s="71"/>
      <c r="DL966" s="71"/>
      <c r="DM966" s="71"/>
      <c r="DN966" s="71"/>
      <c r="DO966" s="71"/>
      <c r="DP966" s="71"/>
      <c r="DQ966" s="71"/>
      <c r="DR966" s="71"/>
      <c r="DS966" s="71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  <c r="IJ966" s="71"/>
      <c r="IK966" s="71"/>
      <c r="IL966" s="71"/>
      <c r="IM966" s="71"/>
      <c r="IN966" s="71"/>
      <c r="IO966" s="71"/>
      <c r="IP966" s="71"/>
      <c r="IQ966" s="71"/>
      <c r="IR966" s="71"/>
      <c r="IS966" s="71"/>
      <c r="IT966" s="71"/>
      <c r="IU966" s="71"/>
      <c r="IV966" s="71"/>
      <c r="IW966" s="71"/>
    </row>
    <row r="967" customFormat="false" ht="12.75" hidden="false" customHeight="false" outlineLevel="0" collapsed="false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AZ967" s="71"/>
      <c r="BA967" s="71"/>
      <c r="BB967" s="71"/>
      <c r="BC967" s="71"/>
      <c r="BD967" s="71"/>
      <c r="BE967" s="71"/>
      <c r="BF967" s="71"/>
      <c r="BG967" s="71"/>
      <c r="BH967" s="71"/>
      <c r="BI967" s="71"/>
      <c r="BJ967" s="71"/>
      <c r="BK967" s="71"/>
      <c r="BL967" s="71"/>
      <c r="BM967" s="71"/>
      <c r="BN967" s="71"/>
      <c r="BO967" s="71"/>
      <c r="BP967" s="71"/>
      <c r="BQ967" s="71"/>
      <c r="BR967" s="71"/>
      <c r="BS967" s="71"/>
      <c r="BT967" s="71"/>
      <c r="BU967" s="71"/>
      <c r="BV967" s="71"/>
      <c r="BW967" s="71"/>
      <c r="BX967" s="71"/>
      <c r="BY967" s="71"/>
      <c r="BZ967" s="71"/>
      <c r="CA967" s="71"/>
      <c r="CB967" s="71"/>
      <c r="CC967" s="71"/>
      <c r="CD967" s="71"/>
      <c r="CE967" s="71"/>
      <c r="CF967" s="71"/>
      <c r="CG967" s="71"/>
      <c r="CH967" s="71"/>
      <c r="CI967" s="71"/>
      <c r="CJ967" s="71"/>
      <c r="CK967" s="71"/>
      <c r="CL967" s="71"/>
      <c r="CM967" s="71"/>
      <c r="CN967" s="71"/>
      <c r="CO967" s="71"/>
      <c r="CP967" s="71"/>
      <c r="CQ967" s="71"/>
      <c r="CR967" s="71"/>
      <c r="CS967" s="71"/>
      <c r="CT967" s="71"/>
      <c r="CU967" s="71"/>
      <c r="CV967" s="71"/>
      <c r="CW967" s="71"/>
      <c r="CX967" s="71"/>
      <c r="CY967" s="71"/>
      <c r="CZ967" s="71"/>
      <c r="DA967" s="71"/>
      <c r="DB967" s="71"/>
      <c r="DC967" s="71"/>
      <c r="DD967" s="71"/>
      <c r="DE967" s="71"/>
      <c r="DF967" s="71"/>
      <c r="DG967" s="71"/>
      <c r="DH967" s="71"/>
      <c r="DI967" s="71"/>
      <c r="DJ967" s="71"/>
      <c r="DK967" s="71"/>
      <c r="DL967" s="71"/>
      <c r="DM967" s="71"/>
      <c r="DN967" s="71"/>
      <c r="DO967" s="71"/>
      <c r="DP967" s="71"/>
      <c r="DQ967" s="71"/>
      <c r="DR967" s="71"/>
      <c r="DS967" s="71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  <c r="IJ967" s="71"/>
      <c r="IK967" s="71"/>
      <c r="IL967" s="71"/>
      <c r="IM967" s="71"/>
      <c r="IN967" s="71"/>
      <c r="IO967" s="71"/>
      <c r="IP967" s="71"/>
      <c r="IQ967" s="71"/>
      <c r="IR967" s="71"/>
      <c r="IS967" s="71"/>
      <c r="IT967" s="71"/>
      <c r="IU967" s="71"/>
      <c r="IV967" s="71"/>
      <c r="IW967" s="71"/>
    </row>
    <row r="968" customFormat="false" ht="12.75" hidden="false" customHeight="false" outlineLevel="0" collapsed="false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  <c r="BH968" s="71"/>
      <c r="BI968" s="71"/>
      <c r="BJ968" s="71"/>
      <c r="BK968" s="71"/>
      <c r="BL968" s="71"/>
      <c r="BM968" s="71"/>
      <c r="BN968" s="71"/>
      <c r="BO968" s="71"/>
      <c r="BP968" s="71"/>
      <c r="BQ968" s="71"/>
      <c r="BR968" s="71"/>
      <c r="BS968" s="71"/>
      <c r="BT968" s="71"/>
      <c r="BU968" s="71"/>
      <c r="BV968" s="71"/>
      <c r="BW968" s="71"/>
      <c r="BX968" s="71"/>
      <c r="BY968" s="71"/>
      <c r="BZ968" s="71"/>
      <c r="CA968" s="71"/>
      <c r="CB968" s="71"/>
      <c r="CC968" s="71"/>
      <c r="CD968" s="71"/>
      <c r="CE968" s="71"/>
      <c r="CF968" s="71"/>
      <c r="CG968" s="71"/>
      <c r="CH968" s="71"/>
      <c r="CI968" s="71"/>
      <c r="CJ968" s="71"/>
      <c r="CK968" s="71"/>
      <c r="CL968" s="71"/>
      <c r="CM968" s="71"/>
      <c r="CN968" s="71"/>
      <c r="CO968" s="71"/>
      <c r="CP968" s="71"/>
      <c r="CQ968" s="71"/>
      <c r="CR968" s="71"/>
      <c r="CS968" s="71"/>
      <c r="CT968" s="71"/>
      <c r="CU968" s="71"/>
      <c r="CV968" s="71"/>
      <c r="CW968" s="71"/>
      <c r="CX968" s="71"/>
      <c r="CY968" s="71"/>
      <c r="CZ968" s="71"/>
      <c r="DA968" s="71"/>
      <c r="DB968" s="71"/>
      <c r="DC968" s="71"/>
      <c r="DD968" s="71"/>
      <c r="DE968" s="71"/>
      <c r="DF968" s="71"/>
      <c r="DG968" s="71"/>
      <c r="DH968" s="71"/>
      <c r="DI968" s="71"/>
      <c r="DJ968" s="71"/>
      <c r="DK968" s="71"/>
      <c r="DL968" s="71"/>
      <c r="DM968" s="71"/>
      <c r="DN968" s="71"/>
      <c r="DO968" s="71"/>
      <c r="DP968" s="71"/>
      <c r="DQ968" s="71"/>
      <c r="DR968" s="71"/>
      <c r="DS968" s="71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  <c r="IJ968" s="71"/>
      <c r="IK968" s="71"/>
      <c r="IL968" s="71"/>
      <c r="IM968" s="71"/>
      <c r="IN968" s="71"/>
      <c r="IO968" s="71"/>
      <c r="IP968" s="71"/>
      <c r="IQ968" s="71"/>
      <c r="IR968" s="71"/>
      <c r="IS968" s="71"/>
      <c r="IT968" s="71"/>
      <c r="IU968" s="71"/>
      <c r="IV968" s="71"/>
      <c r="IW968" s="71"/>
    </row>
    <row r="969" customFormat="false" ht="12.75" hidden="false" customHeight="false" outlineLevel="0" collapsed="false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  <c r="BC969" s="71"/>
      <c r="BD969" s="71"/>
      <c r="BE969" s="71"/>
      <c r="BF969" s="71"/>
      <c r="BG969" s="71"/>
      <c r="BH969" s="71"/>
      <c r="BI969" s="71"/>
      <c r="BJ969" s="71"/>
      <c r="BK969" s="71"/>
      <c r="BL969" s="71"/>
      <c r="BM969" s="71"/>
      <c r="BN969" s="71"/>
      <c r="BO969" s="71"/>
      <c r="BP969" s="71"/>
      <c r="BQ969" s="71"/>
      <c r="BR969" s="71"/>
      <c r="BS969" s="71"/>
      <c r="BT969" s="71"/>
      <c r="BU969" s="71"/>
      <c r="BV969" s="71"/>
      <c r="BW969" s="71"/>
      <c r="BX969" s="71"/>
      <c r="BY969" s="71"/>
      <c r="BZ969" s="71"/>
      <c r="CA969" s="71"/>
      <c r="CB969" s="71"/>
      <c r="CC969" s="71"/>
      <c r="CD969" s="71"/>
      <c r="CE969" s="71"/>
      <c r="CF969" s="71"/>
      <c r="CG969" s="71"/>
      <c r="CH969" s="71"/>
      <c r="CI969" s="71"/>
      <c r="CJ969" s="71"/>
      <c r="CK969" s="71"/>
      <c r="CL969" s="71"/>
      <c r="CM969" s="71"/>
      <c r="CN969" s="71"/>
      <c r="CO969" s="71"/>
      <c r="CP969" s="71"/>
      <c r="CQ969" s="71"/>
      <c r="CR969" s="71"/>
      <c r="CS969" s="71"/>
      <c r="CT969" s="71"/>
      <c r="CU969" s="71"/>
      <c r="CV969" s="71"/>
      <c r="CW969" s="71"/>
      <c r="CX969" s="71"/>
      <c r="CY969" s="71"/>
      <c r="CZ969" s="71"/>
      <c r="DA969" s="71"/>
      <c r="DB969" s="71"/>
      <c r="DC969" s="71"/>
      <c r="DD969" s="71"/>
      <c r="DE969" s="71"/>
      <c r="DF969" s="71"/>
      <c r="DG969" s="71"/>
      <c r="DH969" s="71"/>
      <c r="DI969" s="71"/>
      <c r="DJ969" s="71"/>
      <c r="DK969" s="71"/>
      <c r="DL969" s="71"/>
      <c r="DM969" s="71"/>
      <c r="DN969" s="71"/>
      <c r="DO969" s="71"/>
      <c r="DP969" s="71"/>
      <c r="DQ969" s="71"/>
      <c r="DR969" s="71"/>
      <c r="DS969" s="71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  <c r="IJ969" s="71"/>
      <c r="IK969" s="71"/>
      <c r="IL969" s="71"/>
      <c r="IM969" s="71"/>
      <c r="IN969" s="71"/>
      <c r="IO969" s="71"/>
      <c r="IP969" s="71"/>
      <c r="IQ969" s="71"/>
      <c r="IR969" s="71"/>
      <c r="IS969" s="71"/>
      <c r="IT969" s="71"/>
      <c r="IU969" s="71"/>
      <c r="IV969" s="71"/>
      <c r="IW969" s="71"/>
    </row>
    <row r="970" customFormat="false" ht="12.75" hidden="false" customHeight="false" outlineLevel="0" collapsed="false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AZ970" s="71"/>
      <c r="BA970" s="71"/>
      <c r="BB970" s="71"/>
      <c r="BC970" s="71"/>
      <c r="BD970" s="71"/>
      <c r="BE970" s="71"/>
      <c r="BF970" s="71"/>
      <c r="BG970" s="71"/>
      <c r="BH970" s="71"/>
      <c r="BI970" s="71"/>
      <c r="BJ970" s="71"/>
      <c r="BK970" s="71"/>
      <c r="BL970" s="71"/>
      <c r="BM970" s="71"/>
      <c r="BN970" s="71"/>
      <c r="BO970" s="71"/>
      <c r="BP970" s="71"/>
      <c r="BQ970" s="71"/>
      <c r="BR970" s="71"/>
      <c r="BS970" s="71"/>
      <c r="BT970" s="71"/>
      <c r="BU970" s="71"/>
      <c r="BV970" s="71"/>
      <c r="BW970" s="71"/>
      <c r="BX970" s="71"/>
      <c r="BY970" s="71"/>
      <c r="BZ970" s="71"/>
      <c r="CA970" s="71"/>
      <c r="CB970" s="71"/>
      <c r="CC970" s="71"/>
      <c r="CD970" s="71"/>
      <c r="CE970" s="71"/>
      <c r="CF970" s="71"/>
      <c r="CG970" s="71"/>
      <c r="CH970" s="71"/>
      <c r="CI970" s="71"/>
      <c r="CJ970" s="71"/>
      <c r="CK970" s="71"/>
      <c r="CL970" s="71"/>
      <c r="CM970" s="71"/>
      <c r="CN970" s="71"/>
      <c r="CO970" s="71"/>
      <c r="CP970" s="71"/>
      <c r="CQ970" s="71"/>
      <c r="CR970" s="71"/>
      <c r="CS970" s="71"/>
      <c r="CT970" s="71"/>
      <c r="CU970" s="71"/>
      <c r="CV970" s="71"/>
      <c r="CW970" s="71"/>
      <c r="CX970" s="71"/>
      <c r="CY970" s="71"/>
      <c r="CZ970" s="71"/>
      <c r="DA970" s="71"/>
      <c r="DB970" s="71"/>
      <c r="DC970" s="71"/>
      <c r="DD970" s="71"/>
      <c r="DE970" s="71"/>
      <c r="DF970" s="71"/>
      <c r="DG970" s="71"/>
      <c r="DH970" s="71"/>
      <c r="DI970" s="71"/>
      <c r="DJ970" s="71"/>
      <c r="DK970" s="71"/>
      <c r="DL970" s="71"/>
      <c r="DM970" s="71"/>
      <c r="DN970" s="71"/>
      <c r="DO970" s="71"/>
      <c r="DP970" s="71"/>
      <c r="DQ970" s="71"/>
      <c r="DR970" s="71"/>
      <c r="DS970" s="71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  <c r="IJ970" s="71"/>
      <c r="IK970" s="71"/>
      <c r="IL970" s="71"/>
      <c r="IM970" s="71"/>
      <c r="IN970" s="71"/>
      <c r="IO970" s="71"/>
      <c r="IP970" s="71"/>
      <c r="IQ970" s="71"/>
      <c r="IR970" s="71"/>
      <c r="IS970" s="71"/>
      <c r="IT970" s="71"/>
      <c r="IU970" s="71"/>
      <c r="IV970" s="71"/>
      <c r="IW970" s="71"/>
    </row>
    <row r="971" customFormat="false" ht="12.75" hidden="false" customHeight="false" outlineLevel="0" collapsed="false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AZ971" s="71"/>
      <c r="BA971" s="71"/>
      <c r="BB971" s="71"/>
      <c r="BC971" s="71"/>
      <c r="BD971" s="71"/>
      <c r="BE971" s="71"/>
      <c r="BF971" s="71"/>
      <c r="BG971" s="71"/>
      <c r="BH971" s="71"/>
      <c r="BI971" s="71"/>
      <c r="BJ971" s="71"/>
      <c r="BK971" s="71"/>
      <c r="BL971" s="71"/>
      <c r="BM971" s="71"/>
      <c r="BN971" s="71"/>
      <c r="BO971" s="71"/>
      <c r="BP971" s="71"/>
      <c r="BQ971" s="71"/>
      <c r="BR971" s="71"/>
      <c r="BS971" s="71"/>
      <c r="BT971" s="71"/>
      <c r="BU971" s="71"/>
      <c r="BV971" s="71"/>
      <c r="BW971" s="71"/>
      <c r="BX971" s="71"/>
      <c r="BY971" s="71"/>
      <c r="BZ971" s="71"/>
      <c r="CA971" s="71"/>
      <c r="CB971" s="71"/>
      <c r="CC971" s="71"/>
      <c r="CD971" s="71"/>
      <c r="CE971" s="71"/>
      <c r="CF971" s="71"/>
      <c r="CG971" s="71"/>
      <c r="CH971" s="71"/>
      <c r="CI971" s="71"/>
      <c r="CJ971" s="71"/>
      <c r="CK971" s="71"/>
      <c r="CL971" s="71"/>
      <c r="CM971" s="71"/>
      <c r="CN971" s="71"/>
      <c r="CO971" s="71"/>
      <c r="CP971" s="71"/>
      <c r="CQ971" s="71"/>
      <c r="CR971" s="71"/>
      <c r="CS971" s="71"/>
      <c r="CT971" s="71"/>
      <c r="CU971" s="71"/>
      <c r="CV971" s="71"/>
      <c r="CW971" s="71"/>
      <c r="CX971" s="71"/>
      <c r="CY971" s="71"/>
      <c r="CZ971" s="71"/>
      <c r="DA971" s="71"/>
      <c r="DB971" s="71"/>
      <c r="DC971" s="71"/>
      <c r="DD971" s="71"/>
      <c r="DE971" s="71"/>
      <c r="DF971" s="71"/>
      <c r="DG971" s="71"/>
      <c r="DH971" s="71"/>
      <c r="DI971" s="71"/>
      <c r="DJ971" s="71"/>
      <c r="DK971" s="71"/>
      <c r="DL971" s="71"/>
      <c r="DM971" s="71"/>
      <c r="DN971" s="71"/>
      <c r="DO971" s="71"/>
      <c r="DP971" s="71"/>
      <c r="DQ971" s="71"/>
      <c r="DR971" s="71"/>
      <c r="DS971" s="71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  <c r="IJ971" s="71"/>
      <c r="IK971" s="71"/>
      <c r="IL971" s="71"/>
      <c r="IM971" s="71"/>
      <c r="IN971" s="71"/>
      <c r="IO971" s="71"/>
      <c r="IP971" s="71"/>
      <c r="IQ971" s="71"/>
      <c r="IR971" s="71"/>
      <c r="IS971" s="71"/>
      <c r="IT971" s="71"/>
      <c r="IU971" s="71"/>
      <c r="IV971" s="71"/>
      <c r="IW971" s="71"/>
    </row>
    <row r="972" customFormat="false" ht="12.75" hidden="false" customHeight="false" outlineLevel="0" collapsed="false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AZ972" s="71"/>
      <c r="BA972" s="71"/>
      <c r="BB972" s="71"/>
      <c r="BC972" s="71"/>
      <c r="BD972" s="71"/>
      <c r="BE972" s="71"/>
      <c r="BF972" s="71"/>
      <c r="BG972" s="71"/>
      <c r="BH972" s="71"/>
      <c r="BI972" s="71"/>
      <c r="BJ972" s="71"/>
      <c r="BK972" s="71"/>
      <c r="BL972" s="71"/>
      <c r="BM972" s="71"/>
      <c r="BN972" s="71"/>
      <c r="BO972" s="71"/>
      <c r="BP972" s="71"/>
      <c r="BQ972" s="71"/>
      <c r="BR972" s="71"/>
      <c r="BS972" s="71"/>
      <c r="BT972" s="71"/>
      <c r="BU972" s="71"/>
      <c r="BV972" s="71"/>
      <c r="BW972" s="71"/>
      <c r="BX972" s="71"/>
      <c r="BY972" s="71"/>
      <c r="BZ972" s="71"/>
      <c r="CA972" s="71"/>
      <c r="CB972" s="71"/>
      <c r="CC972" s="71"/>
      <c r="CD972" s="71"/>
      <c r="CE972" s="71"/>
      <c r="CF972" s="71"/>
      <c r="CG972" s="71"/>
      <c r="CH972" s="71"/>
      <c r="CI972" s="71"/>
      <c r="CJ972" s="71"/>
      <c r="CK972" s="71"/>
      <c r="CL972" s="71"/>
      <c r="CM972" s="71"/>
      <c r="CN972" s="71"/>
      <c r="CO972" s="71"/>
      <c r="CP972" s="71"/>
      <c r="CQ972" s="71"/>
      <c r="CR972" s="71"/>
      <c r="CS972" s="71"/>
      <c r="CT972" s="71"/>
      <c r="CU972" s="71"/>
      <c r="CV972" s="71"/>
      <c r="CW972" s="71"/>
      <c r="CX972" s="71"/>
      <c r="CY972" s="71"/>
      <c r="CZ972" s="71"/>
      <c r="DA972" s="71"/>
      <c r="DB972" s="71"/>
      <c r="DC972" s="71"/>
      <c r="DD972" s="71"/>
      <c r="DE972" s="71"/>
      <c r="DF972" s="71"/>
      <c r="DG972" s="71"/>
      <c r="DH972" s="71"/>
      <c r="DI972" s="71"/>
      <c r="DJ972" s="71"/>
      <c r="DK972" s="71"/>
      <c r="DL972" s="71"/>
      <c r="DM972" s="71"/>
      <c r="DN972" s="71"/>
      <c r="DO972" s="71"/>
      <c r="DP972" s="71"/>
      <c r="DQ972" s="71"/>
      <c r="DR972" s="71"/>
      <c r="DS972" s="71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  <c r="IJ972" s="71"/>
      <c r="IK972" s="71"/>
      <c r="IL972" s="71"/>
      <c r="IM972" s="71"/>
      <c r="IN972" s="71"/>
      <c r="IO972" s="71"/>
      <c r="IP972" s="71"/>
      <c r="IQ972" s="71"/>
      <c r="IR972" s="71"/>
      <c r="IS972" s="71"/>
      <c r="IT972" s="71"/>
      <c r="IU972" s="71"/>
      <c r="IV972" s="71"/>
      <c r="IW972" s="71"/>
    </row>
    <row r="973" customFormat="false" ht="12.75" hidden="false" customHeight="false" outlineLevel="0" collapsed="false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AZ973" s="71"/>
      <c r="BA973" s="71"/>
      <c r="BB973" s="71"/>
      <c r="BC973" s="71"/>
      <c r="BD973" s="71"/>
      <c r="BE973" s="71"/>
      <c r="BF973" s="71"/>
      <c r="BG973" s="71"/>
      <c r="BH973" s="71"/>
      <c r="BI973" s="71"/>
      <c r="BJ973" s="71"/>
      <c r="BK973" s="71"/>
      <c r="BL973" s="71"/>
      <c r="BM973" s="71"/>
      <c r="BN973" s="71"/>
      <c r="BO973" s="71"/>
      <c r="BP973" s="71"/>
      <c r="BQ973" s="71"/>
      <c r="BR973" s="71"/>
      <c r="BS973" s="71"/>
      <c r="BT973" s="71"/>
      <c r="BU973" s="71"/>
      <c r="BV973" s="71"/>
      <c r="BW973" s="71"/>
      <c r="BX973" s="71"/>
      <c r="BY973" s="71"/>
      <c r="BZ973" s="71"/>
      <c r="CA973" s="71"/>
      <c r="CB973" s="71"/>
      <c r="CC973" s="71"/>
      <c r="CD973" s="71"/>
      <c r="CE973" s="71"/>
      <c r="CF973" s="71"/>
      <c r="CG973" s="71"/>
      <c r="CH973" s="71"/>
      <c r="CI973" s="71"/>
      <c r="CJ973" s="71"/>
      <c r="CK973" s="71"/>
      <c r="CL973" s="71"/>
      <c r="CM973" s="71"/>
      <c r="CN973" s="71"/>
      <c r="CO973" s="71"/>
      <c r="CP973" s="71"/>
      <c r="CQ973" s="71"/>
      <c r="CR973" s="71"/>
      <c r="CS973" s="71"/>
      <c r="CT973" s="71"/>
      <c r="CU973" s="71"/>
      <c r="CV973" s="71"/>
      <c r="CW973" s="71"/>
      <c r="CX973" s="71"/>
      <c r="CY973" s="71"/>
      <c r="CZ973" s="71"/>
      <c r="DA973" s="71"/>
      <c r="DB973" s="71"/>
      <c r="DC973" s="71"/>
      <c r="DD973" s="71"/>
      <c r="DE973" s="71"/>
      <c r="DF973" s="71"/>
      <c r="DG973" s="71"/>
      <c r="DH973" s="71"/>
      <c r="DI973" s="71"/>
      <c r="DJ973" s="71"/>
      <c r="DK973" s="71"/>
      <c r="DL973" s="71"/>
      <c r="DM973" s="71"/>
      <c r="DN973" s="71"/>
      <c r="DO973" s="71"/>
      <c r="DP973" s="71"/>
      <c r="DQ973" s="71"/>
      <c r="DR973" s="71"/>
      <c r="DS973" s="71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  <c r="IJ973" s="71"/>
      <c r="IK973" s="71"/>
      <c r="IL973" s="71"/>
      <c r="IM973" s="71"/>
      <c r="IN973" s="71"/>
      <c r="IO973" s="71"/>
      <c r="IP973" s="71"/>
      <c r="IQ973" s="71"/>
      <c r="IR973" s="71"/>
      <c r="IS973" s="71"/>
      <c r="IT973" s="71"/>
      <c r="IU973" s="71"/>
      <c r="IV973" s="71"/>
      <c r="IW973" s="71"/>
    </row>
    <row r="974" customFormat="false" ht="12.75" hidden="false" customHeight="false" outlineLevel="0" collapsed="false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AZ974" s="71"/>
      <c r="BA974" s="71"/>
      <c r="BB974" s="71"/>
      <c r="BC974" s="71"/>
      <c r="BD974" s="71"/>
      <c r="BE974" s="71"/>
      <c r="BF974" s="71"/>
      <c r="BG974" s="71"/>
      <c r="BH974" s="71"/>
      <c r="BI974" s="71"/>
      <c r="BJ974" s="71"/>
      <c r="BK974" s="71"/>
      <c r="BL974" s="71"/>
      <c r="BM974" s="71"/>
      <c r="BN974" s="71"/>
      <c r="BO974" s="71"/>
      <c r="BP974" s="71"/>
      <c r="BQ974" s="71"/>
      <c r="BR974" s="71"/>
      <c r="BS974" s="71"/>
      <c r="BT974" s="71"/>
      <c r="BU974" s="71"/>
      <c r="BV974" s="71"/>
      <c r="BW974" s="71"/>
      <c r="BX974" s="71"/>
      <c r="BY974" s="71"/>
      <c r="BZ974" s="71"/>
      <c r="CA974" s="71"/>
      <c r="CB974" s="71"/>
      <c r="CC974" s="71"/>
      <c r="CD974" s="71"/>
      <c r="CE974" s="71"/>
      <c r="CF974" s="71"/>
      <c r="CG974" s="71"/>
      <c r="CH974" s="71"/>
      <c r="CI974" s="71"/>
      <c r="CJ974" s="71"/>
      <c r="CK974" s="71"/>
      <c r="CL974" s="71"/>
      <c r="CM974" s="71"/>
      <c r="CN974" s="71"/>
      <c r="CO974" s="71"/>
      <c r="CP974" s="71"/>
      <c r="CQ974" s="71"/>
      <c r="CR974" s="71"/>
      <c r="CS974" s="71"/>
      <c r="CT974" s="71"/>
      <c r="CU974" s="71"/>
      <c r="CV974" s="71"/>
      <c r="CW974" s="71"/>
      <c r="CX974" s="71"/>
      <c r="CY974" s="71"/>
      <c r="CZ974" s="71"/>
      <c r="DA974" s="71"/>
      <c r="DB974" s="71"/>
      <c r="DC974" s="71"/>
      <c r="DD974" s="71"/>
      <c r="DE974" s="71"/>
      <c r="DF974" s="71"/>
      <c r="DG974" s="71"/>
      <c r="DH974" s="71"/>
      <c r="DI974" s="71"/>
      <c r="DJ974" s="71"/>
      <c r="DK974" s="71"/>
      <c r="DL974" s="71"/>
      <c r="DM974" s="71"/>
      <c r="DN974" s="71"/>
      <c r="DO974" s="71"/>
      <c r="DP974" s="71"/>
      <c r="DQ974" s="71"/>
      <c r="DR974" s="71"/>
      <c r="DS974" s="71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  <c r="IJ974" s="71"/>
      <c r="IK974" s="71"/>
      <c r="IL974" s="71"/>
      <c r="IM974" s="71"/>
      <c r="IN974" s="71"/>
      <c r="IO974" s="71"/>
      <c r="IP974" s="71"/>
      <c r="IQ974" s="71"/>
      <c r="IR974" s="71"/>
      <c r="IS974" s="71"/>
      <c r="IT974" s="71"/>
      <c r="IU974" s="71"/>
      <c r="IV974" s="71"/>
      <c r="IW974" s="71"/>
    </row>
    <row r="975" customFormat="false" ht="12.75" hidden="false" customHeight="false" outlineLevel="0" collapsed="false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AZ975" s="71"/>
      <c r="BA975" s="71"/>
      <c r="BB975" s="71"/>
      <c r="BC975" s="71"/>
      <c r="BD975" s="71"/>
      <c r="BE975" s="71"/>
      <c r="BF975" s="71"/>
      <c r="BG975" s="71"/>
      <c r="BH975" s="71"/>
      <c r="BI975" s="71"/>
      <c r="BJ975" s="71"/>
      <c r="BK975" s="71"/>
      <c r="BL975" s="71"/>
      <c r="BM975" s="71"/>
      <c r="BN975" s="71"/>
      <c r="BO975" s="71"/>
      <c r="BP975" s="71"/>
      <c r="BQ975" s="71"/>
      <c r="BR975" s="71"/>
      <c r="BS975" s="71"/>
      <c r="BT975" s="71"/>
      <c r="BU975" s="71"/>
      <c r="BV975" s="71"/>
      <c r="BW975" s="71"/>
      <c r="BX975" s="71"/>
      <c r="BY975" s="71"/>
      <c r="BZ975" s="71"/>
      <c r="CA975" s="71"/>
      <c r="CB975" s="71"/>
      <c r="CC975" s="71"/>
      <c r="CD975" s="71"/>
      <c r="CE975" s="71"/>
      <c r="CF975" s="71"/>
      <c r="CG975" s="71"/>
      <c r="CH975" s="71"/>
      <c r="CI975" s="71"/>
      <c r="CJ975" s="71"/>
      <c r="CK975" s="71"/>
      <c r="CL975" s="71"/>
      <c r="CM975" s="71"/>
      <c r="CN975" s="71"/>
      <c r="CO975" s="71"/>
      <c r="CP975" s="71"/>
      <c r="CQ975" s="71"/>
      <c r="CR975" s="71"/>
      <c r="CS975" s="71"/>
      <c r="CT975" s="71"/>
      <c r="CU975" s="71"/>
      <c r="CV975" s="71"/>
      <c r="CW975" s="71"/>
      <c r="CX975" s="71"/>
      <c r="CY975" s="71"/>
      <c r="CZ975" s="71"/>
      <c r="DA975" s="71"/>
      <c r="DB975" s="71"/>
      <c r="DC975" s="71"/>
      <c r="DD975" s="71"/>
      <c r="DE975" s="71"/>
      <c r="DF975" s="71"/>
      <c r="DG975" s="71"/>
      <c r="DH975" s="71"/>
      <c r="DI975" s="71"/>
      <c r="DJ975" s="71"/>
      <c r="DK975" s="71"/>
      <c r="DL975" s="71"/>
      <c r="DM975" s="71"/>
      <c r="DN975" s="71"/>
      <c r="DO975" s="71"/>
      <c r="DP975" s="71"/>
      <c r="DQ975" s="71"/>
      <c r="DR975" s="71"/>
      <c r="DS975" s="71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  <c r="IJ975" s="71"/>
      <c r="IK975" s="71"/>
      <c r="IL975" s="71"/>
      <c r="IM975" s="71"/>
      <c r="IN975" s="71"/>
      <c r="IO975" s="71"/>
      <c r="IP975" s="71"/>
      <c r="IQ975" s="71"/>
      <c r="IR975" s="71"/>
      <c r="IS975" s="71"/>
      <c r="IT975" s="71"/>
      <c r="IU975" s="71"/>
      <c r="IV975" s="71"/>
      <c r="IW975" s="71"/>
    </row>
    <row r="976" customFormat="false" ht="12.75" hidden="false" customHeight="false" outlineLevel="0" collapsed="false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AZ976" s="71"/>
      <c r="BA976" s="71"/>
      <c r="BB976" s="71"/>
      <c r="BC976" s="71"/>
      <c r="BD976" s="71"/>
      <c r="BE976" s="71"/>
      <c r="BF976" s="71"/>
      <c r="BG976" s="71"/>
      <c r="BH976" s="71"/>
      <c r="BI976" s="71"/>
      <c r="BJ976" s="71"/>
      <c r="BK976" s="71"/>
      <c r="BL976" s="71"/>
      <c r="BM976" s="71"/>
      <c r="BN976" s="71"/>
      <c r="BO976" s="71"/>
      <c r="BP976" s="71"/>
      <c r="BQ976" s="71"/>
      <c r="BR976" s="71"/>
      <c r="BS976" s="71"/>
      <c r="BT976" s="71"/>
      <c r="BU976" s="71"/>
      <c r="BV976" s="71"/>
      <c r="BW976" s="71"/>
      <c r="BX976" s="71"/>
      <c r="BY976" s="71"/>
      <c r="BZ976" s="71"/>
      <c r="CA976" s="71"/>
      <c r="CB976" s="71"/>
      <c r="CC976" s="71"/>
      <c r="CD976" s="71"/>
      <c r="CE976" s="71"/>
      <c r="CF976" s="71"/>
      <c r="CG976" s="71"/>
      <c r="CH976" s="71"/>
      <c r="CI976" s="71"/>
      <c r="CJ976" s="71"/>
      <c r="CK976" s="71"/>
      <c r="CL976" s="71"/>
      <c r="CM976" s="71"/>
      <c r="CN976" s="71"/>
      <c r="CO976" s="71"/>
      <c r="CP976" s="71"/>
      <c r="CQ976" s="71"/>
      <c r="CR976" s="71"/>
      <c r="CS976" s="71"/>
      <c r="CT976" s="71"/>
      <c r="CU976" s="71"/>
      <c r="CV976" s="71"/>
      <c r="CW976" s="71"/>
      <c r="CX976" s="71"/>
      <c r="CY976" s="71"/>
      <c r="CZ976" s="71"/>
      <c r="DA976" s="71"/>
      <c r="DB976" s="71"/>
      <c r="DC976" s="71"/>
      <c r="DD976" s="71"/>
      <c r="DE976" s="71"/>
      <c r="DF976" s="71"/>
      <c r="DG976" s="71"/>
      <c r="DH976" s="71"/>
      <c r="DI976" s="71"/>
      <c r="DJ976" s="71"/>
      <c r="DK976" s="71"/>
      <c r="DL976" s="71"/>
      <c r="DM976" s="71"/>
      <c r="DN976" s="71"/>
      <c r="DO976" s="71"/>
      <c r="DP976" s="71"/>
      <c r="DQ976" s="71"/>
      <c r="DR976" s="71"/>
      <c r="DS976" s="71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  <c r="IJ976" s="71"/>
      <c r="IK976" s="71"/>
      <c r="IL976" s="71"/>
      <c r="IM976" s="71"/>
      <c r="IN976" s="71"/>
      <c r="IO976" s="71"/>
      <c r="IP976" s="71"/>
      <c r="IQ976" s="71"/>
      <c r="IR976" s="71"/>
      <c r="IS976" s="71"/>
      <c r="IT976" s="71"/>
      <c r="IU976" s="71"/>
      <c r="IV976" s="71"/>
      <c r="IW976" s="71"/>
    </row>
    <row r="977" customFormat="false" ht="12.75" hidden="false" customHeight="false" outlineLevel="0" collapsed="false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AZ977" s="71"/>
      <c r="BA977" s="71"/>
      <c r="BB977" s="71"/>
      <c r="BC977" s="71"/>
      <c r="BD977" s="71"/>
      <c r="BE977" s="71"/>
      <c r="BF977" s="71"/>
      <c r="BG977" s="71"/>
      <c r="BH977" s="71"/>
      <c r="BI977" s="71"/>
      <c r="BJ977" s="71"/>
      <c r="BK977" s="71"/>
      <c r="BL977" s="71"/>
      <c r="BM977" s="71"/>
      <c r="BN977" s="71"/>
      <c r="BO977" s="71"/>
      <c r="BP977" s="71"/>
      <c r="BQ977" s="71"/>
      <c r="BR977" s="71"/>
      <c r="BS977" s="71"/>
      <c r="BT977" s="71"/>
      <c r="BU977" s="71"/>
      <c r="BV977" s="71"/>
      <c r="BW977" s="71"/>
      <c r="BX977" s="71"/>
      <c r="BY977" s="71"/>
      <c r="BZ977" s="71"/>
      <c r="CA977" s="71"/>
      <c r="CB977" s="71"/>
      <c r="CC977" s="71"/>
      <c r="CD977" s="71"/>
      <c r="CE977" s="71"/>
      <c r="CF977" s="71"/>
      <c r="CG977" s="71"/>
      <c r="CH977" s="71"/>
      <c r="CI977" s="71"/>
      <c r="CJ977" s="71"/>
      <c r="CK977" s="71"/>
      <c r="CL977" s="71"/>
      <c r="CM977" s="71"/>
      <c r="CN977" s="71"/>
      <c r="CO977" s="71"/>
      <c r="CP977" s="71"/>
      <c r="CQ977" s="71"/>
      <c r="CR977" s="71"/>
      <c r="CS977" s="71"/>
      <c r="CT977" s="71"/>
      <c r="CU977" s="71"/>
      <c r="CV977" s="71"/>
      <c r="CW977" s="71"/>
      <c r="CX977" s="71"/>
      <c r="CY977" s="71"/>
      <c r="CZ977" s="71"/>
      <c r="DA977" s="71"/>
      <c r="DB977" s="71"/>
      <c r="DC977" s="71"/>
      <c r="DD977" s="71"/>
      <c r="DE977" s="71"/>
      <c r="DF977" s="71"/>
      <c r="DG977" s="71"/>
      <c r="DH977" s="71"/>
      <c r="DI977" s="71"/>
      <c r="DJ977" s="71"/>
      <c r="DK977" s="71"/>
      <c r="DL977" s="71"/>
      <c r="DM977" s="71"/>
      <c r="DN977" s="71"/>
      <c r="DO977" s="71"/>
      <c r="DP977" s="71"/>
      <c r="DQ977" s="71"/>
      <c r="DR977" s="71"/>
      <c r="DS977" s="71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  <c r="IJ977" s="71"/>
      <c r="IK977" s="71"/>
      <c r="IL977" s="71"/>
      <c r="IM977" s="71"/>
      <c r="IN977" s="71"/>
      <c r="IO977" s="71"/>
      <c r="IP977" s="71"/>
      <c r="IQ977" s="71"/>
      <c r="IR977" s="71"/>
      <c r="IS977" s="71"/>
      <c r="IT977" s="71"/>
      <c r="IU977" s="71"/>
      <c r="IV977" s="71"/>
      <c r="IW977" s="71"/>
    </row>
    <row r="978" customFormat="false" ht="12.75" hidden="false" customHeight="false" outlineLevel="0" collapsed="false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AZ978" s="71"/>
      <c r="BA978" s="71"/>
      <c r="BB978" s="71"/>
      <c r="BC978" s="71"/>
      <c r="BD978" s="71"/>
      <c r="BE978" s="71"/>
      <c r="BF978" s="71"/>
      <c r="BG978" s="71"/>
      <c r="BH978" s="71"/>
      <c r="BI978" s="71"/>
      <c r="BJ978" s="71"/>
      <c r="BK978" s="71"/>
      <c r="BL978" s="71"/>
      <c r="BM978" s="71"/>
      <c r="BN978" s="71"/>
      <c r="BO978" s="71"/>
      <c r="BP978" s="71"/>
      <c r="BQ978" s="71"/>
      <c r="BR978" s="71"/>
      <c r="BS978" s="71"/>
      <c r="BT978" s="71"/>
      <c r="BU978" s="71"/>
      <c r="BV978" s="71"/>
      <c r="BW978" s="71"/>
      <c r="BX978" s="71"/>
      <c r="BY978" s="71"/>
      <c r="BZ978" s="71"/>
      <c r="CA978" s="71"/>
      <c r="CB978" s="71"/>
      <c r="CC978" s="71"/>
      <c r="CD978" s="71"/>
      <c r="CE978" s="71"/>
      <c r="CF978" s="71"/>
      <c r="CG978" s="71"/>
      <c r="CH978" s="71"/>
      <c r="CI978" s="71"/>
      <c r="CJ978" s="71"/>
      <c r="CK978" s="71"/>
      <c r="CL978" s="71"/>
      <c r="CM978" s="71"/>
      <c r="CN978" s="71"/>
      <c r="CO978" s="71"/>
      <c r="CP978" s="71"/>
      <c r="CQ978" s="71"/>
      <c r="CR978" s="71"/>
      <c r="CS978" s="71"/>
      <c r="CT978" s="71"/>
      <c r="CU978" s="71"/>
      <c r="CV978" s="71"/>
      <c r="CW978" s="71"/>
      <c r="CX978" s="71"/>
      <c r="CY978" s="71"/>
      <c r="CZ978" s="71"/>
      <c r="DA978" s="71"/>
      <c r="DB978" s="71"/>
      <c r="DC978" s="71"/>
      <c r="DD978" s="71"/>
      <c r="DE978" s="71"/>
      <c r="DF978" s="71"/>
      <c r="DG978" s="71"/>
      <c r="DH978" s="71"/>
      <c r="DI978" s="71"/>
      <c r="DJ978" s="71"/>
      <c r="DK978" s="71"/>
      <c r="DL978" s="71"/>
      <c r="DM978" s="71"/>
      <c r="DN978" s="71"/>
      <c r="DO978" s="71"/>
      <c r="DP978" s="71"/>
      <c r="DQ978" s="71"/>
      <c r="DR978" s="71"/>
      <c r="DS978" s="71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  <c r="IJ978" s="71"/>
      <c r="IK978" s="71"/>
      <c r="IL978" s="71"/>
      <c r="IM978" s="71"/>
      <c r="IN978" s="71"/>
      <c r="IO978" s="71"/>
      <c r="IP978" s="71"/>
      <c r="IQ978" s="71"/>
      <c r="IR978" s="71"/>
      <c r="IS978" s="71"/>
      <c r="IT978" s="71"/>
      <c r="IU978" s="71"/>
      <c r="IV978" s="71"/>
      <c r="IW978" s="71"/>
    </row>
    <row r="979" customFormat="false" ht="12.75" hidden="false" customHeight="false" outlineLevel="0" collapsed="false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  <c r="BC979" s="71"/>
      <c r="BD979" s="71"/>
      <c r="BE979" s="71"/>
      <c r="BF979" s="71"/>
      <c r="BG979" s="71"/>
      <c r="BH979" s="71"/>
      <c r="BI979" s="71"/>
      <c r="BJ979" s="71"/>
      <c r="BK979" s="71"/>
      <c r="BL979" s="71"/>
      <c r="BM979" s="71"/>
      <c r="BN979" s="71"/>
      <c r="BO979" s="71"/>
      <c r="BP979" s="71"/>
      <c r="BQ979" s="71"/>
      <c r="BR979" s="71"/>
      <c r="BS979" s="71"/>
      <c r="BT979" s="71"/>
      <c r="BU979" s="71"/>
      <c r="BV979" s="71"/>
      <c r="BW979" s="71"/>
      <c r="BX979" s="71"/>
      <c r="BY979" s="71"/>
      <c r="BZ979" s="71"/>
      <c r="CA979" s="71"/>
      <c r="CB979" s="71"/>
      <c r="CC979" s="71"/>
      <c r="CD979" s="71"/>
      <c r="CE979" s="71"/>
      <c r="CF979" s="71"/>
      <c r="CG979" s="71"/>
      <c r="CH979" s="71"/>
      <c r="CI979" s="71"/>
      <c r="CJ979" s="71"/>
      <c r="CK979" s="71"/>
      <c r="CL979" s="71"/>
      <c r="CM979" s="71"/>
      <c r="CN979" s="71"/>
      <c r="CO979" s="71"/>
      <c r="CP979" s="71"/>
      <c r="CQ979" s="71"/>
      <c r="CR979" s="71"/>
      <c r="CS979" s="71"/>
      <c r="CT979" s="71"/>
      <c r="CU979" s="71"/>
      <c r="CV979" s="71"/>
      <c r="CW979" s="71"/>
      <c r="CX979" s="71"/>
      <c r="CY979" s="71"/>
      <c r="CZ979" s="71"/>
      <c r="DA979" s="71"/>
      <c r="DB979" s="71"/>
      <c r="DC979" s="71"/>
      <c r="DD979" s="71"/>
      <c r="DE979" s="71"/>
      <c r="DF979" s="71"/>
      <c r="DG979" s="71"/>
      <c r="DH979" s="71"/>
      <c r="DI979" s="71"/>
      <c r="DJ979" s="71"/>
      <c r="DK979" s="71"/>
      <c r="DL979" s="71"/>
      <c r="DM979" s="71"/>
      <c r="DN979" s="71"/>
      <c r="DO979" s="71"/>
      <c r="DP979" s="71"/>
      <c r="DQ979" s="71"/>
      <c r="DR979" s="71"/>
      <c r="DS979" s="71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  <c r="IJ979" s="71"/>
      <c r="IK979" s="71"/>
      <c r="IL979" s="71"/>
      <c r="IM979" s="71"/>
      <c r="IN979" s="71"/>
      <c r="IO979" s="71"/>
      <c r="IP979" s="71"/>
      <c r="IQ979" s="71"/>
      <c r="IR979" s="71"/>
      <c r="IS979" s="71"/>
      <c r="IT979" s="71"/>
      <c r="IU979" s="71"/>
      <c r="IV979" s="71"/>
      <c r="IW979" s="71"/>
    </row>
    <row r="980" customFormat="false" ht="12.75" hidden="false" customHeight="false" outlineLevel="0" collapsed="false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  <c r="BC980" s="71"/>
      <c r="BD980" s="71"/>
      <c r="BE980" s="71"/>
      <c r="BF980" s="71"/>
      <c r="BG980" s="71"/>
      <c r="BH980" s="71"/>
      <c r="BI980" s="71"/>
      <c r="BJ980" s="71"/>
      <c r="BK980" s="71"/>
      <c r="BL980" s="71"/>
      <c r="BM980" s="71"/>
      <c r="BN980" s="71"/>
      <c r="BO980" s="71"/>
      <c r="BP980" s="71"/>
      <c r="BQ980" s="71"/>
      <c r="BR980" s="71"/>
      <c r="BS980" s="71"/>
      <c r="BT980" s="71"/>
      <c r="BU980" s="71"/>
      <c r="BV980" s="71"/>
      <c r="BW980" s="71"/>
      <c r="BX980" s="71"/>
      <c r="BY980" s="71"/>
      <c r="BZ980" s="71"/>
      <c r="CA980" s="71"/>
      <c r="CB980" s="71"/>
      <c r="CC980" s="71"/>
      <c r="CD980" s="71"/>
      <c r="CE980" s="71"/>
      <c r="CF980" s="71"/>
      <c r="CG980" s="71"/>
      <c r="CH980" s="71"/>
      <c r="CI980" s="71"/>
      <c r="CJ980" s="71"/>
      <c r="CK980" s="71"/>
      <c r="CL980" s="71"/>
      <c r="CM980" s="71"/>
      <c r="CN980" s="71"/>
      <c r="CO980" s="71"/>
      <c r="CP980" s="71"/>
      <c r="CQ980" s="71"/>
      <c r="CR980" s="71"/>
      <c r="CS980" s="71"/>
      <c r="CT980" s="71"/>
      <c r="CU980" s="71"/>
      <c r="CV980" s="71"/>
      <c r="CW980" s="71"/>
      <c r="CX980" s="71"/>
      <c r="CY980" s="71"/>
      <c r="CZ980" s="71"/>
      <c r="DA980" s="71"/>
      <c r="DB980" s="71"/>
      <c r="DC980" s="71"/>
      <c r="DD980" s="71"/>
      <c r="DE980" s="71"/>
      <c r="DF980" s="71"/>
      <c r="DG980" s="71"/>
      <c r="DH980" s="71"/>
      <c r="DI980" s="71"/>
      <c r="DJ980" s="71"/>
      <c r="DK980" s="71"/>
      <c r="DL980" s="71"/>
      <c r="DM980" s="71"/>
      <c r="DN980" s="71"/>
      <c r="DO980" s="71"/>
      <c r="DP980" s="71"/>
      <c r="DQ980" s="71"/>
      <c r="DR980" s="71"/>
      <c r="DS980" s="71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  <c r="IJ980" s="71"/>
      <c r="IK980" s="71"/>
      <c r="IL980" s="71"/>
      <c r="IM980" s="71"/>
      <c r="IN980" s="71"/>
      <c r="IO980" s="71"/>
      <c r="IP980" s="71"/>
      <c r="IQ980" s="71"/>
      <c r="IR980" s="71"/>
      <c r="IS980" s="71"/>
      <c r="IT980" s="71"/>
      <c r="IU980" s="71"/>
      <c r="IV980" s="71"/>
      <c r="IW980" s="71"/>
    </row>
    <row r="981" customFormat="false" ht="12.75" hidden="false" customHeight="false" outlineLevel="0" collapsed="false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AZ981" s="71"/>
      <c r="BA981" s="71"/>
      <c r="BB981" s="71"/>
      <c r="BC981" s="71"/>
      <c r="BD981" s="71"/>
      <c r="BE981" s="71"/>
      <c r="BF981" s="71"/>
      <c r="BG981" s="71"/>
      <c r="BH981" s="71"/>
      <c r="BI981" s="71"/>
      <c r="BJ981" s="71"/>
      <c r="BK981" s="71"/>
      <c r="BL981" s="71"/>
      <c r="BM981" s="71"/>
      <c r="BN981" s="71"/>
      <c r="BO981" s="71"/>
      <c r="BP981" s="71"/>
      <c r="BQ981" s="71"/>
      <c r="BR981" s="71"/>
      <c r="BS981" s="71"/>
      <c r="BT981" s="71"/>
      <c r="BU981" s="71"/>
      <c r="BV981" s="71"/>
      <c r="BW981" s="71"/>
      <c r="BX981" s="71"/>
      <c r="BY981" s="71"/>
      <c r="BZ981" s="71"/>
      <c r="CA981" s="71"/>
      <c r="CB981" s="71"/>
      <c r="CC981" s="71"/>
      <c r="CD981" s="71"/>
      <c r="CE981" s="71"/>
      <c r="CF981" s="71"/>
      <c r="CG981" s="71"/>
      <c r="CH981" s="71"/>
      <c r="CI981" s="71"/>
      <c r="CJ981" s="71"/>
      <c r="CK981" s="71"/>
      <c r="CL981" s="71"/>
      <c r="CM981" s="71"/>
      <c r="CN981" s="71"/>
      <c r="CO981" s="71"/>
      <c r="CP981" s="71"/>
      <c r="CQ981" s="71"/>
      <c r="CR981" s="71"/>
      <c r="CS981" s="71"/>
      <c r="CT981" s="71"/>
      <c r="CU981" s="71"/>
      <c r="CV981" s="71"/>
      <c r="CW981" s="71"/>
      <c r="CX981" s="71"/>
      <c r="CY981" s="71"/>
      <c r="CZ981" s="71"/>
      <c r="DA981" s="71"/>
      <c r="DB981" s="71"/>
      <c r="DC981" s="71"/>
      <c r="DD981" s="71"/>
      <c r="DE981" s="71"/>
      <c r="DF981" s="71"/>
      <c r="DG981" s="71"/>
      <c r="DH981" s="71"/>
      <c r="DI981" s="71"/>
      <c r="DJ981" s="71"/>
      <c r="DK981" s="71"/>
      <c r="DL981" s="71"/>
      <c r="DM981" s="71"/>
      <c r="DN981" s="71"/>
      <c r="DO981" s="71"/>
      <c r="DP981" s="71"/>
      <c r="DQ981" s="71"/>
      <c r="DR981" s="71"/>
      <c r="DS981" s="71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  <c r="IJ981" s="71"/>
      <c r="IK981" s="71"/>
      <c r="IL981" s="71"/>
      <c r="IM981" s="71"/>
      <c r="IN981" s="71"/>
      <c r="IO981" s="71"/>
      <c r="IP981" s="71"/>
      <c r="IQ981" s="71"/>
      <c r="IR981" s="71"/>
      <c r="IS981" s="71"/>
      <c r="IT981" s="71"/>
      <c r="IU981" s="71"/>
      <c r="IV981" s="71"/>
      <c r="IW981" s="71"/>
    </row>
    <row r="982" customFormat="false" ht="12.75" hidden="false" customHeight="false" outlineLevel="0" collapsed="false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AZ982" s="71"/>
      <c r="BA982" s="71"/>
      <c r="BB982" s="71"/>
      <c r="BC982" s="71"/>
      <c r="BD982" s="71"/>
      <c r="BE982" s="71"/>
      <c r="BF982" s="71"/>
      <c r="BG982" s="71"/>
      <c r="BH982" s="71"/>
      <c r="BI982" s="71"/>
      <c r="BJ982" s="71"/>
      <c r="BK982" s="71"/>
      <c r="BL982" s="71"/>
      <c r="BM982" s="71"/>
      <c r="BN982" s="71"/>
      <c r="BO982" s="71"/>
      <c r="BP982" s="71"/>
      <c r="BQ982" s="71"/>
      <c r="BR982" s="71"/>
      <c r="BS982" s="71"/>
      <c r="BT982" s="71"/>
      <c r="BU982" s="71"/>
      <c r="BV982" s="71"/>
      <c r="BW982" s="71"/>
      <c r="BX982" s="71"/>
      <c r="BY982" s="71"/>
      <c r="BZ982" s="71"/>
      <c r="CA982" s="71"/>
      <c r="CB982" s="71"/>
      <c r="CC982" s="71"/>
      <c r="CD982" s="71"/>
      <c r="CE982" s="71"/>
      <c r="CF982" s="71"/>
      <c r="CG982" s="71"/>
      <c r="CH982" s="71"/>
      <c r="CI982" s="71"/>
      <c r="CJ982" s="71"/>
      <c r="CK982" s="71"/>
      <c r="CL982" s="71"/>
      <c r="CM982" s="71"/>
      <c r="CN982" s="71"/>
      <c r="CO982" s="71"/>
      <c r="CP982" s="71"/>
      <c r="CQ982" s="71"/>
      <c r="CR982" s="71"/>
      <c r="CS982" s="71"/>
      <c r="CT982" s="71"/>
      <c r="CU982" s="71"/>
      <c r="CV982" s="71"/>
      <c r="CW982" s="71"/>
      <c r="CX982" s="71"/>
      <c r="CY982" s="71"/>
      <c r="CZ982" s="71"/>
      <c r="DA982" s="71"/>
      <c r="DB982" s="71"/>
      <c r="DC982" s="71"/>
      <c r="DD982" s="71"/>
      <c r="DE982" s="71"/>
      <c r="DF982" s="71"/>
      <c r="DG982" s="71"/>
      <c r="DH982" s="71"/>
      <c r="DI982" s="71"/>
      <c r="DJ982" s="71"/>
      <c r="DK982" s="71"/>
      <c r="DL982" s="71"/>
      <c r="DM982" s="71"/>
      <c r="DN982" s="71"/>
      <c r="DO982" s="71"/>
      <c r="DP982" s="71"/>
      <c r="DQ982" s="71"/>
      <c r="DR982" s="71"/>
      <c r="DS982" s="71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  <c r="IJ982" s="71"/>
      <c r="IK982" s="71"/>
      <c r="IL982" s="71"/>
      <c r="IM982" s="71"/>
      <c r="IN982" s="71"/>
      <c r="IO982" s="71"/>
      <c r="IP982" s="71"/>
      <c r="IQ982" s="71"/>
      <c r="IR982" s="71"/>
      <c r="IS982" s="71"/>
      <c r="IT982" s="71"/>
      <c r="IU982" s="71"/>
      <c r="IV982" s="71"/>
      <c r="IW982" s="71"/>
    </row>
    <row r="983" customFormat="false" ht="12.75" hidden="false" customHeight="false" outlineLevel="0" collapsed="false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AZ983" s="71"/>
      <c r="BA983" s="71"/>
      <c r="BB983" s="71"/>
      <c r="BC983" s="71"/>
      <c r="BD983" s="71"/>
      <c r="BE983" s="71"/>
      <c r="BF983" s="71"/>
      <c r="BG983" s="71"/>
      <c r="BH983" s="71"/>
      <c r="BI983" s="71"/>
      <c r="BJ983" s="71"/>
      <c r="BK983" s="71"/>
      <c r="BL983" s="71"/>
      <c r="BM983" s="71"/>
      <c r="BN983" s="71"/>
      <c r="BO983" s="71"/>
      <c r="BP983" s="71"/>
      <c r="BQ983" s="71"/>
      <c r="BR983" s="71"/>
      <c r="BS983" s="71"/>
      <c r="BT983" s="71"/>
      <c r="BU983" s="71"/>
      <c r="BV983" s="71"/>
      <c r="BW983" s="71"/>
      <c r="BX983" s="71"/>
      <c r="BY983" s="71"/>
      <c r="BZ983" s="71"/>
      <c r="CA983" s="71"/>
      <c r="CB983" s="71"/>
      <c r="CC983" s="71"/>
      <c r="CD983" s="71"/>
      <c r="CE983" s="71"/>
      <c r="CF983" s="71"/>
      <c r="CG983" s="71"/>
      <c r="CH983" s="71"/>
      <c r="CI983" s="71"/>
      <c r="CJ983" s="71"/>
      <c r="CK983" s="71"/>
      <c r="CL983" s="71"/>
      <c r="CM983" s="71"/>
      <c r="CN983" s="71"/>
      <c r="CO983" s="71"/>
      <c r="CP983" s="71"/>
      <c r="CQ983" s="71"/>
      <c r="CR983" s="71"/>
      <c r="CS983" s="71"/>
      <c r="CT983" s="71"/>
      <c r="CU983" s="71"/>
      <c r="CV983" s="71"/>
      <c r="CW983" s="71"/>
      <c r="CX983" s="71"/>
      <c r="CY983" s="71"/>
      <c r="CZ983" s="71"/>
      <c r="DA983" s="71"/>
      <c r="DB983" s="71"/>
      <c r="DC983" s="71"/>
      <c r="DD983" s="71"/>
      <c r="DE983" s="71"/>
      <c r="DF983" s="71"/>
      <c r="DG983" s="71"/>
      <c r="DH983" s="71"/>
      <c r="DI983" s="71"/>
      <c r="DJ983" s="71"/>
      <c r="DK983" s="71"/>
      <c r="DL983" s="71"/>
      <c r="DM983" s="71"/>
      <c r="DN983" s="71"/>
      <c r="DO983" s="71"/>
      <c r="DP983" s="71"/>
      <c r="DQ983" s="71"/>
      <c r="DR983" s="71"/>
      <c r="DS983" s="71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  <c r="IJ983" s="71"/>
      <c r="IK983" s="71"/>
      <c r="IL983" s="71"/>
      <c r="IM983" s="71"/>
      <c r="IN983" s="71"/>
      <c r="IO983" s="71"/>
      <c r="IP983" s="71"/>
      <c r="IQ983" s="71"/>
      <c r="IR983" s="71"/>
      <c r="IS983" s="71"/>
      <c r="IT983" s="71"/>
      <c r="IU983" s="71"/>
      <c r="IV983" s="71"/>
      <c r="IW983" s="71"/>
    </row>
    <row r="984" customFormat="false" ht="12.75" hidden="false" customHeight="false" outlineLevel="0" collapsed="false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  <c r="BC984" s="71"/>
      <c r="BD984" s="71"/>
      <c r="BE984" s="71"/>
      <c r="BF984" s="71"/>
      <c r="BG984" s="71"/>
      <c r="BH984" s="71"/>
      <c r="BI984" s="71"/>
      <c r="BJ984" s="71"/>
      <c r="BK984" s="71"/>
      <c r="BL984" s="71"/>
      <c r="BM984" s="71"/>
      <c r="BN984" s="71"/>
      <c r="BO984" s="71"/>
      <c r="BP984" s="71"/>
      <c r="BQ984" s="71"/>
      <c r="BR984" s="71"/>
      <c r="BS984" s="71"/>
      <c r="BT984" s="71"/>
      <c r="BU984" s="71"/>
      <c r="BV984" s="71"/>
      <c r="BW984" s="71"/>
      <c r="BX984" s="71"/>
      <c r="BY984" s="71"/>
      <c r="BZ984" s="71"/>
      <c r="CA984" s="71"/>
      <c r="CB984" s="71"/>
      <c r="CC984" s="71"/>
      <c r="CD984" s="71"/>
      <c r="CE984" s="71"/>
      <c r="CF984" s="71"/>
      <c r="CG984" s="71"/>
      <c r="CH984" s="71"/>
      <c r="CI984" s="71"/>
      <c r="CJ984" s="71"/>
      <c r="CK984" s="71"/>
      <c r="CL984" s="71"/>
      <c r="CM984" s="71"/>
      <c r="CN984" s="71"/>
      <c r="CO984" s="71"/>
      <c r="CP984" s="71"/>
      <c r="CQ984" s="71"/>
      <c r="CR984" s="71"/>
      <c r="CS984" s="71"/>
      <c r="CT984" s="71"/>
      <c r="CU984" s="71"/>
      <c r="CV984" s="71"/>
      <c r="CW984" s="71"/>
      <c r="CX984" s="71"/>
      <c r="CY984" s="71"/>
      <c r="CZ984" s="71"/>
      <c r="DA984" s="71"/>
      <c r="DB984" s="71"/>
      <c r="DC984" s="71"/>
      <c r="DD984" s="71"/>
      <c r="DE984" s="71"/>
      <c r="DF984" s="71"/>
      <c r="DG984" s="71"/>
      <c r="DH984" s="71"/>
      <c r="DI984" s="71"/>
      <c r="DJ984" s="71"/>
      <c r="DK984" s="71"/>
      <c r="DL984" s="71"/>
      <c r="DM984" s="71"/>
      <c r="DN984" s="71"/>
      <c r="DO984" s="71"/>
      <c r="DP984" s="71"/>
      <c r="DQ984" s="71"/>
      <c r="DR984" s="71"/>
      <c r="DS984" s="71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  <c r="IJ984" s="71"/>
      <c r="IK984" s="71"/>
      <c r="IL984" s="71"/>
      <c r="IM984" s="71"/>
      <c r="IN984" s="71"/>
      <c r="IO984" s="71"/>
      <c r="IP984" s="71"/>
      <c r="IQ984" s="71"/>
      <c r="IR984" s="71"/>
      <c r="IS984" s="71"/>
      <c r="IT984" s="71"/>
      <c r="IU984" s="71"/>
      <c r="IV984" s="71"/>
      <c r="IW984" s="71"/>
    </row>
    <row r="985" customFormat="false" ht="12.75" hidden="false" customHeight="false" outlineLevel="0" collapsed="false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  <c r="BC985" s="71"/>
      <c r="BD985" s="71"/>
      <c r="BE985" s="71"/>
      <c r="BF985" s="71"/>
      <c r="BG985" s="71"/>
      <c r="BH985" s="71"/>
      <c r="BI985" s="71"/>
      <c r="BJ985" s="71"/>
      <c r="BK985" s="71"/>
      <c r="BL985" s="71"/>
      <c r="BM985" s="71"/>
      <c r="BN985" s="71"/>
      <c r="BO985" s="71"/>
      <c r="BP985" s="71"/>
      <c r="BQ985" s="71"/>
      <c r="BR985" s="71"/>
      <c r="BS985" s="71"/>
      <c r="BT985" s="71"/>
      <c r="BU985" s="71"/>
      <c r="BV985" s="71"/>
      <c r="BW985" s="71"/>
      <c r="BX985" s="71"/>
      <c r="BY985" s="71"/>
      <c r="BZ985" s="71"/>
      <c r="CA985" s="71"/>
      <c r="CB985" s="71"/>
      <c r="CC985" s="71"/>
      <c r="CD985" s="71"/>
      <c r="CE985" s="71"/>
      <c r="CF985" s="71"/>
      <c r="CG985" s="71"/>
      <c r="CH985" s="71"/>
      <c r="CI985" s="71"/>
      <c r="CJ985" s="71"/>
      <c r="CK985" s="71"/>
      <c r="CL985" s="71"/>
      <c r="CM985" s="71"/>
      <c r="CN985" s="71"/>
      <c r="CO985" s="71"/>
      <c r="CP985" s="71"/>
      <c r="CQ985" s="71"/>
      <c r="CR985" s="71"/>
      <c r="CS985" s="71"/>
      <c r="CT985" s="71"/>
      <c r="CU985" s="71"/>
      <c r="CV985" s="71"/>
      <c r="CW985" s="71"/>
      <c r="CX985" s="71"/>
      <c r="CY985" s="71"/>
      <c r="CZ985" s="71"/>
      <c r="DA985" s="71"/>
      <c r="DB985" s="71"/>
      <c r="DC985" s="71"/>
      <c r="DD985" s="71"/>
      <c r="DE985" s="71"/>
      <c r="DF985" s="71"/>
      <c r="DG985" s="71"/>
      <c r="DH985" s="71"/>
      <c r="DI985" s="71"/>
      <c r="DJ985" s="71"/>
      <c r="DK985" s="71"/>
      <c r="DL985" s="71"/>
      <c r="DM985" s="71"/>
      <c r="DN985" s="71"/>
      <c r="DO985" s="71"/>
      <c r="DP985" s="71"/>
      <c r="DQ985" s="71"/>
      <c r="DR985" s="71"/>
      <c r="DS985" s="71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  <c r="IJ985" s="71"/>
      <c r="IK985" s="71"/>
      <c r="IL985" s="71"/>
      <c r="IM985" s="71"/>
      <c r="IN985" s="71"/>
      <c r="IO985" s="71"/>
      <c r="IP985" s="71"/>
      <c r="IQ985" s="71"/>
      <c r="IR985" s="71"/>
      <c r="IS985" s="71"/>
      <c r="IT985" s="71"/>
      <c r="IU985" s="71"/>
      <c r="IV985" s="71"/>
      <c r="IW985" s="71"/>
    </row>
    <row r="986" customFormat="false" ht="12.75" hidden="false" customHeight="false" outlineLevel="0" collapsed="false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AZ986" s="71"/>
      <c r="BA986" s="71"/>
      <c r="BB986" s="71"/>
      <c r="BC986" s="71"/>
      <c r="BD986" s="71"/>
      <c r="BE986" s="71"/>
      <c r="BF986" s="71"/>
      <c r="BG986" s="71"/>
      <c r="BH986" s="71"/>
      <c r="BI986" s="71"/>
      <c r="BJ986" s="71"/>
      <c r="BK986" s="71"/>
      <c r="BL986" s="71"/>
      <c r="BM986" s="71"/>
      <c r="BN986" s="71"/>
      <c r="BO986" s="71"/>
      <c r="BP986" s="71"/>
      <c r="BQ986" s="71"/>
      <c r="BR986" s="71"/>
      <c r="BS986" s="71"/>
      <c r="BT986" s="71"/>
      <c r="BU986" s="71"/>
      <c r="BV986" s="71"/>
      <c r="BW986" s="71"/>
      <c r="BX986" s="71"/>
      <c r="BY986" s="71"/>
      <c r="BZ986" s="71"/>
      <c r="CA986" s="71"/>
      <c r="CB986" s="71"/>
      <c r="CC986" s="71"/>
      <c r="CD986" s="71"/>
      <c r="CE986" s="71"/>
      <c r="CF986" s="71"/>
      <c r="CG986" s="71"/>
      <c r="CH986" s="71"/>
      <c r="CI986" s="71"/>
      <c r="CJ986" s="71"/>
      <c r="CK986" s="71"/>
      <c r="CL986" s="71"/>
      <c r="CM986" s="71"/>
      <c r="CN986" s="71"/>
      <c r="CO986" s="71"/>
      <c r="CP986" s="71"/>
      <c r="CQ986" s="71"/>
      <c r="CR986" s="71"/>
      <c r="CS986" s="71"/>
      <c r="CT986" s="71"/>
      <c r="CU986" s="71"/>
      <c r="CV986" s="71"/>
      <c r="CW986" s="71"/>
      <c r="CX986" s="71"/>
      <c r="CY986" s="71"/>
      <c r="CZ986" s="71"/>
      <c r="DA986" s="71"/>
      <c r="DB986" s="71"/>
      <c r="DC986" s="71"/>
      <c r="DD986" s="71"/>
      <c r="DE986" s="71"/>
      <c r="DF986" s="71"/>
      <c r="DG986" s="71"/>
      <c r="DH986" s="71"/>
      <c r="DI986" s="71"/>
      <c r="DJ986" s="71"/>
      <c r="DK986" s="71"/>
      <c r="DL986" s="71"/>
      <c r="DM986" s="71"/>
      <c r="DN986" s="71"/>
      <c r="DO986" s="71"/>
      <c r="DP986" s="71"/>
      <c r="DQ986" s="71"/>
      <c r="DR986" s="71"/>
      <c r="DS986" s="71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  <c r="IJ986" s="71"/>
      <c r="IK986" s="71"/>
      <c r="IL986" s="71"/>
      <c r="IM986" s="71"/>
      <c r="IN986" s="71"/>
      <c r="IO986" s="71"/>
      <c r="IP986" s="71"/>
      <c r="IQ986" s="71"/>
      <c r="IR986" s="71"/>
      <c r="IS986" s="71"/>
      <c r="IT986" s="71"/>
      <c r="IU986" s="71"/>
      <c r="IV986" s="71"/>
      <c r="IW986" s="71"/>
    </row>
    <row r="987" customFormat="false" ht="12.75" hidden="false" customHeight="false" outlineLevel="0" collapsed="false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  <c r="BC987" s="71"/>
      <c r="BD987" s="71"/>
      <c r="BE987" s="71"/>
      <c r="BF987" s="71"/>
      <c r="BG987" s="71"/>
      <c r="BH987" s="71"/>
      <c r="BI987" s="71"/>
      <c r="BJ987" s="71"/>
      <c r="BK987" s="71"/>
      <c r="BL987" s="71"/>
      <c r="BM987" s="71"/>
      <c r="BN987" s="71"/>
      <c r="BO987" s="71"/>
      <c r="BP987" s="71"/>
      <c r="BQ987" s="71"/>
      <c r="BR987" s="71"/>
      <c r="BS987" s="71"/>
      <c r="BT987" s="71"/>
      <c r="BU987" s="71"/>
      <c r="BV987" s="71"/>
      <c r="BW987" s="71"/>
      <c r="BX987" s="71"/>
      <c r="BY987" s="71"/>
      <c r="BZ987" s="71"/>
      <c r="CA987" s="71"/>
      <c r="CB987" s="71"/>
      <c r="CC987" s="71"/>
      <c r="CD987" s="71"/>
      <c r="CE987" s="71"/>
      <c r="CF987" s="71"/>
      <c r="CG987" s="71"/>
      <c r="CH987" s="71"/>
      <c r="CI987" s="71"/>
      <c r="CJ987" s="71"/>
      <c r="CK987" s="71"/>
      <c r="CL987" s="71"/>
      <c r="CM987" s="71"/>
      <c r="CN987" s="71"/>
      <c r="CO987" s="71"/>
      <c r="CP987" s="71"/>
      <c r="CQ987" s="71"/>
      <c r="CR987" s="71"/>
      <c r="CS987" s="71"/>
      <c r="CT987" s="71"/>
      <c r="CU987" s="71"/>
      <c r="CV987" s="71"/>
      <c r="CW987" s="71"/>
      <c r="CX987" s="71"/>
      <c r="CY987" s="71"/>
      <c r="CZ987" s="71"/>
      <c r="DA987" s="71"/>
      <c r="DB987" s="71"/>
      <c r="DC987" s="71"/>
      <c r="DD987" s="71"/>
      <c r="DE987" s="71"/>
      <c r="DF987" s="71"/>
      <c r="DG987" s="71"/>
      <c r="DH987" s="71"/>
      <c r="DI987" s="71"/>
      <c r="DJ987" s="71"/>
      <c r="DK987" s="71"/>
      <c r="DL987" s="71"/>
      <c r="DM987" s="71"/>
      <c r="DN987" s="71"/>
      <c r="DO987" s="71"/>
      <c r="DP987" s="71"/>
      <c r="DQ987" s="71"/>
      <c r="DR987" s="71"/>
      <c r="DS987" s="71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  <c r="IJ987" s="71"/>
      <c r="IK987" s="71"/>
      <c r="IL987" s="71"/>
      <c r="IM987" s="71"/>
      <c r="IN987" s="71"/>
      <c r="IO987" s="71"/>
      <c r="IP987" s="71"/>
      <c r="IQ987" s="71"/>
      <c r="IR987" s="71"/>
      <c r="IS987" s="71"/>
      <c r="IT987" s="71"/>
      <c r="IU987" s="71"/>
      <c r="IV987" s="71"/>
      <c r="IW987" s="71"/>
    </row>
    <row r="988" customFormat="false" ht="12.75" hidden="false" customHeight="false" outlineLevel="0" collapsed="false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AZ988" s="71"/>
      <c r="BA988" s="71"/>
      <c r="BB988" s="71"/>
      <c r="BC988" s="71"/>
      <c r="BD988" s="71"/>
      <c r="BE988" s="71"/>
      <c r="BF988" s="71"/>
      <c r="BG988" s="71"/>
      <c r="BH988" s="71"/>
      <c r="BI988" s="71"/>
      <c r="BJ988" s="71"/>
      <c r="BK988" s="71"/>
      <c r="BL988" s="71"/>
      <c r="BM988" s="71"/>
      <c r="BN988" s="71"/>
      <c r="BO988" s="71"/>
      <c r="BP988" s="71"/>
      <c r="BQ988" s="71"/>
      <c r="BR988" s="71"/>
      <c r="BS988" s="71"/>
      <c r="BT988" s="71"/>
      <c r="BU988" s="71"/>
      <c r="BV988" s="71"/>
      <c r="BW988" s="71"/>
      <c r="BX988" s="71"/>
      <c r="BY988" s="71"/>
      <c r="BZ988" s="71"/>
      <c r="CA988" s="71"/>
      <c r="CB988" s="71"/>
      <c r="CC988" s="71"/>
      <c r="CD988" s="71"/>
      <c r="CE988" s="71"/>
      <c r="CF988" s="71"/>
      <c r="CG988" s="71"/>
      <c r="CH988" s="71"/>
      <c r="CI988" s="71"/>
      <c r="CJ988" s="71"/>
      <c r="CK988" s="71"/>
      <c r="CL988" s="71"/>
      <c r="CM988" s="71"/>
      <c r="CN988" s="71"/>
      <c r="CO988" s="71"/>
      <c r="CP988" s="71"/>
      <c r="CQ988" s="71"/>
      <c r="CR988" s="71"/>
      <c r="CS988" s="71"/>
      <c r="CT988" s="71"/>
      <c r="CU988" s="71"/>
      <c r="CV988" s="71"/>
      <c r="CW988" s="71"/>
      <c r="CX988" s="71"/>
      <c r="CY988" s="71"/>
      <c r="CZ988" s="71"/>
      <c r="DA988" s="71"/>
      <c r="DB988" s="71"/>
      <c r="DC988" s="71"/>
      <c r="DD988" s="71"/>
      <c r="DE988" s="71"/>
      <c r="DF988" s="71"/>
      <c r="DG988" s="71"/>
      <c r="DH988" s="71"/>
      <c r="DI988" s="71"/>
      <c r="DJ988" s="71"/>
      <c r="DK988" s="71"/>
      <c r="DL988" s="71"/>
      <c r="DM988" s="71"/>
      <c r="DN988" s="71"/>
      <c r="DO988" s="71"/>
      <c r="DP988" s="71"/>
      <c r="DQ988" s="71"/>
      <c r="DR988" s="71"/>
      <c r="DS988" s="71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  <c r="IJ988" s="71"/>
      <c r="IK988" s="71"/>
      <c r="IL988" s="71"/>
      <c r="IM988" s="71"/>
      <c r="IN988" s="71"/>
      <c r="IO988" s="71"/>
      <c r="IP988" s="71"/>
      <c r="IQ988" s="71"/>
      <c r="IR988" s="71"/>
      <c r="IS988" s="71"/>
      <c r="IT988" s="71"/>
      <c r="IU988" s="71"/>
      <c r="IV988" s="71"/>
      <c r="IW988" s="71"/>
    </row>
    <row r="989" customFormat="false" ht="12.75" hidden="false" customHeight="false" outlineLevel="0" collapsed="false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AZ989" s="71"/>
      <c r="BA989" s="71"/>
      <c r="BB989" s="71"/>
      <c r="BC989" s="71"/>
      <c r="BD989" s="71"/>
      <c r="BE989" s="71"/>
      <c r="BF989" s="71"/>
      <c r="BG989" s="71"/>
      <c r="BH989" s="71"/>
      <c r="BI989" s="71"/>
      <c r="BJ989" s="71"/>
      <c r="BK989" s="71"/>
      <c r="BL989" s="71"/>
      <c r="BM989" s="71"/>
      <c r="BN989" s="71"/>
      <c r="BO989" s="71"/>
      <c r="BP989" s="71"/>
      <c r="BQ989" s="71"/>
      <c r="BR989" s="71"/>
      <c r="BS989" s="71"/>
      <c r="BT989" s="71"/>
      <c r="BU989" s="71"/>
      <c r="BV989" s="71"/>
      <c r="BW989" s="71"/>
      <c r="BX989" s="71"/>
      <c r="BY989" s="71"/>
      <c r="BZ989" s="71"/>
      <c r="CA989" s="71"/>
      <c r="CB989" s="71"/>
      <c r="CC989" s="71"/>
      <c r="CD989" s="71"/>
      <c r="CE989" s="71"/>
      <c r="CF989" s="71"/>
      <c r="CG989" s="71"/>
      <c r="CH989" s="71"/>
      <c r="CI989" s="71"/>
      <c r="CJ989" s="71"/>
      <c r="CK989" s="71"/>
      <c r="CL989" s="71"/>
      <c r="CM989" s="71"/>
      <c r="CN989" s="71"/>
      <c r="CO989" s="71"/>
      <c r="CP989" s="71"/>
      <c r="CQ989" s="71"/>
      <c r="CR989" s="71"/>
      <c r="CS989" s="71"/>
      <c r="CT989" s="71"/>
      <c r="CU989" s="71"/>
      <c r="CV989" s="71"/>
      <c r="CW989" s="71"/>
      <c r="CX989" s="71"/>
      <c r="CY989" s="71"/>
      <c r="CZ989" s="71"/>
      <c r="DA989" s="71"/>
      <c r="DB989" s="71"/>
      <c r="DC989" s="71"/>
      <c r="DD989" s="71"/>
      <c r="DE989" s="71"/>
      <c r="DF989" s="71"/>
      <c r="DG989" s="71"/>
      <c r="DH989" s="71"/>
      <c r="DI989" s="71"/>
      <c r="DJ989" s="71"/>
      <c r="DK989" s="71"/>
      <c r="DL989" s="71"/>
      <c r="DM989" s="71"/>
      <c r="DN989" s="71"/>
      <c r="DO989" s="71"/>
      <c r="DP989" s="71"/>
      <c r="DQ989" s="71"/>
      <c r="DR989" s="71"/>
      <c r="DS989" s="71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  <c r="IJ989" s="71"/>
      <c r="IK989" s="71"/>
      <c r="IL989" s="71"/>
      <c r="IM989" s="71"/>
      <c r="IN989" s="71"/>
      <c r="IO989" s="71"/>
      <c r="IP989" s="71"/>
      <c r="IQ989" s="71"/>
      <c r="IR989" s="71"/>
      <c r="IS989" s="71"/>
      <c r="IT989" s="71"/>
      <c r="IU989" s="71"/>
      <c r="IV989" s="71"/>
      <c r="IW989" s="71"/>
    </row>
    <row r="990" customFormat="false" ht="12.75" hidden="false" customHeight="false" outlineLevel="0" collapsed="false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AZ990" s="71"/>
      <c r="BA990" s="71"/>
      <c r="BB990" s="71"/>
      <c r="BC990" s="71"/>
      <c r="BD990" s="71"/>
      <c r="BE990" s="71"/>
      <c r="BF990" s="71"/>
      <c r="BG990" s="71"/>
      <c r="BH990" s="71"/>
      <c r="BI990" s="71"/>
      <c r="BJ990" s="71"/>
      <c r="BK990" s="71"/>
      <c r="BL990" s="71"/>
      <c r="BM990" s="71"/>
      <c r="BN990" s="71"/>
      <c r="BO990" s="71"/>
      <c r="BP990" s="71"/>
      <c r="BQ990" s="71"/>
      <c r="BR990" s="71"/>
      <c r="BS990" s="71"/>
      <c r="BT990" s="71"/>
      <c r="BU990" s="71"/>
      <c r="BV990" s="71"/>
      <c r="BW990" s="71"/>
      <c r="BX990" s="71"/>
      <c r="BY990" s="71"/>
      <c r="BZ990" s="71"/>
      <c r="CA990" s="71"/>
      <c r="CB990" s="71"/>
      <c r="CC990" s="71"/>
      <c r="CD990" s="71"/>
      <c r="CE990" s="71"/>
      <c r="CF990" s="71"/>
      <c r="CG990" s="71"/>
      <c r="CH990" s="71"/>
      <c r="CI990" s="71"/>
      <c r="CJ990" s="71"/>
      <c r="CK990" s="71"/>
      <c r="CL990" s="71"/>
      <c r="CM990" s="71"/>
      <c r="CN990" s="71"/>
      <c r="CO990" s="71"/>
      <c r="CP990" s="71"/>
      <c r="CQ990" s="71"/>
      <c r="CR990" s="71"/>
      <c r="CS990" s="71"/>
      <c r="CT990" s="71"/>
      <c r="CU990" s="71"/>
      <c r="CV990" s="71"/>
      <c r="CW990" s="71"/>
      <c r="CX990" s="71"/>
      <c r="CY990" s="71"/>
      <c r="CZ990" s="71"/>
      <c r="DA990" s="71"/>
      <c r="DB990" s="71"/>
      <c r="DC990" s="71"/>
      <c r="DD990" s="71"/>
      <c r="DE990" s="71"/>
      <c r="DF990" s="71"/>
      <c r="DG990" s="71"/>
      <c r="DH990" s="71"/>
      <c r="DI990" s="71"/>
      <c r="DJ990" s="71"/>
      <c r="DK990" s="71"/>
      <c r="DL990" s="71"/>
      <c r="DM990" s="71"/>
      <c r="DN990" s="71"/>
      <c r="DO990" s="71"/>
      <c r="DP990" s="71"/>
      <c r="DQ990" s="71"/>
      <c r="DR990" s="71"/>
      <c r="DS990" s="71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  <c r="IJ990" s="71"/>
      <c r="IK990" s="71"/>
      <c r="IL990" s="71"/>
      <c r="IM990" s="71"/>
      <c r="IN990" s="71"/>
      <c r="IO990" s="71"/>
      <c r="IP990" s="71"/>
      <c r="IQ990" s="71"/>
      <c r="IR990" s="71"/>
      <c r="IS990" s="71"/>
      <c r="IT990" s="71"/>
      <c r="IU990" s="71"/>
      <c r="IV990" s="71"/>
      <c r="IW990" s="71"/>
    </row>
    <row r="991" customFormat="false" ht="12.75" hidden="false" customHeight="false" outlineLevel="0" collapsed="false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AZ991" s="71"/>
      <c r="BA991" s="71"/>
      <c r="BB991" s="71"/>
      <c r="BC991" s="71"/>
      <c r="BD991" s="71"/>
      <c r="BE991" s="71"/>
      <c r="BF991" s="71"/>
      <c r="BG991" s="71"/>
      <c r="BH991" s="71"/>
      <c r="BI991" s="71"/>
      <c r="BJ991" s="71"/>
      <c r="BK991" s="71"/>
      <c r="BL991" s="71"/>
      <c r="BM991" s="71"/>
      <c r="BN991" s="71"/>
      <c r="BO991" s="71"/>
      <c r="BP991" s="71"/>
      <c r="BQ991" s="71"/>
      <c r="BR991" s="71"/>
      <c r="BS991" s="71"/>
      <c r="BT991" s="71"/>
      <c r="BU991" s="71"/>
      <c r="BV991" s="71"/>
      <c r="BW991" s="71"/>
      <c r="BX991" s="71"/>
      <c r="BY991" s="71"/>
      <c r="BZ991" s="71"/>
      <c r="CA991" s="71"/>
      <c r="CB991" s="71"/>
      <c r="CC991" s="71"/>
      <c r="CD991" s="71"/>
      <c r="CE991" s="71"/>
      <c r="CF991" s="71"/>
      <c r="CG991" s="71"/>
      <c r="CH991" s="71"/>
      <c r="CI991" s="71"/>
      <c r="CJ991" s="71"/>
      <c r="CK991" s="71"/>
      <c r="CL991" s="71"/>
      <c r="CM991" s="71"/>
      <c r="CN991" s="71"/>
      <c r="CO991" s="71"/>
      <c r="CP991" s="71"/>
      <c r="CQ991" s="71"/>
      <c r="CR991" s="71"/>
      <c r="CS991" s="71"/>
      <c r="CT991" s="71"/>
      <c r="CU991" s="71"/>
      <c r="CV991" s="71"/>
      <c r="CW991" s="71"/>
      <c r="CX991" s="71"/>
      <c r="CY991" s="71"/>
      <c r="CZ991" s="71"/>
      <c r="DA991" s="71"/>
      <c r="DB991" s="71"/>
      <c r="DC991" s="71"/>
      <c r="DD991" s="71"/>
      <c r="DE991" s="71"/>
      <c r="DF991" s="71"/>
      <c r="DG991" s="71"/>
      <c r="DH991" s="71"/>
      <c r="DI991" s="71"/>
      <c r="DJ991" s="71"/>
      <c r="DK991" s="71"/>
      <c r="DL991" s="71"/>
      <c r="DM991" s="71"/>
      <c r="DN991" s="71"/>
      <c r="DO991" s="71"/>
      <c r="DP991" s="71"/>
      <c r="DQ991" s="71"/>
      <c r="DR991" s="71"/>
      <c r="DS991" s="71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  <c r="IJ991" s="71"/>
      <c r="IK991" s="71"/>
      <c r="IL991" s="71"/>
      <c r="IM991" s="71"/>
      <c r="IN991" s="71"/>
      <c r="IO991" s="71"/>
      <c r="IP991" s="71"/>
      <c r="IQ991" s="71"/>
      <c r="IR991" s="71"/>
      <c r="IS991" s="71"/>
      <c r="IT991" s="71"/>
      <c r="IU991" s="71"/>
      <c r="IV991" s="71"/>
      <c r="IW991" s="71"/>
    </row>
    <row r="992" customFormat="false" ht="12.75" hidden="false" customHeight="false" outlineLevel="0" collapsed="false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  <c r="BH992" s="71"/>
      <c r="BI992" s="71"/>
      <c r="BJ992" s="71"/>
      <c r="BK992" s="71"/>
      <c r="BL992" s="71"/>
      <c r="BM992" s="71"/>
      <c r="BN992" s="71"/>
      <c r="BO992" s="71"/>
      <c r="BP992" s="71"/>
      <c r="BQ992" s="71"/>
      <c r="BR992" s="71"/>
      <c r="BS992" s="71"/>
      <c r="BT992" s="71"/>
      <c r="BU992" s="71"/>
      <c r="BV992" s="71"/>
      <c r="BW992" s="71"/>
      <c r="BX992" s="71"/>
      <c r="BY992" s="71"/>
      <c r="BZ992" s="71"/>
      <c r="CA992" s="71"/>
      <c r="CB992" s="71"/>
      <c r="CC992" s="71"/>
      <c r="CD992" s="71"/>
      <c r="CE992" s="71"/>
      <c r="CF992" s="71"/>
      <c r="CG992" s="71"/>
      <c r="CH992" s="71"/>
      <c r="CI992" s="71"/>
      <c r="CJ992" s="71"/>
      <c r="CK992" s="71"/>
      <c r="CL992" s="71"/>
      <c r="CM992" s="71"/>
      <c r="CN992" s="71"/>
      <c r="CO992" s="71"/>
      <c r="CP992" s="71"/>
      <c r="CQ992" s="71"/>
      <c r="CR992" s="71"/>
      <c r="CS992" s="71"/>
      <c r="CT992" s="71"/>
      <c r="CU992" s="71"/>
      <c r="CV992" s="71"/>
      <c r="CW992" s="71"/>
      <c r="CX992" s="71"/>
      <c r="CY992" s="71"/>
      <c r="CZ992" s="71"/>
      <c r="DA992" s="71"/>
      <c r="DB992" s="71"/>
      <c r="DC992" s="71"/>
      <c r="DD992" s="71"/>
      <c r="DE992" s="71"/>
      <c r="DF992" s="71"/>
      <c r="DG992" s="71"/>
      <c r="DH992" s="71"/>
      <c r="DI992" s="71"/>
      <c r="DJ992" s="71"/>
      <c r="DK992" s="71"/>
      <c r="DL992" s="71"/>
      <c r="DM992" s="71"/>
      <c r="DN992" s="71"/>
      <c r="DO992" s="71"/>
      <c r="DP992" s="71"/>
      <c r="DQ992" s="71"/>
      <c r="DR992" s="71"/>
      <c r="DS992" s="71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  <c r="IJ992" s="71"/>
      <c r="IK992" s="71"/>
      <c r="IL992" s="71"/>
      <c r="IM992" s="71"/>
      <c r="IN992" s="71"/>
      <c r="IO992" s="71"/>
      <c r="IP992" s="71"/>
      <c r="IQ992" s="71"/>
      <c r="IR992" s="71"/>
      <c r="IS992" s="71"/>
      <c r="IT992" s="71"/>
      <c r="IU992" s="71"/>
      <c r="IV992" s="71"/>
      <c r="IW992" s="71"/>
    </row>
    <row r="993" customFormat="false" ht="12.75" hidden="false" customHeight="false" outlineLevel="0" collapsed="false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/>
      <c r="BG993" s="71"/>
      <c r="BH993" s="71"/>
      <c r="BI993" s="71"/>
      <c r="BJ993" s="71"/>
      <c r="BK993" s="71"/>
      <c r="BL993" s="71"/>
      <c r="BM993" s="71"/>
      <c r="BN993" s="71"/>
      <c r="BO993" s="71"/>
      <c r="BP993" s="71"/>
      <c r="BQ993" s="71"/>
      <c r="BR993" s="71"/>
      <c r="BS993" s="71"/>
      <c r="BT993" s="71"/>
      <c r="BU993" s="71"/>
      <c r="BV993" s="71"/>
      <c r="BW993" s="71"/>
      <c r="BX993" s="71"/>
      <c r="BY993" s="71"/>
      <c r="BZ993" s="71"/>
      <c r="CA993" s="71"/>
      <c r="CB993" s="71"/>
      <c r="CC993" s="71"/>
      <c r="CD993" s="71"/>
      <c r="CE993" s="71"/>
      <c r="CF993" s="71"/>
      <c r="CG993" s="71"/>
      <c r="CH993" s="71"/>
      <c r="CI993" s="71"/>
      <c r="CJ993" s="71"/>
      <c r="CK993" s="71"/>
      <c r="CL993" s="71"/>
      <c r="CM993" s="71"/>
      <c r="CN993" s="71"/>
      <c r="CO993" s="71"/>
      <c r="CP993" s="71"/>
      <c r="CQ993" s="71"/>
      <c r="CR993" s="71"/>
      <c r="CS993" s="71"/>
      <c r="CT993" s="71"/>
      <c r="CU993" s="71"/>
      <c r="CV993" s="71"/>
      <c r="CW993" s="71"/>
      <c r="CX993" s="71"/>
      <c r="CY993" s="71"/>
      <c r="CZ993" s="71"/>
      <c r="DA993" s="71"/>
      <c r="DB993" s="71"/>
      <c r="DC993" s="71"/>
      <c r="DD993" s="71"/>
      <c r="DE993" s="71"/>
      <c r="DF993" s="71"/>
      <c r="DG993" s="71"/>
      <c r="DH993" s="71"/>
      <c r="DI993" s="71"/>
      <c r="DJ993" s="71"/>
      <c r="DK993" s="71"/>
      <c r="DL993" s="71"/>
      <c r="DM993" s="71"/>
      <c r="DN993" s="71"/>
      <c r="DO993" s="71"/>
      <c r="DP993" s="71"/>
      <c r="DQ993" s="71"/>
      <c r="DR993" s="71"/>
      <c r="DS993" s="71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  <c r="IJ993" s="71"/>
      <c r="IK993" s="71"/>
      <c r="IL993" s="71"/>
      <c r="IM993" s="71"/>
      <c r="IN993" s="71"/>
      <c r="IO993" s="71"/>
      <c r="IP993" s="71"/>
      <c r="IQ993" s="71"/>
      <c r="IR993" s="71"/>
      <c r="IS993" s="71"/>
      <c r="IT993" s="71"/>
      <c r="IU993" s="71"/>
      <c r="IV993" s="71"/>
      <c r="IW993" s="71"/>
    </row>
    <row r="994" customFormat="false" ht="12.75" hidden="false" customHeight="false" outlineLevel="0" collapsed="false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  <c r="AJ994" s="71"/>
      <c r="AK994" s="71"/>
      <c r="AL994" s="71"/>
      <c r="AM994" s="71"/>
      <c r="AN994" s="71"/>
      <c r="AO994" s="71"/>
      <c r="AP994" s="71"/>
      <c r="AQ994" s="71"/>
      <c r="AR994" s="71"/>
      <c r="AS994" s="71"/>
      <c r="AT994" s="71"/>
      <c r="AU994" s="71"/>
      <c r="AV994" s="71"/>
      <c r="AW994" s="71"/>
      <c r="AX994" s="71"/>
      <c r="AY994" s="71"/>
      <c r="AZ994" s="71"/>
      <c r="BA994" s="71"/>
      <c r="BB994" s="71"/>
      <c r="BC994" s="71"/>
      <c r="BD994" s="71"/>
      <c r="BE994" s="71"/>
      <c r="BF994" s="71"/>
      <c r="BG994" s="71"/>
      <c r="BH994" s="71"/>
      <c r="BI994" s="71"/>
      <c r="BJ994" s="71"/>
      <c r="BK994" s="71"/>
      <c r="BL994" s="71"/>
      <c r="BM994" s="71"/>
      <c r="BN994" s="71"/>
      <c r="BO994" s="71"/>
      <c r="BP994" s="71"/>
      <c r="BQ994" s="71"/>
      <c r="BR994" s="71"/>
      <c r="BS994" s="71"/>
      <c r="BT994" s="71"/>
      <c r="BU994" s="71"/>
      <c r="BV994" s="71"/>
      <c r="BW994" s="71"/>
      <c r="BX994" s="71"/>
      <c r="BY994" s="71"/>
      <c r="BZ994" s="71"/>
      <c r="CA994" s="71"/>
      <c r="CB994" s="71"/>
      <c r="CC994" s="71"/>
      <c r="CD994" s="71"/>
      <c r="CE994" s="71"/>
      <c r="CF994" s="71"/>
      <c r="CG994" s="71"/>
      <c r="CH994" s="71"/>
      <c r="CI994" s="71"/>
      <c r="CJ994" s="71"/>
      <c r="CK994" s="71"/>
      <c r="CL994" s="71"/>
      <c r="CM994" s="71"/>
      <c r="CN994" s="71"/>
      <c r="CO994" s="71"/>
      <c r="CP994" s="71"/>
      <c r="CQ994" s="71"/>
      <c r="CR994" s="71"/>
      <c r="CS994" s="71"/>
      <c r="CT994" s="71"/>
      <c r="CU994" s="71"/>
      <c r="CV994" s="71"/>
      <c r="CW994" s="71"/>
      <c r="CX994" s="71"/>
      <c r="CY994" s="71"/>
      <c r="CZ994" s="71"/>
      <c r="DA994" s="71"/>
      <c r="DB994" s="71"/>
      <c r="DC994" s="71"/>
      <c r="DD994" s="71"/>
      <c r="DE994" s="71"/>
      <c r="DF994" s="71"/>
      <c r="DG994" s="71"/>
      <c r="DH994" s="71"/>
      <c r="DI994" s="71"/>
      <c r="DJ994" s="71"/>
      <c r="DK994" s="71"/>
      <c r="DL994" s="71"/>
      <c r="DM994" s="71"/>
      <c r="DN994" s="71"/>
      <c r="DO994" s="71"/>
      <c r="DP994" s="71"/>
      <c r="DQ994" s="71"/>
      <c r="DR994" s="71"/>
      <c r="DS994" s="71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  <c r="IJ994" s="71"/>
      <c r="IK994" s="71"/>
      <c r="IL994" s="71"/>
      <c r="IM994" s="71"/>
      <c r="IN994" s="71"/>
      <c r="IO994" s="71"/>
      <c r="IP994" s="71"/>
      <c r="IQ994" s="71"/>
      <c r="IR994" s="71"/>
      <c r="IS994" s="71"/>
      <c r="IT994" s="71"/>
      <c r="IU994" s="71"/>
      <c r="IV994" s="71"/>
      <c r="IW994" s="71"/>
    </row>
    <row r="995" customFormat="false" ht="12.75" hidden="false" customHeight="false" outlineLevel="0" collapsed="false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/>
      <c r="BH995" s="71"/>
      <c r="BI995" s="71"/>
      <c r="BJ995" s="71"/>
      <c r="BK995" s="71"/>
      <c r="BL995" s="71"/>
      <c r="BM995" s="71"/>
      <c r="BN995" s="71"/>
      <c r="BO995" s="71"/>
      <c r="BP995" s="71"/>
      <c r="BQ995" s="71"/>
      <c r="BR995" s="71"/>
      <c r="BS995" s="71"/>
      <c r="BT995" s="71"/>
      <c r="BU995" s="71"/>
      <c r="BV995" s="71"/>
      <c r="BW995" s="71"/>
      <c r="BX995" s="71"/>
      <c r="BY995" s="71"/>
      <c r="BZ995" s="71"/>
      <c r="CA995" s="71"/>
      <c r="CB995" s="71"/>
      <c r="CC995" s="71"/>
      <c r="CD995" s="71"/>
      <c r="CE995" s="71"/>
      <c r="CF995" s="71"/>
      <c r="CG995" s="71"/>
      <c r="CH995" s="71"/>
      <c r="CI995" s="71"/>
      <c r="CJ995" s="71"/>
      <c r="CK995" s="71"/>
      <c r="CL995" s="71"/>
      <c r="CM995" s="71"/>
      <c r="CN995" s="71"/>
      <c r="CO995" s="71"/>
      <c r="CP995" s="71"/>
      <c r="CQ995" s="71"/>
      <c r="CR995" s="71"/>
      <c r="CS995" s="71"/>
      <c r="CT995" s="71"/>
      <c r="CU995" s="71"/>
      <c r="CV995" s="71"/>
      <c r="CW995" s="71"/>
      <c r="CX995" s="71"/>
      <c r="CY995" s="71"/>
      <c r="CZ995" s="71"/>
      <c r="DA995" s="71"/>
      <c r="DB995" s="71"/>
      <c r="DC995" s="71"/>
      <c r="DD995" s="71"/>
      <c r="DE995" s="71"/>
      <c r="DF995" s="71"/>
      <c r="DG995" s="71"/>
      <c r="DH995" s="71"/>
      <c r="DI995" s="71"/>
      <c r="DJ995" s="71"/>
      <c r="DK995" s="71"/>
      <c r="DL995" s="71"/>
      <c r="DM995" s="71"/>
      <c r="DN995" s="71"/>
      <c r="DO995" s="71"/>
      <c r="DP995" s="71"/>
      <c r="DQ995" s="71"/>
      <c r="DR995" s="71"/>
      <c r="DS995" s="71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  <c r="IJ995" s="71"/>
      <c r="IK995" s="71"/>
      <c r="IL995" s="71"/>
      <c r="IM995" s="71"/>
      <c r="IN995" s="71"/>
      <c r="IO995" s="71"/>
      <c r="IP995" s="71"/>
      <c r="IQ995" s="71"/>
      <c r="IR995" s="71"/>
      <c r="IS995" s="71"/>
      <c r="IT995" s="71"/>
      <c r="IU995" s="71"/>
      <c r="IV995" s="71"/>
      <c r="IW995" s="71"/>
    </row>
    <row r="996" customFormat="false" ht="12.75" hidden="false" customHeight="false" outlineLevel="0" collapsed="false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  <c r="AJ996" s="71"/>
      <c r="AK996" s="71"/>
      <c r="AL996" s="71"/>
      <c r="AM996" s="71"/>
      <c r="AN996" s="71"/>
      <c r="AO996" s="71"/>
      <c r="AP996" s="71"/>
      <c r="AQ996" s="71"/>
      <c r="AR996" s="71"/>
      <c r="AS996" s="71"/>
      <c r="AT996" s="71"/>
      <c r="AU996" s="71"/>
      <c r="AV996" s="71"/>
      <c r="AW996" s="71"/>
      <c r="AX996" s="71"/>
      <c r="AY996" s="71"/>
      <c r="AZ996" s="71"/>
      <c r="BA996" s="71"/>
      <c r="BB996" s="71"/>
      <c r="BC996" s="71"/>
      <c r="BD996" s="71"/>
      <c r="BE996" s="71"/>
      <c r="BF996" s="71"/>
      <c r="BG996" s="71"/>
      <c r="BH996" s="71"/>
      <c r="BI996" s="71"/>
      <c r="BJ996" s="71"/>
      <c r="BK996" s="71"/>
      <c r="BL996" s="71"/>
      <c r="BM996" s="71"/>
      <c r="BN996" s="71"/>
      <c r="BO996" s="71"/>
      <c r="BP996" s="71"/>
      <c r="BQ996" s="71"/>
      <c r="BR996" s="71"/>
      <c r="BS996" s="71"/>
      <c r="BT996" s="71"/>
      <c r="BU996" s="71"/>
      <c r="BV996" s="71"/>
      <c r="BW996" s="71"/>
      <c r="BX996" s="71"/>
      <c r="BY996" s="71"/>
      <c r="BZ996" s="71"/>
      <c r="CA996" s="71"/>
      <c r="CB996" s="71"/>
      <c r="CC996" s="71"/>
      <c r="CD996" s="71"/>
      <c r="CE996" s="71"/>
      <c r="CF996" s="71"/>
      <c r="CG996" s="71"/>
      <c r="CH996" s="71"/>
      <c r="CI996" s="71"/>
      <c r="CJ996" s="71"/>
      <c r="CK996" s="71"/>
      <c r="CL996" s="71"/>
      <c r="CM996" s="71"/>
      <c r="CN996" s="71"/>
      <c r="CO996" s="71"/>
      <c r="CP996" s="71"/>
      <c r="CQ996" s="71"/>
      <c r="CR996" s="71"/>
      <c r="CS996" s="71"/>
      <c r="CT996" s="71"/>
      <c r="CU996" s="71"/>
      <c r="CV996" s="71"/>
      <c r="CW996" s="71"/>
      <c r="CX996" s="71"/>
      <c r="CY996" s="71"/>
      <c r="CZ996" s="71"/>
      <c r="DA996" s="71"/>
      <c r="DB996" s="71"/>
      <c r="DC996" s="71"/>
      <c r="DD996" s="71"/>
      <c r="DE996" s="71"/>
      <c r="DF996" s="71"/>
      <c r="DG996" s="71"/>
      <c r="DH996" s="71"/>
      <c r="DI996" s="71"/>
      <c r="DJ996" s="71"/>
      <c r="DK996" s="71"/>
      <c r="DL996" s="71"/>
      <c r="DM996" s="71"/>
      <c r="DN996" s="71"/>
      <c r="DO996" s="71"/>
      <c r="DP996" s="71"/>
      <c r="DQ996" s="71"/>
      <c r="DR996" s="71"/>
      <c r="DS996" s="71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  <c r="IJ996" s="71"/>
      <c r="IK996" s="71"/>
      <c r="IL996" s="71"/>
      <c r="IM996" s="71"/>
      <c r="IN996" s="71"/>
      <c r="IO996" s="71"/>
      <c r="IP996" s="71"/>
      <c r="IQ996" s="71"/>
      <c r="IR996" s="71"/>
      <c r="IS996" s="71"/>
      <c r="IT996" s="71"/>
      <c r="IU996" s="71"/>
      <c r="IV996" s="71"/>
      <c r="IW996" s="71"/>
    </row>
    <row r="997" customFormat="false" ht="12.75" hidden="false" customHeight="false" outlineLevel="0" collapsed="false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71"/>
      <c r="AZ997" s="71"/>
      <c r="BA997" s="71"/>
      <c r="BB997" s="71"/>
      <c r="BC997" s="71"/>
      <c r="BD997" s="71"/>
      <c r="BE997" s="71"/>
      <c r="BF997" s="71"/>
      <c r="BG997" s="71"/>
      <c r="BH997" s="71"/>
      <c r="BI997" s="71"/>
      <c r="BJ997" s="71"/>
      <c r="BK997" s="71"/>
      <c r="BL997" s="71"/>
      <c r="BM997" s="71"/>
      <c r="BN997" s="71"/>
      <c r="BO997" s="71"/>
      <c r="BP997" s="71"/>
      <c r="BQ997" s="71"/>
      <c r="BR997" s="71"/>
      <c r="BS997" s="71"/>
      <c r="BT997" s="71"/>
      <c r="BU997" s="71"/>
      <c r="BV997" s="71"/>
      <c r="BW997" s="71"/>
      <c r="BX997" s="71"/>
      <c r="BY997" s="71"/>
      <c r="BZ997" s="71"/>
      <c r="CA997" s="71"/>
      <c r="CB997" s="71"/>
      <c r="CC997" s="71"/>
      <c r="CD997" s="71"/>
      <c r="CE997" s="71"/>
      <c r="CF997" s="71"/>
      <c r="CG997" s="71"/>
      <c r="CH997" s="71"/>
      <c r="CI997" s="71"/>
      <c r="CJ997" s="71"/>
      <c r="CK997" s="71"/>
      <c r="CL997" s="71"/>
      <c r="CM997" s="71"/>
      <c r="CN997" s="71"/>
      <c r="CO997" s="71"/>
      <c r="CP997" s="71"/>
      <c r="CQ997" s="71"/>
      <c r="CR997" s="71"/>
      <c r="CS997" s="71"/>
      <c r="CT997" s="71"/>
      <c r="CU997" s="71"/>
      <c r="CV997" s="71"/>
      <c r="CW997" s="71"/>
      <c r="CX997" s="71"/>
      <c r="CY997" s="71"/>
      <c r="CZ997" s="71"/>
      <c r="DA997" s="71"/>
      <c r="DB997" s="71"/>
      <c r="DC997" s="71"/>
      <c r="DD997" s="71"/>
      <c r="DE997" s="71"/>
      <c r="DF997" s="71"/>
      <c r="DG997" s="71"/>
      <c r="DH997" s="71"/>
      <c r="DI997" s="71"/>
      <c r="DJ997" s="71"/>
      <c r="DK997" s="71"/>
      <c r="DL997" s="71"/>
      <c r="DM997" s="71"/>
      <c r="DN997" s="71"/>
      <c r="DO997" s="71"/>
      <c r="DP997" s="71"/>
      <c r="DQ997" s="71"/>
      <c r="DR997" s="71"/>
      <c r="DS997" s="71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  <c r="IJ997" s="71"/>
      <c r="IK997" s="71"/>
      <c r="IL997" s="71"/>
      <c r="IM997" s="71"/>
      <c r="IN997" s="71"/>
      <c r="IO997" s="71"/>
      <c r="IP997" s="71"/>
      <c r="IQ997" s="71"/>
      <c r="IR997" s="71"/>
      <c r="IS997" s="71"/>
      <c r="IT997" s="71"/>
      <c r="IU997" s="71"/>
      <c r="IV997" s="71"/>
      <c r="IW997" s="71"/>
    </row>
    <row r="998" customFormat="false" ht="12.75" hidden="false" customHeight="false" outlineLevel="0" collapsed="false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71"/>
      <c r="AM998" s="71"/>
      <c r="AN998" s="71"/>
      <c r="AO998" s="71"/>
      <c r="AP998" s="71"/>
      <c r="AQ998" s="71"/>
      <c r="AR998" s="71"/>
      <c r="AS998" s="71"/>
      <c r="AT998" s="71"/>
      <c r="AU998" s="71"/>
      <c r="AV998" s="71"/>
      <c r="AW998" s="71"/>
      <c r="AX998" s="71"/>
      <c r="AY998" s="71"/>
      <c r="AZ998" s="71"/>
      <c r="BA998" s="71"/>
      <c r="BB998" s="71"/>
      <c r="BC998" s="71"/>
      <c r="BD998" s="71"/>
      <c r="BE998" s="71"/>
      <c r="BF998" s="71"/>
      <c r="BG998" s="71"/>
      <c r="BH998" s="71"/>
      <c r="BI998" s="71"/>
      <c r="BJ998" s="71"/>
      <c r="BK998" s="71"/>
      <c r="BL998" s="71"/>
      <c r="BM998" s="71"/>
      <c r="BN998" s="71"/>
      <c r="BO998" s="71"/>
      <c r="BP998" s="71"/>
      <c r="BQ998" s="71"/>
      <c r="BR998" s="71"/>
      <c r="BS998" s="71"/>
      <c r="BT998" s="71"/>
      <c r="BU998" s="71"/>
      <c r="BV998" s="71"/>
      <c r="BW998" s="71"/>
      <c r="BX998" s="71"/>
      <c r="BY998" s="71"/>
      <c r="BZ998" s="71"/>
      <c r="CA998" s="71"/>
      <c r="CB998" s="71"/>
      <c r="CC998" s="71"/>
      <c r="CD998" s="71"/>
      <c r="CE998" s="71"/>
      <c r="CF998" s="71"/>
      <c r="CG998" s="71"/>
      <c r="CH998" s="71"/>
      <c r="CI998" s="71"/>
      <c r="CJ998" s="71"/>
      <c r="CK998" s="71"/>
      <c r="CL998" s="71"/>
      <c r="CM998" s="71"/>
      <c r="CN998" s="71"/>
      <c r="CO998" s="71"/>
      <c r="CP998" s="71"/>
      <c r="CQ998" s="71"/>
      <c r="CR998" s="71"/>
      <c r="CS998" s="71"/>
      <c r="CT998" s="71"/>
      <c r="CU998" s="71"/>
      <c r="CV998" s="71"/>
      <c r="CW998" s="71"/>
      <c r="CX998" s="71"/>
      <c r="CY998" s="71"/>
      <c r="CZ998" s="71"/>
      <c r="DA998" s="71"/>
      <c r="DB998" s="71"/>
      <c r="DC998" s="71"/>
      <c r="DD998" s="71"/>
      <c r="DE998" s="71"/>
      <c r="DF998" s="71"/>
      <c r="DG998" s="71"/>
      <c r="DH998" s="71"/>
      <c r="DI998" s="71"/>
      <c r="DJ998" s="71"/>
      <c r="DK998" s="71"/>
      <c r="DL998" s="71"/>
      <c r="DM998" s="71"/>
      <c r="DN998" s="71"/>
      <c r="DO998" s="71"/>
      <c r="DP998" s="71"/>
      <c r="DQ998" s="71"/>
      <c r="DR998" s="71"/>
      <c r="DS998" s="71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  <c r="IJ998" s="71"/>
      <c r="IK998" s="71"/>
      <c r="IL998" s="71"/>
      <c r="IM998" s="71"/>
      <c r="IN998" s="71"/>
      <c r="IO998" s="71"/>
      <c r="IP998" s="71"/>
      <c r="IQ998" s="71"/>
      <c r="IR998" s="71"/>
      <c r="IS998" s="71"/>
      <c r="IT998" s="71"/>
      <c r="IU998" s="71"/>
      <c r="IV998" s="71"/>
      <c r="IW998" s="71"/>
    </row>
    <row r="999" customFormat="false" ht="12.75" hidden="false" customHeight="false" outlineLevel="0" collapsed="false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  <c r="BH999" s="71"/>
      <c r="BI999" s="71"/>
      <c r="BJ999" s="71"/>
      <c r="BK999" s="71"/>
      <c r="BL999" s="71"/>
      <c r="BM999" s="71"/>
      <c r="BN999" s="71"/>
      <c r="BO999" s="71"/>
      <c r="BP999" s="71"/>
      <c r="BQ999" s="71"/>
      <c r="BR999" s="71"/>
      <c r="BS999" s="71"/>
      <c r="BT999" s="71"/>
      <c r="BU999" s="71"/>
      <c r="BV999" s="71"/>
      <c r="BW999" s="71"/>
      <c r="BX999" s="71"/>
      <c r="BY999" s="71"/>
      <c r="BZ999" s="71"/>
      <c r="CA999" s="71"/>
      <c r="CB999" s="71"/>
      <c r="CC999" s="71"/>
      <c r="CD999" s="71"/>
      <c r="CE999" s="71"/>
      <c r="CF999" s="71"/>
      <c r="CG999" s="71"/>
      <c r="CH999" s="71"/>
      <c r="CI999" s="71"/>
      <c r="CJ999" s="71"/>
      <c r="CK999" s="71"/>
      <c r="CL999" s="71"/>
      <c r="CM999" s="71"/>
      <c r="CN999" s="71"/>
      <c r="CO999" s="71"/>
      <c r="CP999" s="71"/>
      <c r="CQ999" s="71"/>
      <c r="CR999" s="71"/>
      <c r="CS999" s="71"/>
      <c r="CT999" s="71"/>
      <c r="CU999" s="71"/>
      <c r="CV999" s="71"/>
      <c r="CW999" s="71"/>
      <c r="CX999" s="71"/>
      <c r="CY999" s="71"/>
      <c r="CZ999" s="71"/>
      <c r="DA999" s="71"/>
      <c r="DB999" s="71"/>
      <c r="DC999" s="71"/>
      <c r="DD999" s="71"/>
      <c r="DE999" s="71"/>
      <c r="DF999" s="71"/>
      <c r="DG999" s="71"/>
      <c r="DH999" s="71"/>
      <c r="DI999" s="71"/>
      <c r="DJ999" s="71"/>
      <c r="DK999" s="71"/>
      <c r="DL999" s="71"/>
      <c r="DM999" s="71"/>
      <c r="DN999" s="71"/>
      <c r="DO999" s="71"/>
      <c r="DP999" s="71"/>
      <c r="DQ999" s="71"/>
      <c r="DR999" s="71"/>
      <c r="DS999" s="71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  <c r="IJ999" s="71"/>
      <c r="IK999" s="71"/>
      <c r="IL999" s="71"/>
      <c r="IM999" s="71"/>
      <c r="IN999" s="71"/>
      <c r="IO999" s="71"/>
      <c r="IP999" s="71"/>
      <c r="IQ999" s="71"/>
      <c r="IR999" s="71"/>
      <c r="IS999" s="71"/>
      <c r="IT999" s="71"/>
      <c r="IU999" s="71"/>
      <c r="IV999" s="71"/>
      <c r="IW999" s="71"/>
    </row>
    <row r="1000" customFormat="false" ht="12.75" hidden="false" customHeight="false" outlineLevel="0" collapsed="false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  <c r="AJ1000" s="71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  <c r="BC1000" s="71"/>
      <c r="BD1000" s="71"/>
      <c r="BE1000" s="71"/>
      <c r="BF1000" s="71"/>
      <c r="BG1000" s="71"/>
      <c r="BH1000" s="71"/>
      <c r="BI1000" s="71"/>
      <c r="BJ1000" s="71"/>
      <c r="BK1000" s="71"/>
      <c r="BL1000" s="71"/>
      <c r="BM1000" s="71"/>
      <c r="BN1000" s="71"/>
      <c r="BO1000" s="71"/>
      <c r="BP1000" s="71"/>
      <c r="BQ1000" s="71"/>
      <c r="BR1000" s="71"/>
      <c r="BS1000" s="71"/>
      <c r="BT1000" s="71"/>
      <c r="BU1000" s="71"/>
      <c r="BV1000" s="71"/>
      <c r="BW1000" s="71"/>
      <c r="BX1000" s="71"/>
      <c r="BY1000" s="71"/>
      <c r="BZ1000" s="71"/>
      <c r="CA1000" s="71"/>
      <c r="CB1000" s="71"/>
      <c r="CC1000" s="71"/>
      <c r="CD1000" s="71"/>
      <c r="CE1000" s="71"/>
      <c r="CF1000" s="71"/>
      <c r="CG1000" s="71"/>
      <c r="CH1000" s="71"/>
      <c r="CI1000" s="71"/>
      <c r="CJ1000" s="71"/>
      <c r="CK1000" s="71"/>
      <c r="CL1000" s="71"/>
      <c r="CM1000" s="71"/>
      <c r="CN1000" s="71"/>
      <c r="CO1000" s="71"/>
      <c r="CP1000" s="71"/>
      <c r="CQ1000" s="71"/>
      <c r="CR1000" s="71"/>
      <c r="CS1000" s="71"/>
      <c r="CT1000" s="71"/>
      <c r="CU1000" s="71"/>
      <c r="CV1000" s="71"/>
      <c r="CW1000" s="71"/>
      <c r="CX1000" s="71"/>
      <c r="CY1000" s="71"/>
      <c r="CZ1000" s="71"/>
      <c r="DA1000" s="71"/>
      <c r="DB1000" s="71"/>
      <c r="DC1000" s="71"/>
      <c r="DD1000" s="71"/>
      <c r="DE1000" s="71"/>
      <c r="DF1000" s="71"/>
      <c r="DG1000" s="71"/>
      <c r="DH1000" s="71"/>
      <c r="DI1000" s="71"/>
      <c r="DJ1000" s="71"/>
      <c r="DK1000" s="71"/>
      <c r="DL1000" s="71"/>
      <c r="DM1000" s="71"/>
      <c r="DN1000" s="71"/>
      <c r="DO1000" s="71"/>
      <c r="DP1000" s="71"/>
      <c r="DQ1000" s="71"/>
      <c r="DR1000" s="71"/>
      <c r="DS1000" s="71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  <c r="IJ1000" s="71"/>
      <c r="IK1000" s="71"/>
      <c r="IL1000" s="71"/>
      <c r="IM1000" s="71"/>
      <c r="IN1000" s="71"/>
      <c r="IO1000" s="71"/>
      <c r="IP1000" s="71"/>
      <c r="IQ1000" s="71"/>
      <c r="IR1000" s="71"/>
      <c r="IS1000" s="71"/>
      <c r="IT1000" s="71"/>
      <c r="IU1000" s="71"/>
      <c r="IV1000" s="71"/>
      <c r="IW1000" s="71"/>
    </row>
    <row r="1001" customFormat="false" ht="12.75" hidden="false" customHeight="false" outlineLevel="0" collapsed="false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  <c r="AA1001" s="71"/>
      <c r="AB1001" s="71"/>
      <c r="AC1001" s="71"/>
      <c r="AD1001" s="71"/>
      <c r="AE1001" s="71"/>
      <c r="AF1001" s="71"/>
      <c r="AG1001" s="71"/>
      <c r="AH1001" s="71"/>
      <c r="AI1001" s="71"/>
      <c r="AJ1001" s="71"/>
      <c r="AK1001" s="71"/>
      <c r="AL1001" s="71"/>
      <c r="AM1001" s="71"/>
      <c r="AN1001" s="71"/>
      <c r="AO1001" s="71"/>
      <c r="AP1001" s="71"/>
      <c r="AQ1001" s="71"/>
      <c r="AR1001" s="71"/>
      <c r="AS1001" s="71"/>
      <c r="AT1001" s="71"/>
      <c r="AU1001" s="71"/>
      <c r="AV1001" s="71"/>
      <c r="AW1001" s="71"/>
      <c r="AX1001" s="71"/>
      <c r="AY1001" s="71"/>
      <c r="AZ1001" s="71"/>
      <c r="BA1001" s="71"/>
      <c r="BB1001" s="71"/>
      <c r="BC1001" s="71"/>
      <c r="BD1001" s="71"/>
      <c r="BE1001" s="71"/>
      <c r="BF1001" s="71"/>
      <c r="BG1001" s="71"/>
      <c r="BH1001" s="71"/>
      <c r="BI1001" s="71"/>
      <c r="BJ1001" s="71"/>
      <c r="BK1001" s="71"/>
      <c r="BL1001" s="71"/>
      <c r="BM1001" s="71"/>
      <c r="BN1001" s="71"/>
      <c r="BO1001" s="71"/>
      <c r="BP1001" s="71"/>
      <c r="BQ1001" s="71"/>
      <c r="BR1001" s="71"/>
      <c r="BS1001" s="71"/>
      <c r="BT1001" s="71"/>
      <c r="BU1001" s="71"/>
      <c r="BV1001" s="71"/>
      <c r="BW1001" s="71"/>
      <c r="BX1001" s="71"/>
      <c r="BY1001" s="71"/>
      <c r="BZ1001" s="71"/>
      <c r="CA1001" s="71"/>
      <c r="CB1001" s="71"/>
      <c r="CC1001" s="71"/>
      <c r="CD1001" s="71"/>
      <c r="CE1001" s="71"/>
      <c r="CF1001" s="71"/>
      <c r="CG1001" s="71"/>
      <c r="CH1001" s="71"/>
      <c r="CI1001" s="71"/>
      <c r="CJ1001" s="71"/>
      <c r="CK1001" s="71"/>
      <c r="CL1001" s="71"/>
      <c r="CM1001" s="71"/>
      <c r="CN1001" s="71"/>
      <c r="CO1001" s="71"/>
      <c r="CP1001" s="71"/>
      <c r="CQ1001" s="71"/>
      <c r="CR1001" s="71"/>
      <c r="CS1001" s="71"/>
      <c r="CT1001" s="71"/>
      <c r="CU1001" s="71"/>
      <c r="CV1001" s="71"/>
      <c r="CW1001" s="71"/>
      <c r="CX1001" s="71"/>
      <c r="CY1001" s="71"/>
      <c r="CZ1001" s="71"/>
      <c r="DA1001" s="71"/>
      <c r="DB1001" s="71"/>
      <c r="DC1001" s="71"/>
      <c r="DD1001" s="71"/>
      <c r="DE1001" s="71"/>
      <c r="DF1001" s="71"/>
      <c r="DG1001" s="71"/>
      <c r="DH1001" s="71"/>
      <c r="DI1001" s="71"/>
      <c r="DJ1001" s="71"/>
      <c r="DK1001" s="71"/>
      <c r="DL1001" s="71"/>
      <c r="DM1001" s="71"/>
      <c r="DN1001" s="71"/>
      <c r="DO1001" s="71"/>
      <c r="DP1001" s="71"/>
      <c r="DQ1001" s="71"/>
      <c r="DR1001" s="71"/>
      <c r="DS1001" s="71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  <c r="IJ1001" s="71"/>
      <c r="IK1001" s="71"/>
      <c r="IL1001" s="71"/>
      <c r="IM1001" s="71"/>
      <c r="IN1001" s="71"/>
      <c r="IO1001" s="71"/>
      <c r="IP1001" s="71"/>
      <c r="IQ1001" s="71"/>
      <c r="IR1001" s="71"/>
      <c r="IS1001" s="71"/>
      <c r="IT1001" s="71"/>
      <c r="IU1001" s="71"/>
      <c r="IV1001" s="71"/>
      <c r="IW1001" s="71"/>
    </row>
    <row r="1002" customFormat="false" ht="12.75" hidden="false" customHeight="false" outlineLevel="0" collapsed="false"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/>
      <c r="AF1002" s="71"/>
      <c r="AG1002" s="71"/>
      <c r="AH1002" s="71"/>
      <c r="AI1002" s="71"/>
      <c r="AJ1002" s="71"/>
      <c r="AK1002" s="71"/>
      <c r="AL1002" s="71"/>
      <c r="AM1002" s="71"/>
      <c r="AN1002" s="71"/>
      <c r="AO1002" s="71"/>
      <c r="AP1002" s="71"/>
      <c r="AQ1002" s="71"/>
      <c r="AR1002" s="71"/>
      <c r="AS1002" s="71"/>
      <c r="AT1002" s="71"/>
      <c r="AU1002" s="71"/>
      <c r="AV1002" s="71"/>
      <c r="AW1002" s="71"/>
      <c r="AX1002" s="71"/>
      <c r="AY1002" s="71"/>
      <c r="AZ1002" s="71"/>
      <c r="BA1002" s="71"/>
      <c r="BB1002" s="71"/>
      <c r="BC1002" s="71"/>
      <c r="BD1002" s="71"/>
      <c r="BE1002" s="71"/>
      <c r="BF1002" s="71"/>
      <c r="BG1002" s="71"/>
      <c r="BH1002" s="71"/>
      <c r="BI1002" s="71"/>
      <c r="BJ1002" s="71"/>
      <c r="BK1002" s="71"/>
      <c r="BL1002" s="71"/>
      <c r="BM1002" s="71"/>
      <c r="BN1002" s="71"/>
      <c r="BO1002" s="71"/>
      <c r="BP1002" s="71"/>
      <c r="BQ1002" s="71"/>
      <c r="BR1002" s="71"/>
      <c r="BS1002" s="71"/>
      <c r="BT1002" s="71"/>
      <c r="BU1002" s="71"/>
      <c r="BV1002" s="71"/>
      <c r="BW1002" s="71"/>
      <c r="BX1002" s="71"/>
      <c r="BY1002" s="71"/>
      <c r="BZ1002" s="71"/>
      <c r="CA1002" s="71"/>
      <c r="CB1002" s="71"/>
      <c r="CC1002" s="71"/>
      <c r="CD1002" s="71"/>
      <c r="CE1002" s="71"/>
      <c r="CF1002" s="71"/>
      <c r="CG1002" s="71"/>
      <c r="CH1002" s="71"/>
      <c r="CI1002" s="71"/>
      <c r="CJ1002" s="71"/>
      <c r="CK1002" s="71"/>
      <c r="CL1002" s="71"/>
      <c r="CM1002" s="71"/>
      <c r="CN1002" s="71"/>
      <c r="CO1002" s="71"/>
      <c r="CP1002" s="71"/>
      <c r="CQ1002" s="71"/>
      <c r="CR1002" s="71"/>
      <c r="CS1002" s="71"/>
      <c r="CT1002" s="71"/>
      <c r="CU1002" s="71"/>
      <c r="CV1002" s="71"/>
      <c r="CW1002" s="71"/>
      <c r="CX1002" s="71"/>
      <c r="CY1002" s="71"/>
      <c r="CZ1002" s="71"/>
      <c r="DA1002" s="71"/>
      <c r="DB1002" s="71"/>
      <c r="DC1002" s="71"/>
      <c r="DD1002" s="71"/>
      <c r="DE1002" s="71"/>
      <c r="DF1002" s="71"/>
      <c r="DG1002" s="71"/>
      <c r="DH1002" s="71"/>
      <c r="DI1002" s="71"/>
      <c r="DJ1002" s="71"/>
      <c r="DK1002" s="71"/>
      <c r="DL1002" s="71"/>
      <c r="DM1002" s="71"/>
      <c r="DN1002" s="71"/>
      <c r="DO1002" s="71"/>
      <c r="DP1002" s="71"/>
      <c r="DQ1002" s="71"/>
      <c r="DR1002" s="71"/>
      <c r="DS1002" s="71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  <c r="IJ1002" s="71"/>
      <c r="IK1002" s="71"/>
      <c r="IL1002" s="71"/>
      <c r="IM1002" s="71"/>
      <c r="IN1002" s="71"/>
      <c r="IO1002" s="71"/>
      <c r="IP1002" s="71"/>
      <c r="IQ1002" s="71"/>
      <c r="IR1002" s="71"/>
      <c r="IS1002" s="71"/>
      <c r="IT1002" s="71"/>
      <c r="IU1002" s="71"/>
      <c r="IV1002" s="71"/>
      <c r="IW1002" s="71"/>
    </row>
    <row r="1003" customFormat="false" ht="12.75" hidden="false" customHeight="false" outlineLevel="0" collapsed="false"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  <c r="AA1003" s="71"/>
      <c r="AB1003" s="71"/>
      <c r="AC1003" s="71"/>
      <c r="AD1003" s="71"/>
      <c r="AE1003" s="71"/>
      <c r="AF1003" s="71"/>
      <c r="AG1003" s="71"/>
      <c r="AH1003" s="71"/>
      <c r="AI1003" s="71"/>
      <c r="AJ1003" s="71"/>
      <c r="AK1003" s="71"/>
      <c r="AL1003" s="71"/>
      <c r="AM1003" s="71"/>
      <c r="AN1003" s="71"/>
      <c r="AO1003" s="71"/>
      <c r="AP1003" s="71"/>
      <c r="AQ1003" s="71"/>
      <c r="AR1003" s="71"/>
      <c r="AS1003" s="71"/>
      <c r="AT1003" s="71"/>
      <c r="AU1003" s="71"/>
      <c r="AV1003" s="71"/>
      <c r="AW1003" s="71"/>
      <c r="AX1003" s="71"/>
      <c r="AY1003" s="71"/>
      <c r="AZ1003" s="71"/>
      <c r="BA1003" s="71"/>
      <c r="BB1003" s="71"/>
      <c r="BC1003" s="71"/>
      <c r="BD1003" s="71"/>
      <c r="BE1003" s="71"/>
      <c r="BF1003" s="71"/>
      <c r="BG1003" s="71"/>
      <c r="BH1003" s="71"/>
      <c r="BI1003" s="71"/>
      <c r="BJ1003" s="71"/>
      <c r="BK1003" s="71"/>
      <c r="BL1003" s="71"/>
      <c r="BM1003" s="71"/>
      <c r="BN1003" s="71"/>
      <c r="BO1003" s="71"/>
      <c r="BP1003" s="71"/>
      <c r="BQ1003" s="71"/>
      <c r="BR1003" s="71"/>
      <c r="BS1003" s="71"/>
      <c r="BT1003" s="71"/>
      <c r="BU1003" s="71"/>
      <c r="BV1003" s="71"/>
      <c r="BW1003" s="71"/>
      <c r="BX1003" s="71"/>
      <c r="BY1003" s="71"/>
      <c r="BZ1003" s="71"/>
      <c r="CA1003" s="71"/>
      <c r="CB1003" s="71"/>
      <c r="CC1003" s="71"/>
      <c r="CD1003" s="71"/>
      <c r="CE1003" s="71"/>
      <c r="CF1003" s="71"/>
      <c r="CG1003" s="71"/>
      <c r="CH1003" s="71"/>
      <c r="CI1003" s="71"/>
      <c r="CJ1003" s="71"/>
      <c r="CK1003" s="71"/>
      <c r="CL1003" s="71"/>
      <c r="CM1003" s="71"/>
      <c r="CN1003" s="71"/>
      <c r="CO1003" s="71"/>
      <c r="CP1003" s="71"/>
      <c r="CQ1003" s="71"/>
      <c r="CR1003" s="71"/>
      <c r="CS1003" s="71"/>
      <c r="CT1003" s="71"/>
      <c r="CU1003" s="71"/>
      <c r="CV1003" s="71"/>
      <c r="CW1003" s="71"/>
      <c r="CX1003" s="71"/>
      <c r="CY1003" s="71"/>
      <c r="CZ1003" s="71"/>
      <c r="DA1003" s="71"/>
      <c r="DB1003" s="71"/>
      <c r="DC1003" s="71"/>
      <c r="DD1003" s="71"/>
      <c r="DE1003" s="71"/>
      <c r="DF1003" s="71"/>
      <c r="DG1003" s="71"/>
      <c r="DH1003" s="71"/>
      <c r="DI1003" s="71"/>
      <c r="DJ1003" s="71"/>
      <c r="DK1003" s="71"/>
      <c r="DL1003" s="71"/>
      <c r="DM1003" s="71"/>
      <c r="DN1003" s="71"/>
      <c r="DO1003" s="71"/>
      <c r="DP1003" s="71"/>
      <c r="DQ1003" s="71"/>
      <c r="DR1003" s="71"/>
      <c r="DS1003" s="71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  <c r="IJ1003" s="71"/>
      <c r="IK1003" s="71"/>
      <c r="IL1003" s="71"/>
      <c r="IM1003" s="71"/>
      <c r="IN1003" s="71"/>
      <c r="IO1003" s="71"/>
      <c r="IP1003" s="71"/>
      <c r="IQ1003" s="71"/>
      <c r="IR1003" s="71"/>
      <c r="IS1003" s="71"/>
      <c r="IT1003" s="71"/>
      <c r="IU1003" s="71"/>
      <c r="IV1003" s="71"/>
      <c r="IW1003" s="71"/>
    </row>
    <row r="1004" customFormat="false" ht="12.75" hidden="false" customHeight="false" outlineLevel="0" collapsed="false"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  <c r="AA1004" s="71"/>
      <c r="AB1004" s="71"/>
      <c r="AC1004" s="71"/>
      <c r="AD1004" s="71"/>
      <c r="AE1004" s="71"/>
      <c r="AF1004" s="71"/>
      <c r="AG1004" s="71"/>
      <c r="AH1004" s="71"/>
      <c r="AI1004" s="71"/>
      <c r="AJ1004" s="71"/>
      <c r="AK1004" s="71"/>
      <c r="AL1004" s="71"/>
      <c r="AM1004" s="71"/>
      <c r="AN1004" s="71"/>
      <c r="AO1004" s="71"/>
      <c r="AP1004" s="71"/>
      <c r="AQ1004" s="71"/>
      <c r="AR1004" s="71"/>
      <c r="AS1004" s="71"/>
      <c r="AT1004" s="71"/>
      <c r="AU1004" s="71"/>
      <c r="AV1004" s="71"/>
      <c r="AW1004" s="71"/>
      <c r="AX1004" s="71"/>
      <c r="AY1004" s="71"/>
      <c r="AZ1004" s="71"/>
      <c r="BA1004" s="71"/>
      <c r="BB1004" s="71"/>
      <c r="BC1004" s="71"/>
      <c r="BD1004" s="71"/>
      <c r="BE1004" s="71"/>
      <c r="BF1004" s="71"/>
      <c r="BG1004" s="71"/>
      <c r="BH1004" s="71"/>
      <c r="BI1004" s="71"/>
      <c r="BJ1004" s="71"/>
      <c r="BK1004" s="71"/>
      <c r="BL1004" s="71"/>
      <c r="BM1004" s="71"/>
      <c r="BN1004" s="71"/>
      <c r="BO1004" s="71"/>
      <c r="BP1004" s="71"/>
      <c r="BQ1004" s="71"/>
      <c r="BR1004" s="71"/>
      <c r="BS1004" s="71"/>
      <c r="BT1004" s="71"/>
      <c r="BU1004" s="71"/>
      <c r="BV1004" s="71"/>
      <c r="BW1004" s="71"/>
      <c r="BX1004" s="71"/>
      <c r="BY1004" s="71"/>
      <c r="BZ1004" s="71"/>
      <c r="CA1004" s="71"/>
      <c r="CB1004" s="71"/>
      <c r="CC1004" s="71"/>
      <c r="CD1004" s="71"/>
      <c r="CE1004" s="71"/>
      <c r="CF1004" s="71"/>
      <c r="CG1004" s="71"/>
      <c r="CH1004" s="71"/>
      <c r="CI1004" s="71"/>
      <c r="CJ1004" s="71"/>
      <c r="CK1004" s="71"/>
      <c r="CL1004" s="71"/>
      <c r="CM1004" s="71"/>
      <c r="CN1004" s="71"/>
      <c r="CO1004" s="71"/>
      <c r="CP1004" s="71"/>
      <c r="CQ1004" s="71"/>
      <c r="CR1004" s="71"/>
      <c r="CS1004" s="71"/>
      <c r="CT1004" s="71"/>
      <c r="CU1004" s="71"/>
      <c r="CV1004" s="71"/>
      <c r="CW1004" s="71"/>
      <c r="CX1004" s="71"/>
      <c r="CY1004" s="71"/>
      <c r="CZ1004" s="71"/>
      <c r="DA1004" s="71"/>
      <c r="DB1004" s="71"/>
      <c r="DC1004" s="71"/>
      <c r="DD1004" s="71"/>
      <c r="DE1004" s="71"/>
      <c r="DF1004" s="71"/>
      <c r="DG1004" s="71"/>
      <c r="DH1004" s="71"/>
      <c r="DI1004" s="71"/>
      <c r="DJ1004" s="71"/>
      <c r="DK1004" s="71"/>
      <c r="DL1004" s="71"/>
      <c r="DM1004" s="71"/>
      <c r="DN1004" s="71"/>
      <c r="DO1004" s="71"/>
      <c r="DP1004" s="71"/>
      <c r="DQ1004" s="71"/>
      <c r="DR1004" s="71"/>
      <c r="DS1004" s="71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  <c r="IJ1004" s="71"/>
      <c r="IK1004" s="71"/>
      <c r="IL1004" s="71"/>
      <c r="IM1004" s="71"/>
      <c r="IN1004" s="71"/>
      <c r="IO1004" s="71"/>
      <c r="IP1004" s="71"/>
      <c r="IQ1004" s="71"/>
      <c r="IR1004" s="71"/>
      <c r="IS1004" s="71"/>
      <c r="IT1004" s="71"/>
      <c r="IU1004" s="71"/>
      <c r="IV1004" s="71"/>
      <c r="IW1004" s="71"/>
    </row>
    <row r="1005" customFormat="false" ht="12.75" hidden="false" customHeight="false" outlineLevel="0" collapsed="false"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  <c r="Z1005" s="71"/>
      <c r="AA1005" s="71"/>
      <c r="AB1005" s="71"/>
      <c r="AC1005" s="71"/>
      <c r="AD1005" s="71"/>
      <c r="AE1005" s="71"/>
      <c r="AF1005" s="71"/>
      <c r="AG1005" s="71"/>
      <c r="AH1005" s="71"/>
      <c r="AI1005" s="71"/>
      <c r="AJ1005" s="71"/>
      <c r="AK1005" s="71"/>
      <c r="AL1005" s="71"/>
      <c r="AM1005" s="71"/>
      <c r="AN1005" s="71"/>
      <c r="AO1005" s="71"/>
      <c r="AP1005" s="71"/>
      <c r="AQ1005" s="71"/>
      <c r="AR1005" s="71"/>
      <c r="AS1005" s="71"/>
      <c r="AT1005" s="71"/>
      <c r="AU1005" s="71"/>
      <c r="AV1005" s="71"/>
      <c r="AW1005" s="71"/>
      <c r="AX1005" s="71"/>
      <c r="AY1005" s="71"/>
      <c r="AZ1005" s="71"/>
      <c r="BA1005" s="71"/>
      <c r="BB1005" s="71"/>
      <c r="BC1005" s="71"/>
      <c r="BD1005" s="71"/>
      <c r="BE1005" s="71"/>
      <c r="BF1005" s="71"/>
      <c r="BG1005" s="71"/>
      <c r="BH1005" s="71"/>
      <c r="BI1005" s="71"/>
      <c r="BJ1005" s="71"/>
      <c r="BK1005" s="71"/>
      <c r="BL1005" s="71"/>
      <c r="BM1005" s="71"/>
      <c r="BN1005" s="71"/>
      <c r="BO1005" s="71"/>
      <c r="BP1005" s="71"/>
      <c r="BQ1005" s="71"/>
      <c r="BR1005" s="71"/>
      <c r="BS1005" s="71"/>
      <c r="BT1005" s="71"/>
      <c r="BU1005" s="71"/>
      <c r="BV1005" s="71"/>
      <c r="BW1005" s="71"/>
      <c r="BX1005" s="71"/>
      <c r="BY1005" s="71"/>
      <c r="BZ1005" s="71"/>
      <c r="CA1005" s="71"/>
      <c r="CB1005" s="71"/>
      <c r="CC1005" s="71"/>
      <c r="CD1005" s="71"/>
      <c r="CE1005" s="71"/>
      <c r="CF1005" s="71"/>
      <c r="CG1005" s="71"/>
      <c r="CH1005" s="71"/>
      <c r="CI1005" s="71"/>
      <c r="CJ1005" s="71"/>
      <c r="CK1005" s="71"/>
      <c r="CL1005" s="71"/>
      <c r="CM1005" s="71"/>
      <c r="CN1005" s="71"/>
      <c r="CO1005" s="71"/>
      <c r="CP1005" s="71"/>
      <c r="CQ1005" s="71"/>
      <c r="CR1005" s="71"/>
      <c r="CS1005" s="71"/>
      <c r="CT1005" s="71"/>
      <c r="CU1005" s="71"/>
      <c r="CV1005" s="71"/>
      <c r="CW1005" s="71"/>
      <c r="CX1005" s="71"/>
      <c r="CY1005" s="71"/>
      <c r="CZ1005" s="71"/>
      <c r="DA1005" s="71"/>
      <c r="DB1005" s="71"/>
      <c r="DC1005" s="71"/>
      <c r="DD1005" s="71"/>
      <c r="DE1005" s="71"/>
      <c r="DF1005" s="71"/>
      <c r="DG1005" s="71"/>
      <c r="DH1005" s="71"/>
      <c r="DI1005" s="71"/>
      <c r="DJ1005" s="71"/>
      <c r="DK1005" s="71"/>
      <c r="DL1005" s="71"/>
      <c r="DM1005" s="71"/>
      <c r="DN1005" s="71"/>
      <c r="DO1005" s="71"/>
      <c r="DP1005" s="71"/>
      <c r="DQ1005" s="71"/>
      <c r="DR1005" s="71"/>
      <c r="DS1005" s="71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  <c r="IJ1005" s="71"/>
      <c r="IK1005" s="71"/>
      <c r="IL1005" s="71"/>
      <c r="IM1005" s="71"/>
      <c r="IN1005" s="71"/>
      <c r="IO1005" s="71"/>
      <c r="IP1005" s="71"/>
      <c r="IQ1005" s="71"/>
      <c r="IR1005" s="71"/>
      <c r="IS1005" s="71"/>
      <c r="IT1005" s="71"/>
      <c r="IU1005" s="71"/>
      <c r="IV1005" s="71"/>
      <c r="IW1005" s="71"/>
    </row>
    <row r="1006" customFormat="false" ht="12.75" hidden="false" customHeight="false" outlineLevel="0" collapsed="false"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  <c r="AA1006" s="71"/>
      <c r="AB1006" s="71"/>
      <c r="AC1006" s="71"/>
      <c r="AD1006" s="71"/>
      <c r="AE1006" s="71"/>
      <c r="AF1006" s="71"/>
      <c r="AG1006" s="71"/>
      <c r="AH1006" s="71"/>
      <c r="AI1006" s="71"/>
      <c r="AJ1006" s="71"/>
      <c r="AK1006" s="71"/>
      <c r="AL1006" s="71"/>
      <c r="AM1006" s="71"/>
      <c r="AN1006" s="71"/>
      <c r="AO1006" s="71"/>
      <c r="AP1006" s="71"/>
      <c r="AQ1006" s="71"/>
      <c r="AR1006" s="71"/>
      <c r="AS1006" s="71"/>
      <c r="AT1006" s="71"/>
      <c r="AU1006" s="71"/>
      <c r="AV1006" s="71"/>
      <c r="AW1006" s="71"/>
      <c r="AX1006" s="71"/>
      <c r="AY1006" s="71"/>
      <c r="AZ1006" s="71"/>
      <c r="BA1006" s="71"/>
      <c r="BB1006" s="71"/>
      <c r="BC1006" s="71"/>
      <c r="BD1006" s="71"/>
      <c r="BE1006" s="71"/>
      <c r="BF1006" s="71"/>
      <c r="BG1006" s="71"/>
      <c r="BH1006" s="71"/>
      <c r="BI1006" s="71"/>
      <c r="BJ1006" s="71"/>
      <c r="BK1006" s="71"/>
      <c r="BL1006" s="71"/>
      <c r="BM1006" s="71"/>
      <c r="BN1006" s="71"/>
      <c r="BO1006" s="71"/>
      <c r="BP1006" s="71"/>
      <c r="BQ1006" s="71"/>
      <c r="BR1006" s="71"/>
      <c r="BS1006" s="71"/>
      <c r="BT1006" s="71"/>
      <c r="BU1006" s="71"/>
      <c r="BV1006" s="71"/>
      <c r="BW1006" s="71"/>
      <c r="BX1006" s="71"/>
      <c r="BY1006" s="71"/>
      <c r="BZ1006" s="71"/>
      <c r="CA1006" s="71"/>
      <c r="CB1006" s="71"/>
      <c r="CC1006" s="71"/>
      <c r="CD1006" s="71"/>
      <c r="CE1006" s="71"/>
      <c r="CF1006" s="71"/>
      <c r="CG1006" s="71"/>
      <c r="CH1006" s="71"/>
      <c r="CI1006" s="71"/>
      <c r="CJ1006" s="71"/>
      <c r="CK1006" s="71"/>
      <c r="CL1006" s="71"/>
      <c r="CM1006" s="71"/>
      <c r="CN1006" s="71"/>
      <c r="CO1006" s="71"/>
      <c r="CP1006" s="71"/>
      <c r="CQ1006" s="71"/>
      <c r="CR1006" s="71"/>
      <c r="CS1006" s="71"/>
      <c r="CT1006" s="71"/>
      <c r="CU1006" s="71"/>
      <c r="CV1006" s="71"/>
      <c r="CW1006" s="71"/>
      <c r="CX1006" s="71"/>
      <c r="CY1006" s="71"/>
      <c r="CZ1006" s="71"/>
      <c r="DA1006" s="71"/>
      <c r="DB1006" s="71"/>
      <c r="DC1006" s="71"/>
      <c r="DD1006" s="71"/>
      <c r="DE1006" s="71"/>
      <c r="DF1006" s="71"/>
      <c r="DG1006" s="71"/>
      <c r="DH1006" s="71"/>
      <c r="DI1006" s="71"/>
      <c r="DJ1006" s="71"/>
      <c r="DK1006" s="71"/>
      <c r="DL1006" s="71"/>
      <c r="DM1006" s="71"/>
      <c r="DN1006" s="71"/>
      <c r="DO1006" s="71"/>
      <c r="DP1006" s="71"/>
      <c r="DQ1006" s="71"/>
      <c r="DR1006" s="71"/>
      <c r="DS1006" s="71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  <c r="IJ1006" s="71"/>
      <c r="IK1006" s="71"/>
      <c r="IL1006" s="71"/>
      <c r="IM1006" s="71"/>
      <c r="IN1006" s="71"/>
      <c r="IO1006" s="71"/>
      <c r="IP1006" s="71"/>
      <c r="IQ1006" s="71"/>
      <c r="IR1006" s="71"/>
      <c r="IS1006" s="71"/>
      <c r="IT1006" s="71"/>
      <c r="IU1006" s="71"/>
      <c r="IV1006" s="71"/>
      <c r="IW1006" s="71"/>
    </row>
    <row r="1007" customFormat="false" ht="12.75" hidden="false" customHeight="false" outlineLevel="0" collapsed="false"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  <c r="AA1007" s="71"/>
      <c r="AB1007" s="71"/>
      <c r="AC1007" s="71"/>
      <c r="AD1007" s="71"/>
      <c r="AE1007" s="71"/>
      <c r="AF1007" s="71"/>
      <c r="AG1007" s="71"/>
      <c r="AH1007" s="71"/>
      <c r="AI1007" s="71"/>
      <c r="AJ1007" s="71"/>
      <c r="AK1007" s="71"/>
      <c r="AL1007" s="71"/>
      <c r="AM1007" s="71"/>
      <c r="AN1007" s="71"/>
      <c r="AO1007" s="71"/>
      <c r="AP1007" s="71"/>
      <c r="AQ1007" s="71"/>
      <c r="AR1007" s="71"/>
      <c r="AS1007" s="71"/>
      <c r="AT1007" s="71"/>
      <c r="AU1007" s="71"/>
      <c r="AV1007" s="71"/>
      <c r="AW1007" s="71"/>
      <c r="AX1007" s="71"/>
      <c r="AY1007" s="71"/>
      <c r="AZ1007" s="71"/>
      <c r="BA1007" s="71"/>
      <c r="BB1007" s="71"/>
      <c r="BC1007" s="71"/>
      <c r="BD1007" s="71"/>
      <c r="BE1007" s="71"/>
      <c r="BF1007" s="71"/>
      <c r="BG1007" s="71"/>
      <c r="BH1007" s="71"/>
      <c r="BI1007" s="71"/>
      <c r="BJ1007" s="71"/>
      <c r="BK1007" s="71"/>
      <c r="BL1007" s="71"/>
      <c r="BM1007" s="71"/>
      <c r="BN1007" s="71"/>
      <c r="BO1007" s="71"/>
      <c r="BP1007" s="71"/>
      <c r="BQ1007" s="71"/>
      <c r="BR1007" s="71"/>
      <c r="BS1007" s="71"/>
      <c r="BT1007" s="71"/>
      <c r="BU1007" s="71"/>
      <c r="BV1007" s="71"/>
      <c r="BW1007" s="71"/>
      <c r="BX1007" s="71"/>
      <c r="BY1007" s="71"/>
      <c r="BZ1007" s="71"/>
      <c r="CA1007" s="71"/>
      <c r="CB1007" s="71"/>
      <c r="CC1007" s="71"/>
      <c r="CD1007" s="71"/>
      <c r="CE1007" s="71"/>
      <c r="CF1007" s="71"/>
      <c r="CG1007" s="71"/>
      <c r="CH1007" s="71"/>
      <c r="CI1007" s="71"/>
      <c r="CJ1007" s="71"/>
      <c r="CK1007" s="71"/>
      <c r="CL1007" s="71"/>
      <c r="CM1007" s="71"/>
      <c r="CN1007" s="71"/>
      <c r="CO1007" s="71"/>
      <c r="CP1007" s="71"/>
      <c r="CQ1007" s="71"/>
      <c r="CR1007" s="71"/>
      <c r="CS1007" s="71"/>
      <c r="CT1007" s="71"/>
      <c r="CU1007" s="71"/>
      <c r="CV1007" s="71"/>
      <c r="CW1007" s="71"/>
      <c r="CX1007" s="71"/>
      <c r="CY1007" s="71"/>
      <c r="CZ1007" s="71"/>
      <c r="DA1007" s="71"/>
      <c r="DB1007" s="71"/>
      <c r="DC1007" s="71"/>
      <c r="DD1007" s="71"/>
      <c r="DE1007" s="71"/>
      <c r="DF1007" s="71"/>
      <c r="DG1007" s="71"/>
      <c r="DH1007" s="71"/>
      <c r="DI1007" s="71"/>
      <c r="DJ1007" s="71"/>
      <c r="DK1007" s="71"/>
      <c r="DL1007" s="71"/>
      <c r="DM1007" s="71"/>
      <c r="DN1007" s="71"/>
      <c r="DO1007" s="71"/>
      <c r="DP1007" s="71"/>
      <c r="DQ1007" s="71"/>
      <c r="DR1007" s="71"/>
      <c r="DS1007" s="71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  <c r="IJ1007" s="71"/>
      <c r="IK1007" s="71"/>
      <c r="IL1007" s="71"/>
      <c r="IM1007" s="71"/>
      <c r="IN1007" s="71"/>
      <c r="IO1007" s="71"/>
      <c r="IP1007" s="71"/>
      <c r="IQ1007" s="71"/>
      <c r="IR1007" s="71"/>
      <c r="IS1007" s="71"/>
      <c r="IT1007" s="71"/>
      <c r="IU1007" s="71"/>
      <c r="IV1007" s="71"/>
      <c r="IW1007" s="71"/>
    </row>
    <row r="1008" customFormat="false" ht="12.75" hidden="false" customHeight="false" outlineLevel="0" collapsed="false"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  <c r="AA1008" s="71"/>
      <c r="AB1008" s="71"/>
      <c r="AC1008" s="71"/>
      <c r="AD1008" s="71"/>
      <c r="AE1008" s="71"/>
      <c r="AF1008" s="71"/>
      <c r="AG1008" s="71"/>
      <c r="AH1008" s="71"/>
      <c r="AI1008" s="71"/>
      <c r="AJ1008" s="71"/>
      <c r="AK1008" s="71"/>
      <c r="AL1008" s="71"/>
      <c r="AM1008" s="71"/>
      <c r="AN1008" s="71"/>
      <c r="AO1008" s="71"/>
      <c r="AP1008" s="71"/>
      <c r="AQ1008" s="71"/>
      <c r="AR1008" s="71"/>
      <c r="AS1008" s="71"/>
      <c r="AT1008" s="71"/>
      <c r="AU1008" s="71"/>
      <c r="AV1008" s="71"/>
      <c r="AW1008" s="71"/>
      <c r="AX1008" s="71"/>
      <c r="AY1008" s="71"/>
      <c r="AZ1008" s="71"/>
      <c r="BA1008" s="71"/>
      <c r="BB1008" s="71"/>
      <c r="BC1008" s="71"/>
      <c r="BD1008" s="71"/>
      <c r="BE1008" s="71"/>
      <c r="BF1008" s="71"/>
      <c r="BG1008" s="71"/>
      <c r="BH1008" s="71"/>
      <c r="BI1008" s="71"/>
      <c r="BJ1008" s="71"/>
      <c r="BK1008" s="71"/>
      <c r="BL1008" s="71"/>
      <c r="BM1008" s="71"/>
      <c r="BN1008" s="71"/>
      <c r="BO1008" s="71"/>
      <c r="BP1008" s="71"/>
      <c r="BQ1008" s="71"/>
      <c r="BR1008" s="71"/>
      <c r="BS1008" s="71"/>
      <c r="BT1008" s="71"/>
      <c r="BU1008" s="71"/>
      <c r="BV1008" s="71"/>
      <c r="BW1008" s="71"/>
      <c r="BX1008" s="71"/>
      <c r="BY1008" s="71"/>
      <c r="BZ1008" s="71"/>
      <c r="CA1008" s="71"/>
      <c r="CB1008" s="71"/>
      <c r="CC1008" s="71"/>
      <c r="CD1008" s="71"/>
      <c r="CE1008" s="71"/>
      <c r="CF1008" s="71"/>
      <c r="CG1008" s="71"/>
      <c r="CH1008" s="71"/>
      <c r="CI1008" s="71"/>
      <c r="CJ1008" s="71"/>
      <c r="CK1008" s="71"/>
      <c r="CL1008" s="71"/>
      <c r="CM1008" s="71"/>
      <c r="CN1008" s="71"/>
      <c r="CO1008" s="71"/>
      <c r="CP1008" s="71"/>
      <c r="CQ1008" s="71"/>
      <c r="CR1008" s="71"/>
      <c r="CS1008" s="71"/>
      <c r="CT1008" s="71"/>
      <c r="CU1008" s="71"/>
      <c r="CV1008" s="71"/>
      <c r="CW1008" s="71"/>
      <c r="CX1008" s="71"/>
      <c r="CY1008" s="71"/>
      <c r="CZ1008" s="71"/>
      <c r="DA1008" s="71"/>
      <c r="DB1008" s="71"/>
      <c r="DC1008" s="71"/>
      <c r="DD1008" s="71"/>
      <c r="DE1008" s="71"/>
      <c r="DF1008" s="71"/>
      <c r="DG1008" s="71"/>
      <c r="DH1008" s="71"/>
      <c r="DI1008" s="71"/>
      <c r="DJ1008" s="71"/>
      <c r="DK1008" s="71"/>
      <c r="DL1008" s="71"/>
      <c r="DM1008" s="71"/>
      <c r="DN1008" s="71"/>
      <c r="DO1008" s="71"/>
      <c r="DP1008" s="71"/>
      <c r="DQ1008" s="71"/>
      <c r="DR1008" s="71"/>
      <c r="DS1008" s="71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  <c r="IJ1008" s="71"/>
      <c r="IK1008" s="71"/>
      <c r="IL1008" s="71"/>
      <c r="IM1008" s="71"/>
      <c r="IN1008" s="71"/>
      <c r="IO1008" s="71"/>
      <c r="IP1008" s="71"/>
      <c r="IQ1008" s="71"/>
      <c r="IR1008" s="71"/>
      <c r="IS1008" s="71"/>
      <c r="IT1008" s="71"/>
      <c r="IU1008" s="71"/>
      <c r="IV1008" s="71"/>
      <c r="IW1008" s="71"/>
    </row>
    <row r="1009" customFormat="false" ht="12.75" hidden="false" customHeight="false" outlineLevel="0" collapsed="false"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  <c r="AA1009" s="71"/>
      <c r="AB1009" s="71"/>
      <c r="AC1009" s="71"/>
      <c r="AD1009" s="71"/>
      <c r="AE1009" s="71"/>
      <c r="AF1009" s="71"/>
      <c r="AG1009" s="71"/>
      <c r="AH1009" s="71"/>
      <c r="AI1009" s="71"/>
      <c r="AJ1009" s="71"/>
      <c r="AK1009" s="71"/>
      <c r="AL1009" s="71"/>
      <c r="AM1009" s="71"/>
      <c r="AN1009" s="71"/>
      <c r="AO1009" s="71"/>
      <c r="AP1009" s="71"/>
      <c r="AQ1009" s="71"/>
      <c r="AR1009" s="71"/>
      <c r="AS1009" s="71"/>
      <c r="AT1009" s="71"/>
      <c r="AU1009" s="71"/>
      <c r="AV1009" s="71"/>
      <c r="AW1009" s="71"/>
      <c r="AX1009" s="71"/>
      <c r="AY1009" s="71"/>
      <c r="AZ1009" s="71"/>
      <c r="BA1009" s="71"/>
      <c r="BB1009" s="71"/>
      <c r="BC1009" s="71"/>
      <c r="BD1009" s="71"/>
      <c r="BE1009" s="71"/>
      <c r="BF1009" s="71"/>
      <c r="BG1009" s="71"/>
      <c r="BH1009" s="71"/>
      <c r="BI1009" s="71"/>
      <c r="BJ1009" s="71"/>
      <c r="BK1009" s="71"/>
      <c r="BL1009" s="71"/>
      <c r="BM1009" s="71"/>
      <c r="BN1009" s="71"/>
      <c r="BO1009" s="71"/>
      <c r="BP1009" s="71"/>
      <c r="BQ1009" s="71"/>
      <c r="BR1009" s="71"/>
      <c r="BS1009" s="71"/>
      <c r="BT1009" s="71"/>
      <c r="BU1009" s="71"/>
      <c r="BV1009" s="71"/>
      <c r="BW1009" s="71"/>
      <c r="BX1009" s="71"/>
      <c r="BY1009" s="71"/>
      <c r="BZ1009" s="71"/>
      <c r="CA1009" s="71"/>
      <c r="CB1009" s="71"/>
      <c r="CC1009" s="71"/>
      <c r="CD1009" s="71"/>
      <c r="CE1009" s="71"/>
      <c r="CF1009" s="71"/>
      <c r="CG1009" s="71"/>
      <c r="CH1009" s="71"/>
      <c r="CI1009" s="71"/>
      <c r="CJ1009" s="71"/>
      <c r="CK1009" s="71"/>
      <c r="CL1009" s="71"/>
      <c r="CM1009" s="71"/>
      <c r="CN1009" s="71"/>
      <c r="CO1009" s="71"/>
      <c r="CP1009" s="71"/>
      <c r="CQ1009" s="71"/>
      <c r="CR1009" s="71"/>
      <c r="CS1009" s="71"/>
      <c r="CT1009" s="71"/>
      <c r="CU1009" s="71"/>
      <c r="CV1009" s="71"/>
      <c r="CW1009" s="71"/>
      <c r="CX1009" s="71"/>
      <c r="CY1009" s="71"/>
      <c r="CZ1009" s="71"/>
      <c r="DA1009" s="71"/>
      <c r="DB1009" s="71"/>
      <c r="DC1009" s="71"/>
      <c r="DD1009" s="71"/>
      <c r="DE1009" s="71"/>
      <c r="DF1009" s="71"/>
      <c r="DG1009" s="71"/>
      <c r="DH1009" s="71"/>
      <c r="DI1009" s="71"/>
      <c r="DJ1009" s="71"/>
      <c r="DK1009" s="71"/>
      <c r="DL1009" s="71"/>
      <c r="DM1009" s="71"/>
      <c r="DN1009" s="71"/>
      <c r="DO1009" s="71"/>
      <c r="DP1009" s="71"/>
      <c r="DQ1009" s="71"/>
      <c r="DR1009" s="71"/>
      <c r="DS1009" s="71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  <c r="IJ1009" s="71"/>
      <c r="IK1009" s="71"/>
      <c r="IL1009" s="71"/>
      <c r="IM1009" s="71"/>
      <c r="IN1009" s="71"/>
      <c r="IO1009" s="71"/>
      <c r="IP1009" s="71"/>
      <c r="IQ1009" s="71"/>
      <c r="IR1009" s="71"/>
      <c r="IS1009" s="71"/>
      <c r="IT1009" s="71"/>
      <c r="IU1009" s="71"/>
      <c r="IV1009" s="71"/>
      <c r="IW1009" s="71"/>
    </row>
    <row r="1010" customFormat="false" ht="12.75" hidden="false" customHeight="false" outlineLevel="0" collapsed="false"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  <c r="AA1010" s="71"/>
      <c r="AB1010" s="71"/>
      <c r="AC1010" s="71"/>
      <c r="AD1010" s="71"/>
      <c r="AE1010" s="71"/>
      <c r="AF1010" s="71"/>
      <c r="AG1010" s="71"/>
      <c r="AH1010" s="71"/>
      <c r="AI1010" s="71"/>
      <c r="AJ1010" s="71"/>
      <c r="AK1010" s="71"/>
      <c r="AL1010" s="71"/>
      <c r="AM1010" s="71"/>
      <c r="AN1010" s="71"/>
      <c r="AO1010" s="71"/>
      <c r="AP1010" s="71"/>
      <c r="AQ1010" s="71"/>
      <c r="AR1010" s="71"/>
      <c r="AS1010" s="71"/>
      <c r="AT1010" s="71"/>
      <c r="AU1010" s="71"/>
      <c r="AV1010" s="71"/>
      <c r="AW1010" s="71"/>
      <c r="AX1010" s="71"/>
      <c r="AY1010" s="71"/>
      <c r="AZ1010" s="71"/>
      <c r="BA1010" s="71"/>
      <c r="BB1010" s="71"/>
      <c r="BC1010" s="71"/>
      <c r="BD1010" s="71"/>
      <c r="BE1010" s="71"/>
      <c r="BF1010" s="71"/>
      <c r="BG1010" s="71"/>
      <c r="BH1010" s="71"/>
      <c r="BI1010" s="71"/>
      <c r="BJ1010" s="71"/>
      <c r="BK1010" s="71"/>
      <c r="BL1010" s="71"/>
      <c r="BM1010" s="71"/>
      <c r="BN1010" s="71"/>
      <c r="BO1010" s="71"/>
      <c r="BP1010" s="71"/>
      <c r="BQ1010" s="71"/>
      <c r="BR1010" s="71"/>
      <c r="BS1010" s="71"/>
      <c r="BT1010" s="71"/>
      <c r="BU1010" s="71"/>
      <c r="BV1010" s="71"/>
      <c r="BW1010" s="71"/>
      <c r="BX1010" s="71"/>
      <c r="BY1010" s="71"/>
      <c r="BZ1010" s="71"/>
      <c r="CA1010" s="71"/>
      <c r="CB1010" s="71"/>
      <c r="CC1010" s="71"/>
      <c r="CD1010" s="71"/>
      <c r="CE1010" s="71"/>
      <c r="CF1010" s="71"/>
      <c r="CG1010" s="71"/>
      <c r="CH1010" s="71"/>
      <c r="CI1010" s="71"/>
      <c r="CJ1010" s="71"/>
      <c r="CK1010" s="71"/>
      <c r="CL1010" s="71"/>
      <c r="CM1010" s="71"/>
      <c r="CN1010" s="71"/>
      <c r="CO1010" s="71"/>
      <c r="CP1010" s="71"/>
      <c r="CQ1010" s="71"/>
      <c r="CR1010" s="71"/>
      <c r="CS1010" s="71"/>
      <c r="CT1010" s="71"/>
      <c r="CU1010" s="71"/>
      <c r="CV1010" s="71"/>
      <c r="CW1010" s="71"/>
      <c r="CX1010" s="71"/>
      <c r="CY1010" s="71"/>
      <c r="CZ1010" s="71"/>
      <c r="DA1010" s="71"/>
      <c r="DB1010" s="71"/>
      <c r="DC1010" s="71"/>
      <c r="DD1010" s="71"/>
      <c r="DE1010" s="71"/>
      <c r="DF1010" s="71"/>
      <c r="DG1010" s="71"/>
      <c r="DH1010" s="71"/>
      <c r="DI1010" s="71"/>
      <c r="DJ1010" s="71"/>
      <c r="DK1010" s="71"/>
      <c r="DL1010" s="71"/>
      <c r="DM1010" s="71"/>
      <c r="DN1010" s="71"/>
      <c r="DO1010" s="71"/>
      <c r="DP1010" s="71"/>
      <c r="DQ1010" s="71"/>
      <c r="DR1010" s="71"/>
      <c r="DS1010" s="71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  <c r="IJ1010" s="71"/>
      <c r="IK1010" s="71"/>
      <c r="IL1010" s="71"/>
      <c r="IM1010" s="71"/>
      <c r="IN1010" s="71"/>
      <c r="IO1010" s="71"/>
      <c r="IP1010" s="71"/>
      <c r="IQ1010" s="71"/>
      <c r="IR1010" s="71"/>
      <c r="IS1010" s="71"/>
      <c r="IT1010" s="71"/>
      <c r="IU1010" s="71"/>
      <c r="IV1010" s="71"/>
      <c r="IW1010" s="71"/>
    </row>
    <row r="1011" customFormat="false" ht="12.75" hidden="false" customHeight="false" outlineLevel="0" collapsed="false"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  <c r="AA1011" s="71"/>
      <c r="AB1011" s="71"/>
      <c r="AC1011" s="71"/>
      <c r="AD1011" s="71"/>
      <c r="AE1011" s="71"/>
      <c r="AF1011" s="71"/>
      <c r="AG1011" s="71"/>
      <c r="AH1011" s="71"/>
      <c r="AI1011" s="71"/>
      <c r="AJ1011" s="71"/>
      <c r="AK1011" s="71"/>
      <c r="AL1011" s="71"/>
      <c r="AM1011" s="71"/>
      <c r="AN1011" s="71"/>
      <c r="AO1011" s="71"/>
      <c r="AP1011" s="71"/>
      <c r="AQ1011" s="71"/>
      <c r="AR1011" s="71"/>
      <c r="AS1011" s="71"/>
      <c r="AT1011" s="71"/>
      <c r="AU1011" s="71"/>
      <c r="AV1011" s="71"/>
      <c r="AW1011" s="71"/>
      <c r="AX1011" s="71"/>
      <c r="AY1011" s="71"/>
      <c r="AZ1011" s="71"/>
      <c r="BA1011" s="71"/>
      <c r="BB1011" s="71"/>
      <c r="BC1011" s="71"/>
      <c r="BD1011" s="71"/>
      <c r="BE1011" s="71"/>
      <c r="BF1011" s="71"/>
      <c r="BG1011" s="71"/>
      <c r="BH1011" s="71"/>
      <c r="BI1011" s="71"/>
      <c r="BJ1011" s="71"/>
      <c r="BK1011" s="71"/>
      <c r="BL1011" s="71"/>
      <c r="BM1011" s="71"/>
      <c r="BN1011" s="71"/>
      <c r="BO1011" s="71"/>
      <c r="BP1011" s="71"/>
      <c r="BQ1011" s="71"/>
      <c r="BR1011" s="71"/>
      <c r="BS1011" s="71"/>
      <c r="BT1011" s="71"/>
      <c r="BU1011" s="71"/>
      <c r="BV1011" s="71"/>
      <c r="BW1011" s="71"/>
      <c r="BX1011" s="71"/>
      <c r="BY1011" s="71"/>
      <c r="BZ1011" s="71"/>
      <c r="CA1011" s="71"/>
      <c r="CB1011" s="71"/>
      <c r="CC1011" s="71"/>
      <c r="CD1011" s="71"/>
      <c r="CE1011" s="71"/>
      <c r="CF1011" s="71"/>
      <c r="CG1011" s="71"/>
      <c r="CH1011" s="71"/>
      <c r="CI1011" s="71"/>
      <c r="CJ1011" s="71"/>
      <c r="CK1011" s="71"/>
      <c r="CL1011" s="71"/>
      <c r="CM1011" s="71"/>
      <c r="CN1011" s="71"/>
      <c r="CO1011" s="71"/>
      <c r="CP1011" s="71"/>
      <c r="CQ1011" s="71"/>
      <c r="CR1011" s="71"/>
      <c r="CS1011" s="71"/>
      <c r="CT1011" s="71"/>
      <c r="CU1011" s="71"/>
      <c r="CV1011" s="71"/>
      <c r="CW1011" s="71"/>
      <c r="CX1011" s="71"/>
      <c r="CY1011" s="71"/>
      <c r="CZ1011" s="71"/>
      <c r="DA1011" s="71"/>
      <c r="DB1011" s="71"/>
      <c r="DC1011" s="71"/>
      <c r="DD1011" s="71"/>
      <c r="DE1011" s="71"/>
      <c r="DF1011" s="71"/>
      <c r="DG1011" s="71"/>
      <c r="DH1011" s="71"/>
      <c r="DI1011" s="71"/>
      <c r="DJ1011" s="71"/>
      <c r="DK1011" s="71"/>
      <c r="DL1011" s="71"/>
      <c r="DM1011" s="71"/>
      <c r="DN1011" s="71"/>
      <c r="DO1011" s="71"/>
      <c r="DP1011" s="71"/>
      <c r="DQ1011" s="71"/>
      <c r="DR1011" s="71"/>
      <c r="DS1011" s="71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  <c r="IJ1011" s="71"/>
      <c r="IK1011" s="71"/>
      <c r="IL1011" s="71"/>
      <c r="IM1011" s="71"/>
      <c r="IN1011" s="71"/>
      <c r="IO1011" s="71"/>
      <c r="IP1011" s="71"/>
      <c r="IQ1011" s="71"/>
      <c r="IR1011" s="71"/>
      <c r="IS1011" s="71"/>
      <c r="IT1011" s="71"/>
      <c r="IU1011" s="71"/>
      <c r="IV1011" s="71"/>
      <c r="IW1011" s="71"/>
    </row>
    <row r="1012" customFormat="false" ht="12.75" hidden="false" customHeight="false" outlineLevel="0" collapsed="false"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  <c r="AA1012" s="71"/>
      <c r="AB1012" s="71"/>
      <c r="AC1012" s="71"/>
      <c r="AD1012" s="71"/>
      <c r="AE1012" s="71"/>
      <c r="AF1012" s="71"/>
      <c r="AG1012" s="71"/>
      <c r="AH1012" s="71"/>
      <c r="AI1012" s="71"/>
      <c r="AJ1012" s="71"/>
      <c r="AK1012" s="71"/>
      <c r="AL1012" s="71"/>
      <c r="AM1012" s="71"/>
      <c r="AN1012" s="71"/>
      <c r="AO1012" s="71"/>
      <c r="AP1012" s="71"/>
      <c r="AQ1012" s="71"/>
      <c r="AR1012" s="71"/>
      <c r="AS1012" s="71"/>
      <c r="AT1012" s="71"/>
      <c r="AU1012" s="71"/>
      <c r="AV1012" s="71"/>
      <c r="AW1012" s="71"/>
      <c r="AX1012" s="71"/>
      <c r="AY1012" s="71"/>
      <c r="AZ1012" s="71"/>
      <c r="BA1012" s="71"/>
      <c r="BB1012" s="71"/>
      <c r="BC1012" s="71"/>
      <c r="BD1012" s="71"/>
      <c r="BE1012" s="71"/>
      <c r="BF1012" s="71"/>
      <c r="BG1012" s="71"/>
      <c r="BH1012" s="71"/>
      <c r="BI1012" s="71"/>
      <c r="BJ1012" s="71"/>
      <c r="BK1012" s="71"/>
      <c r="BL1012" s="71"/>
      <c r="BM1012" s="71"/>
      <c r="BN1012" s="71"/>
      <c r="BO1012" s="71"/>
      <c r="BP1012" s="71"/>
      <c r="BQ1012" s="71"/>
      <c r="BR1012" s="71"/>
      <c r="BS1012" s="71"/>
      <c r="BT1012" s="71"/>
      <c r="BU1012" s="71"/>
      <c r="BV1012" s="71"/>
      <c r="BW1012" s="71"/>
      <c r="BX1012" s="71"/>
      <c r="BY1012" s="71"/>
      <c r="BZ1012" s="71"/>
      <c r="CA1012" s="71"/>
      <c r="CB1012" s="71"/>
      <c r="CC1012" s="71"/>
      <c r="CD1012" s="71"/>
      <c r="CE1012" s="71"/>
      <c r="CF1012" s="71"/>
      <c r="CG1012" s="71"/>
      <c r="CH1012" s="71"/>
      <c r="CI1012" s="71"/>
      <c r="CJ1012" s="71"/>
      <c r="CK1012" s="71"/>
      <c r="CL1012" s="71"/>
      <c r="CM1012" s="71"/>
      <c r="CN1012" s="71"/>
      <c r="CO1012" s="71"/>
      <c r="CP1012" s="71"/>
      <c r="CQ1012" s="71"/>
      <c r="CR1012" s="71"/>
      <c r="CS1012" s="71"/>
      <c r="CT1012" s="71"/>
      <c r="CU1012" s="71"/>
      <c r="CV1012" s="71"/>
      <c r="CW1012" s="71"/>
      <c r="CX1012" s="71"/>
      <c r="CY1012" s="71"/>
      <c r="CZ1012" s="71"/>
      <c r="DA1012" s="71"/>
      <c r="DB1012" s="71"/>
      <c r="DC1012" s="71"/>
      <c r="DD1012" s="71"/>
      <c r="DE1012" s="71"/>
      <c r="DF1012" s="71"/>
      <c r="DG1012" s="71"/>
      <c r="DH1012" s="71"/>
      <c r="DI1012" s="71"/>
      <c r="DJ1012" s="71"/>
      <c r="DK1012" s="71"/>
      <c r="DL1012" s="71"/>
      <c r="DM1012" s="71"/>
      <c r="DN1012" s="71"/>
      <c r="DO1012" s="71"/>
      <c r="DP1012" s="71"/>
      <c r="DQ1012" s="71"/>
      <c r="DR1012" s="71"/>
      <c r="DS1012" s="71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  <c r="IJ1012" s="71"/>
      <c r="IK1012" s="71"/>
      <c r="IL1012" s="71"/>
      <c r="IM1012" s="71"/>
      <c r="IN1012" s="71"/>
      <c r="IO1012" s="71"/>
      <c r="IP1012" s="71"/>
      <c r="IQ1012" s="71"/>
      <c r="IR1012" s="71"/>
      <c r="IS1012" s="71"/>
      <c r="IT1012" s="71"/>
      <c r="IU1012" s="71"/>
      <c r="IV1012" s="71"/>
      <c r="IW1012" s="71"/>
    </row>
    <row r="1013" customFormat="false" ht="12.75" hidden="false" customHeight="false" outlineLevel="0" collapsed="false"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  <c r="AA1013" s="71"/>
      <c r="AB1013" s="71"/>
      <c r="AC1013" s="71"/>
      <c r="AD1013" s="71"/>
      <c r="AE1013" s="71"/>
      <c r="AF1013" s="71"/>
      <c r="AG1013" s="71"/>
      <c r="AH1013" s="71"/>
      <c r="AI1013" s="71"/>
      <c r="AJ1013" s="71"/>
      <c r="AK1013" s="71"/>
      <c r="AL1013" s="71"/>
      <c r="AM1013" s="71"/>
      <c r="AN1013" s="71"/>
      <c r="AO1013" s="71"/>
      <c r="AP1013" s="71"/>
      <c r="AQ1013" s="71"/>
      <c r="AR1013" s="71"/>
      <c r="AS1013" s="71"/>
      <c r="AT1013" s="71"/>
      <c r="AU1013" s="71"/>
      <c r="AV1013" s="71"/>
      <c r="AW1013" s="71"/>
      <c r="AX1013" s="71"/>
      <c r="AY1013" s="71"/>
      <c r="AZ1013" s="71"/>
      <c r="BA1013" s="71"/>
      <c r="BB1013" s="71"/>
      <c r="BC1013" s="71"/>
      <c r="BD1013" s="71"/>
      <c r="BE1013" s="71"/>
      <c r="BF1013" s="71"/>
      <c r="BG1013" s="71"/>
      <c r="BH1013" s="71"/>
      <c r="BI1013" s="71"/>
      <c r="BJ1013" s="71"/>
      <c r="BK1013" s="71"/>
      <c r="BL1013" s="71"/>
      <c r="BM1013" s="71"/>
      <c r="BN1013" s="71"/>
      <c r="BO1013" s="71"/>
      <c r="BP1013" s="71"/>
      <c r="BQ1013" s="71"/>
      <c r="BR1013" s="71"/>
      <c r="BS1013" s="71"/>
      <c r="BT1013" s="71"/>
      <c r="BU1013" s="71"/>
      <c r="BV1013" s="71"/>
      <c r="BW1013" s="71"/>
      <c r="BX1013" s="71"/>
      <c r="BY1013" s="71"/>
      <c r="BZ1013" s="71"/>
      <c r="CA1013" s="71"/>
      <c r="CB1013" s="71"/>
      <c r="CC1013" s="71"/>
      <c r="CD1013" s="71"/>
      <c r="CE1013" s="71"/>
      <c r="CF1013" s="71"/>
      <c r="CG1013" s="71"/>
      <c r="CH1013" s="71"/>
      <c r="CI1013" s="71"/>
      <c r="CJ1013" s="71"/>
      <c r="CK1013" s="71"/>
      <c r="CL1013" s="71"/>
      <c r="CM1013" s="71"/>
      <c r="CN1013" s="71"/>
      <c r="CO1013" s="71"/>
      <c r="CP1013" s="71"/>
      <c r="CQ1013" s="71"/>
      <c r="CR1013" s="71"/>
      <c r="CS1013" s="71"/>
      <c r="CT1013" s="71"/>
      <c r="CU1013" s="71"/>
      <c r="CV1013" s="71"/>
      <c r="CW1013" s="71"/>
      <c r="CX1013" s="71"/>
      <c r="CY1013" s="71"/>
      <c r="CZ1013" s="71"/>
      <c r="DA1013" s="71"/>
      <c r="DB1013" s="71"/>
      <c r="DC1013" s="71"/>
      <c r="DD1013" s="71"/>
      <c r="DE1013" s="71"/>
      <c r="DF1013" s="71"/>
      <c r="DG1013" s="71"/>
      <c r="DH1013" s="71"/>
      <c r="DI1013" s="71"/>
      <c r="DJ1013" s="71"/>
      <c r="DK1013" s="71"/>
      <c r="DL1013" s="71"/>
      <c r="DM1013" s="71"/>
      <c r="DN1013" s="71"/>
      <c r="DO1013" s="71"/>
      <c r="DP1013" s="71"/>
      <c r="DQ1013" s="71"/>
      <c r="DR1013" s="71"/>
      <c r="DS1013" s="71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  <c r="IJ1013" s="71"/>
      <c r="IK1013" s="71"/>
      <c r="IL1013" s="71"/>
      <c r="IM1013" s="71"/>
      <c r="IN1013" s="71"/>
      <c r="IO1013" s="71"/>
      <c r="IP1013" s="71"/>
      <c r="IQ1013" s="71"/>
      <c r="IR1013" s="71"/>
      <c r="IS1013" s="71"/>
      <c r="IT1013" s="71"/>
      <c r="IU1013" s="71"/>
      <c r="IV1013" s="71"/>
      <c r="IW1013" s="71"/>
    </row>
    <row r="1014" customFormat="false" ht="12.75" hidden="false" customHeight="false" outlineLevel="0" collapsed="false"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  <c r="AA1014" s="71"/>
      <c r="AB1014" s="71"/>
      <c r="AC1014" s="71"/>
      <c r="AD1014" s="71"/>
      <c r="AE1014" s="71"/>
      <c r="AF1014" s="71"/>
      <c r="AG1014" s="71"/>
      <c r="AH1014" s="71"/>
      <c r="AI1014" s="71"/>
      <c r="AJ1014" s="71"/>
      <c r="AK1014" s="71"/>
      <c r="AL1014" s="71"/>
      <c r="AM1014" s="71"/>
      <c r="AN1014" s="71"/>
      <c r="AO1014" s="71"/>
      <c r="AP1014" s="71"/>
      <c r="AQ1014" s="71"/>
      <c r="AR1014" s="71"/>
      <c r="AS1014" s="71"/>
      <c r="AT1014" s="71"/>
      <c r="AU1014" s="71"/>
      <c r="AV1014" s="71"/>
      <c r="AW1014" s="71"/>
      <c r="AX1014" s="71"/>
      <c r="AY1014" s="71"/>
      <c r="AZ1014" s="71"/>
      <c r="BA1014" s="71"/>
      <c r="BB1014" s="71"/>
      <c r="BC1014" s="71"/>
      <c r="BD1014" s="71"/>
      <c r="BE1014" s="71"/>
      <c r="BF1014" s="71"/>
      <c r="BG1014" s="71"/>
      <c r="BH1014" s="71"/>
      <c r="BI1014" s="71"/>
      <c r="BJ1014" s="71"/>
      <c r="BK1014" s="71"/>
      <c r="BL1014" s="71"/>
      <c r="BM1014" s="71"/>
      <c r="BN1014" s="71"/>
      <c r="BO1014" s="71"/>
      <c r="BP1014" s="71"/>
      <c r="BQ1014" s="71"/>
      <c r="BR1014" s="71"/>
      <c r="BS1014" s="71"/>
      <c r="BT1014" s="71"/>
      <c r="BU1014" s="71"/>
      <c r="BV1014" s="71"/>
      <c r="BW1014" s="71"/>
      <c r="BX1014" s="71"/>
      <c r="BY1014" s="71"/>
      <c r="BZ1014" s="71"/>
      <c r="CA1014" s="71"/>
      <c r="CB1014" s="71"/>
      <c r="CC1014" s="71"/>
      <c r="CD1014" s="71"/>
      <c r="CE1014" s="71"/>
      <c r="CF1014" s="71"/>
      <c r="CG1014" s="71"/>
      <c r="CH1014" s="71"/>
      <c r="CI1014" s="71"/>
      <c r="CJ1014" s="71"/>
      <c r="CK1014" s="71"/>
      <c r="CL1014" s="71"/>
      <c r="CM1014" s="71"/>
      <c r="CN1014" s="71"/>
      <c r="CO1014" s="71"/>
      <c r="CP1014" s="71"/>
      <c r="CQ1014" s="71"/>
      <c r="CR1014" s="71"/>
      <c r="CS1014" s="71"/>
      <c r="CT1014" s="71"/>
      <c r="CU1014" s="71"/>
      <c r="CV1014" s="71"/>
      <c r="CW1014" s="71"/>
      <c r="CX1014" s="71"/>
      <c r="CY1014" s="71"/>
      <c r="CZ1014" s="71"/>
      <c r="DA1014" s="71"/>
      <c r="DB1014" s="71"/>
      <c r="DC1014" s="71"/>
      <c r="DD1014" s="71"/>
      <c r="DE1014" s="71"/>
      <c r="DF1014" s="71"/>
      <c r="DG1014" s="71"/>
      <c r="DH1014" s="71"/>
      <c r="DI1014" s="71"/>
      <c r="DJ1014" s="71"/>
      <c r="DK1014" s="71"/>
      <c r="DL1014" s="71"/>
      <c r="DM1014" s="71"/>
      <c r="DN1014" s="71"/>
      <c r="DO1014" s="71"/>
      <c r="DP1014" s="71"/>
      <c r="DQ1014" s="71"/>
      <c r="DR1014" s="71"/>
      <c r="DS1014" s="71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  <c r="IJ1014" s="71"/>
      <c r="IK1014" s="71"/>
      <c r="IL1014" s="71"/>
      <c r="IM1014" s="71"/>
      <c r="IN1014" s="71"/>
      <c r="IO1014" s="71"/>
      <c r="IP1014" s="71"/>
      <c r="IQ1014" s="71"/>
      <c r="IR1014" s="71"/>
      <c r="IS1014" s="71"/>
      <c r="IT1014" s="71"/>
      <c r="IU1014" s="71"/>
      <c r="IV1014" s="71"/>
      <c r="IW1014" s="71"/>
    </row>
    <row r="1015" customFormat="false" ht="12.75" hidden="false" customHeight="false" outlineLevel="0" collapsed="false"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  <c r="Z1015" s="71"/>
      <c r="AA1015" s="71"/>
      <c r="AB1015" s="71"/>
      <c r="AC1015" s="71"/>
      <c r="AD1015" s="71"/>
      <c r="AE1015" s="71"/>
      <c r="AF1015" s="71"/>
      <c r="AG1015" s="71"/>
      <c r="AH1015" s="71"/>
      <c r="AI1015" s="71"/>
      <c r="AJ1015" s="71"/>
      <c r="AK1015" s="71"/>
      <c r="AL1015" s="71"/>
      <c r="AM1015" s="71"/>
      <c r="AN1015" s="71"/>
      <c r="AO1015" s="71"/>
      <c r="AP1015" s="71"/>
      <c r="AQ1015" s="71"/>
      <c r="AR1015" s="71"/>
      <c r="AS1015" s="71"/>
      <c r="AT1015" s="71"/>
      <c r="AU1015" s="71"/>
      <c r="AV1015" s="71"/>
      <c r="AW1015" s="71"/>
      <c r="AX1015" s="71"/>
      <c r="AY1015" s="71"/>
      <c r="AZ1015" s="71"/>
      <c r="BA1015" s="71"/>
      <c r="BB1015" s="71"/>
      <c r="BC1015" s="71"/>
      <c r="BD1015" s="71"/>
      <c r="BE1015" s="71"/>
      <c r="BF1015" s="71"/>
      <c r="BG1015" s="71"/>
      <c r="BH1015" s="71"/>
      <c r="BI1015" s="71"/>
      <c r="BJ1015" s="71"/>
      <c r="BK1015" s="71"/>
      <c r="BL1015" s="71"/>
      <c r="BM1015" s="71"/>
      <c r="BN1015" s="71"/>
      <c r="BO1015" s="71"/>
      <c r="BP1015" s="71"/>
      <c r="BQ1015" s="71"/>
      <c r="BR1015" s="71"/>
      <c r="BS1015" s="71"/>
      <c r="BT1015" s="71"/>
      <c r="BU1015" s="71"/>
      <c r="BV1015" s="71"/>
      <c r="BW1015" s="71"/>
      <c r="BX1015" s="71"/>
      <c r="BY1015" s="71"/>
      <c r="BZ1015" s="71"/>
      <c r="CA1015" s="71"/>
      <c r="CB1015" s="71"/>
      <c r="CC1015" s="71"/>
      <c r="CD1015" s="71"/>
      <c r="CE1015" s="71"/>
      <c r="CF1015" s="71"/>
      <c r="CG1015" s="71"/>
      <c r="CH1015" s="71"/>
      <c r="CI1015" s="71"/>
      <c r="CJ1015" s="71"/>
      <c r="CK1015" s="71"/>
      <c r="CL1015" s="71"/>
      <c r="CM1015" s="71"/>
      <c r="CN1015" s="71"/>
      <c r="CO1015" s="71"/>
      <c r="CP1015" s="71"/>
      <c r="CQ1015" s="71"/>
      <c r="CR1015" s="71"/>
      <c r="CS1015" s="71"/>
      <c r="CT1015" s="71"/>
      <c r="CU1015" s="71"/>
      <c r="CV1015" s="71"/>
      <c r="CW1015" s="71"/>
      <c r="CX1015" s="71"/>
      <c r="CY1015" s="71"/>
      <c r="CZ1015" s="71"/>
      <c r="DA1015" s="71"/>
      <c r="DB1015" s="71"/>
      <c r="DC1015" s="71"/>
      <c r="DD1015" s="71"/>
      <c r="DE1015" s="71"/>
      <c r="DF1015" s="71"/>
      <c r="DG1015" s="71"/>
      <c r="DH1015" s="71"/>
      <c r="DI1015" s="71"/>
      <c r="DJ1015" s="71"/>
      <c r="DK1015" s="71"/>
      <c r="DL1015" s="71"/>
      <c r="DM1015" s="71"/>
      <c r="DN1015" s="71"/>
      <c r="DO1015" s="71"/>
      <c r="DP1015" s="71"/>
      <c r="DQ1015" s="71"/>
      <c r="DR1015" s="71"/>
      <c r="DS1015" s="71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  <c r="IJ1015" s="71"/>
      <c r="IK1015" s="71"/>
      <c r="IL1015" s="71"/>
      <c r="IM1015" s="71"/>
      <c r="IN1015" s="71"/>
      <c r="IO1015" s="71"/>
      <c r="IP1015" s="71"/>
      <c r="IQ1015" s="71"/>
      <c r="IR1015" s="71"/>
      <c r="IS1015" s="71"/>
      <c r="IT1015" s="71"/>
      <c r="IU1015" s="71"/>
      <c r="IV1015" s="71"/>
      <c r="IW1015" s="71"/>
    </row>
    <row r="1016" customFormat="false" ht="12.75" hidden="false" customHeight="false" outlineLevel="0" collapsed="false"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  <c r="AA1016" s="71"/>
      <c r="AB1016" s="71"/>
      <c r="AC1016" s="71"/>
      <c r="AD1016" s="71"/>
      <c r="AE1016" s="71"/>
      <c r="AF1016" s="71"/>
      <c r="AG1016" s="71"/>
      <c r="AH1016" s="71"/>
      <c r="AI1016" s="71"/>
      <c r="AJ1016" s="71"/>
      <c r="AK1016" s="71"/>
      <c r="AL1016" s="71"/>
      <c r="AM1016" s="71"/>
      <c r="AN1016" s="71"/>
      <c r="AO1016" s="71"/>
      <c r="AP1016" s="71"/>
      <c r="AQ1016" s="71"/>
      <c r="AR1016" s="71"/>
      <c r="AS1016" s="71"/>
      <c r="AT1016" s="71"/>
      <c r="AU1016" s="71"/>
      <c r="AV1016" s="71"/>
      <c r="AW1016" s="71"/>
      <c r="AX1016" s="71"/>
      <c r="AY1016" s="71"/>
      <c r="AZ1016" s="71"/>
      <c r="BA1016" s="71"/>
      <c r="BB1016" s="71"/>
      <c r="BC1016" s="71"/>
      <c r="BD1016" s="71"/>
      <c r="BE1016" s="71"/>
      <c r="BF1016" s="71"/>
      <c r="BG1016" s="71"/>
      <c r="BH1016" s="71"/>
      <c r="BI1016" s="71"/>
      <c r="BJ1016" s="71"/>
      <c r="BK1016" s="71"/>
      <c r="BL1016" s="71"/>
      <c r="BM1016" s="71"/>
      <c r="BN1016" s="71"/>
      <c r="BO1016" s="71"/>
      <c r="BP1016" s="71"/>
      <c r="BQ1016" s="71"/>
      <c r="BR1016" s="71"/>
      <c r="BS1016" s="71"/>
      <c r="BT1016" s="71"/>
      <c r="BU1016" s="71"/>
      <c r="BV1016" s="71"/>
      <c r="BW1016" s="71"/>
      <c r="BX1016" s="71"/>
      <c r="BY1016" s="71"/>
      <c r="BZ1016" s="71"/>
      <c r="CA1016" s="71"/>
      <c r="CB1016" s="71"/>
      <c r="CC1016" s="71"/>
      <c r="CD1016" s="71"/>
      <c r="CE1016" s="71"/>
      <c r="CF1016" s="71"/>
      <c r="CG1016" s="71"/>
      <c r="CH1016" s="71"/>
      <c r="CI1016" s="71"/>
      <c r="CJ1016" s="71"/>
      <c r="CK1016" s="71"/>
      <c r="CL1016" s="71"/>
      <c r="CM1016" s="71"/>
      <c r="CN1016" s="71"/>
      <c r="CO1016" s="71"/>
      <c r="CP1016" s="71"/>
      <c r="CQ1016" s="71"/>
      <c r="CR1016" s="71"/>
      <c r="CS1016" s="71"/>
      <c r="CT1016" s="71"/>
      <c r="CU1016" s="71"/>
      <c r="CV1016" s="71"/>
      <c r="CW1016" s="71"/>
      <c r="CX1016" s="71"/>
      <c r="CY1016" s="71"/>
      <c r="CZ1016" s="71"/>
      <c r="DA1016" s="71"/>
      <c r="DB1016" s="71"/>
      <c r="DC1016" s="71"/>
      <c r="DD1016" s="71"/>
      <c r="DE1016" s="71"/>
      <c r="DF1016" s="71"/>
      <c r="DG1016" s="71"/>
      <c r="DH1016" s="71"/>
      <c r="DI1016" s="71"/>
      <c r="DJ1016" s="71"/>
      <c r="DK1016" s="71"/>
      <c r="DL1016" s="71"/>
      <c r="DM1016" s="71"/>
      <c r="DN1016" s="71"/>
      <c r="DO1016" s="71"/>
      <c r="DP1016" s="71"/>
      <c r="DQ1016" s="71"/>
      <c r="DR1016" s="71"/>
      <c r="DS1016" s="71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  <c r="IJ1016" s="71"/>
      <c r="IK1016" s="71"/>
      <c r="IL1016" s="71"/>
      <c r="IM1016" s="71"/>
      <c r="IN1016" s="71"/>
      <c r="IO1016" s="71"/>
      <c r="IP1016" s="71"/>
      <c r="IQ1016" s="71"/>
      <c r="IR1016" s="71"/>
      <c r="IS1016" s="71"/>
      <c r="IT1016" s="71"/>
      <c r="IU1016" s="71"/>
      <c r="IV1016" s="71"/>
      <c r="IW1016" s="71"/>
    </row>
    <row r="1017" customFormat="false" ht="12.75" hidden="false" customHeight="false" outlineLevel="0" collapsed="false"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  <c r="AA1017" s="71"/>
      <c r="AB1017" s="71"/>
      <c r="AC1017" s="71"/>
      <c r="AD1017" s="71"/>
      <c r="AE1017" s="71"/>
      <c r="AF1017" s="71"/>
      <c r="AG1017" s="71"/>
      <c r="AH1017" s="71"/>
      <c r="AI1017" s="71"/>
      <c r="AJ1017" s="71"/>
      <c r="AK1017" s="71"/>
      <c r="AL1017" s="71"/>
      <c r="AM1017" s="71"/>
      <c r="AN1017" s="71"/>
      <c r="AO1017" s="71"/>
      <c r="AP1017" s="71"/>
      <c r="AQ1017" s="71"/>
      <c r="AR1017" s="71"/>
      <c r="AS1017" s="71"/>
      <c r="AT1017" s="71"/>
      <c r="AU1017" s="71"/>
      <c r="AV1017" s="71"/>
      <c r="AW1017" s="71"/>
      <c r="AX1017" s="71"/>
      <c r="AY1017" s="71"/>
      <c r="AZ1017" s="71"/>
      <c r="BA1017" s="71"/>
      <c r="BB1017" s="71"/>
      <c r="BC1017" s="71"/>
      <c r="BD1017" s="71"/>
      <c r="BE1017" s="71"/>
      <c r="BF1017" s="71"/>
      <c r="BG1017" s="71"/>
      <c r="BH1017" s="71"/>
      <c r="BI1017" s="71"/>
      <c r="BJ1017" s="71"/>
      <c r="BK1017" s="71"/>
      <c r="BL1017" s="71"/>
      <c r="BM1017" s="71"/>
      <c r="BN1017" s="71"/>
      <c r="BO1017" s="71"/>
      <c r="BP1017" s="71"/>
      <c r="BQ1017" s="71"/>
      <c r="BR1017" s="71"/>
      <c r="BS1017" s="71"/>
      <c r="BT1017" s="71"/>
      <c r="BU1017" s="71"/>
      <c r="BV1017" s="71"/>
      <c r="BW1017" s="71"/>
      <c r="BX1017" s="71"/>
      <c r="BY1017" s="71"/>
      <c r="BZ1017" s="71"/>
      <c r="CA1017" s="71"/>
      <c r="CB1017" s="71"/>
      <c r="CC1017" s="71"/>
      <c r="CD1017" s="71"/>
      <c r="CE1017" s="71"/>
      <c r="CF1017" s="71"/>
      <c r="CG1017" s="71"/>
      <c r="CH1017" s="71"/>
      <c r="CI1017" s="71"/>
      <c r="CJ1017" s="71"/>
      <c r="CK1017" s="71"/>
      <c r="CL1017" s="71"/>
      <c r="CM1017" s="71"/>
      <c r="CN1017" s="71"/>
      <c r="CO1017" s="71"/>
      <c r="CP1017" s="71"/>
      <c r="CQ1017" s="71"/>
      <c r="CR1017" s="71"/>
      <c r="CS1017" s="71"/>
      <c r="CT1017" s="71"/>
      <c r="CU1017" s="71"/>
      <c r="CV1017" s="71"/>
      <c r="CW1017" s="71"/>
      <c r="CX1017" s="71"/>
      <c r="CY1017" s="71"/>
      <c r="CZ1017" s="71"/>
      <c r="DA1017" s="71"/>
      <c r="DB1017" s="71"/>
      <c r="DC1017" s="71"/>
      <c r="DD1017" s="71"/>
      <c r="DE1017" s="71"/>
      <c r="DF1017" s="71"/>
      <c r="DG1017" s="71"/>
      <c r="DH1017" s="71"/>
      <c r="DI1017" s="71"/>
      <c r="DJ1017" s="71"/>
      <c r="DK1017" s="71"/>
      <c r="DL1017" s="71"/>
      <c r="DM1017" s="71"/>
      <c r="DN1017" s="71"/>
      <c r="DO1017" s="71"/>
      <c r="DP1017" s="71"/>
      <c r="DQ1017" s="71"/>
      <c r="DR1017" s="71"/>
      <c r="DS1017" s="71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  <c r="IJ1017" s="71"/>
      <c r="IK1017" s="71"/>
      <c r="IL1017" s="71"/>
      <c r="IM1017" s="71"/>
      <c r="IN1017" s="71"/>
      <c r="IO1017" s="71"/>
      <c r="IP1017" s="71"/>
      <c r="IQ1017" s="71"/>
      <c r="IR1017" s="71"/>
      <c r="IS1017" s="71"/>
      <c r="IT1017" s="71"/>
      <c r="IU1017" s="71"/>
      <c r="IV1017" s="71"/>
      <c r="IW1017" s="71"/>
    </row>
    <row r="1018" customFormat="false" ht="12.75" hidden="false" customHeight="false" outlineLevel="0" collapsed="false"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  <c r="AA1018" s="71"/>
      <c r="AB1018" s="71"/>
      <c r="AC1018" s="71"/>
      <c r="AD1018" s="71"/>
      <c r="AE1018" s="71"/>
      <c r="AF1018" s="71"/>
      <c r="AG1018" s="71"/>
      <c r="AH1018" s="71"/>
      <c r="AI1018" s="71"/>
      <c r="AJ1018" s="71"/>
      <c r="AK1018" s="71"/>
      <c r="AL1018" s="71"/>
      <c r="AM1018" s="71"/>
      <c r="AN1018" s="71"/>
      <c r="AO1018" s="71"/>
      <c r="AP1018" s="71"/>
      <c r="AQ1018" s="71"/>
      <c r="AR1018" s="71"/>
      <c r="AS1018" s="71"/>
      <c r="AT1018" s="71"/>
      <c r="AU1018" s="71"/>
      <c r="AV1018" s="71"/>
      <c r="AW1018" s="71"/>
      <c r="AX1018" s="71"/>
      <c r="AY1018" s="71"/>
      <c r="AZ1018" s="71"/>
      <c r="BA1018" s="71"/>
      <c r="BB1018" s="71"/>
      <c r="BC1018" s="71"/>
      <c r="BD1018" s="71"/>
      <c r="BE1018" s="71"/>
      <c r="BF1018" s="71"/>
      <c r="BG1018" s="71"/>
      <c r="BH1018" s="71"/>
      <c r="BI1018" s="71"/>
      <c r="BJ1018" s="71"/>
      <c r="BK1018" s="71"/>
      <c r="BL1018" s="71"/>
      <c r="BM1018" s="71"/>
      <c r="BN1018" s="71"/>
      <c r="BO1018" s="71"/>
      <c r="BP1018" s="71"/>
      <c r="BQ1018" s="71"/>
      <c r="BR1018" s="71"/>
      <c r="BS1018" s="71"/>
      <c r="BT1018" s="71"/>
      <c r="BU1018" s="71"/>
      <c r="BV1018" s="71"/>
      <c r="BW1018" s="71"/>
      <c r="BX1018" s="71"/>
      <c r="BY1018" s="71"/>
      <c r="BZ1018" s="71"/>
      <c r="CA1018" s="71"/>
      <c r="CB1018" s="71"/>
      <c r="CC1018" s="71"/>
      <c r="CD1018" s="71"/>
      <c r="CE1018" s="71"/>
      <c r="CF1018" s="71"/>
      <c r="CG1018" s="71"/>
      <c r="CH1018" s="71"/>
      <c r="CI1018" s="71"/>
      <c r="CJ1018" s="71"/>
      <c r="CK1018" s="71"/>
      <c r="CL1018" s="71"/>
      <c r="CM1018" s="71"/>
      <c r="CN1018" s="71"/>
      <c r="CO1018" s="71"/>
      <c r="CP1018" s="71"/>
      <c r="CQ1018" s="71"/>
      <c r="CR1018" s="71"/>
      <c r="CS1018" s="71"/>
      <c r="CT1018" s="71"/>
      <c r="CU1018" s="71"/>
      <c r="CV1018" s="71"/>
      <c r="CW1018" s="71"/>
      <c r="CX1018" s="71"/>
      <c r="CY1018" s="71"/>
      <c r="CZ1018" s="71"/>
      <c r="DA1018" s="71"/>
      <c r="DB1018" s="71"/>
      <c r="DC1018" s="71"/>
      <c r="DD1018" s="71"/>
      <c r="DE1018" s="71"/>
      <c r="DF1018" s="71"/>
      <c r="DG1018" s="71"/>
      <c r="DH1018" s="71"/>
      <c r="DI1018" s="71"/>
      <c r="DJ1018" s="71"/>
      <c r="DK1018" s="71"/>
      <c r="DL1018" s="71"/>
      <c r="DM1018" s="71"/>
      <c r="DN1018" s="71"/>
      <c r="DO1018" s="71"/>
      <c r="DP1018" s="71"/>
      <c r="DQ1018" s="71"/>
      <c r="DR1018" s="71"/>
      <c r="DS1018" s="71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  <c r="IJ1018" s="71"/>
      <c r="IK1018" s="71"/>
      <c r="IL1018" s="71"/>
      <c r="IM1018" s="71"/>
      <c r="IN1018" s="71"/>
      <c r="IO1018" s="71"/>
      <c r="IP1018" s="71"/>
      <c r="IQ1018" s="71"/>
      <c r="IR1018" s="71"/>
      <c r="IS1018" s="71"/>
      <c r="IT1018" s="71"/>
      <c r="IU1018" s="71"/>
      <c r="IV1018" s="71"/>
      <c r="IW1018" s="71"/>
    </row>
    <row r="1019" customFormat="false" ht="12.75" hidden="false" customHeight="false" outlineLevel="0" collapsed="false"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  <c r="Z1019" s="71"/>
      <c r="AA1019" s="71"/>
      <c r="AB1019" s="71"/>
      <c r="AC1019" s="71"/>
      <c r="AD1019" s="71"/>
      <c r="AE1019" s="71"/>
      <c r="AF1019" s="71"/>
      <c r="AG1019" s="71"/>
      <c r="AH1019" s="71"/>
      <c r="AI1019" s="71"/>
      <c r="AJ1019" s="71"/>
      <c r="AK1019" s="71"/>
      <c r="AL1019" s="71"/>
      <c r="AM1019" s="71"/>
      <c r="AN1019" s="71"/>
      <c r="AO1019" s="71"/>
      <c r="AP1019" s="71"/>
      <c r="AQ1019" s="71"/>
      <c r="AR1019" s="71"/>
      <c r="AS1019" s="71"/>
      <c r="AT1019" s="71"/>
      <c r="AU1019" s="71"/>
      <c r="AV1019" s="71"/>
      <c r="AW1019" s="71"/>
      <c r="AX1019" s="71"/>
      <c r="AY1019" s="71"/>
      <c r="AZ1019" s="71"/>
      <c r="BA1019" s="71"/>
      <c r="BB1019" s="71"/>
      <c r="BC1019" s="71"/>
      <c r="BD1019" s="71"/>
      <c r="BE1019" s="71"/>
      <c r="BF1019" s="71"/>
      <c r="BG1019" s="71"/>
      <c r="BH1019" s="71"/>
      <c r="BI1019" s="71"/>
      <c r="BJ1019" s="71"/>
      <c r="BK1019" s="71"/>
      <c r="BL1019" s="71"/>
      <c r="BM1019" s="71"/>
      <c r="BN1019" s="71"/>
      <c r="BO1019" s="71"/>
      <c r="BP1019" s="71"/>
      <c r="BQ1019" s="71"/>
      <c r="BR1019" s="71"/>
      <c r="BS1019" s="71"/>
      <c r="BT1019" s="71"/>
      <c r="BU1019" s="71"/>
      <c r="BV1019" s="71"/>
      <c r="BW1019" s="71"/>
      <c r="BX1019" s="71"/>
      <c r="BY1019" s="71"/>
      <c r="BZ1019" s="71"/>
      <c r="CA1019" s="71"/>
      <c r="CB1019" s="71"/>
      <c r="CC1019" s="71"/>
      <c r="CD1019" s="71"/>
      <c r="CE1019" s="71"/>
      <c r="CF1019" s="71"/>
      <c r="CG1019" s="71"/>
      <c r="CH1019" s="71"/>
      <c r="CI1019" s="71"/>
      <c r="CJ1019" s="71"/>
      <c r="CK1019" s="71"/>
      <c r="CL1019" s="71"/>
      <c r="CM1019" s="71"/>
      <c r="CN1019" s="71"/>
      <c r="CO1019" s="71"/>
      <c r="CP1019" s="71"/>
      <c r="CQ1019" s="71"/>
      <c r="CR1019" s="71"/>
      <c r="CS1019" s="71"/>
      <c r="CT1019" s="71"/>
      <c r="CU1019" s="71"/>
      <c r="CV1019" s="71"/>
      <c r="CW1019" s="71"/>
      <c r="CX1019" s="71"/>
      <c r="CY1019" s="71"/>
      <c r="CZ1019" s="71"/>
      <c r="DA1019" s="71"/>
      <c r="DB1019" s="71"/>
      <c r="DC1019" s="71"/>
      <c r="DD1019" s="71"/>
      <c r="DE1019" s="71"/>
      <c r="DF1019" s="71"/>
      <c r="DG1019" s="71"/>
      <c r="DH1019" s="71"/>
      <c r="DI1019" s="71"/>
      <c r="DJ1019" s="71"/>
      <c r="DK1019" s="71"/>
      <c r="DL1019" s="71"/>
      <c r="DM1019" s="71"/>
      <c r="DN1019" s="71"/>
      <c r="DO1019" s="71"/>
      <c r="DP1019" s="71"/>
      <c r="DQ1019" s="71"/>
      <c r="DR1019" s="71"/>
      <c r="DS1019" s="71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  <c r="IJ1019" s="71"/>
      <c r="IK1019" s="71"/>
      <c r="IL1019" s="71"/>
      <c r="IM1019" s="71"/>
      <c r="IN1019" s="71"/>
      <c r="IO1019" s="71"/>
      <c r="IP1019" s="71"/>
      <c r="IQ1019" s="71"/>
      <c r="IR1019" s="71"/>
      <c r="IS1019" s="71"/>
      <c r="IT1019" s="71"/>
      <c r="IU1019" s="71"/>
      <c r="IV1019" s="71"/>
      <c r="IW1019" s="71"/>
    </row>
    <row r="1020" customFormat="false" ht="12.75" hidden="false" customHeight="false" outlineLevel="0" collapsed="false"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71"/>
      <c r="P1020" s="71"/>
      <c r="Q1020" s="71"/>
      <c r="R1020" s="71"/>
      <c r="S1020" s="71"/>
      <c r="T1020" s="71"/>
      <c r="U1020" s="71"/>
      <c r="V1020" s="71"/>
      <c r="W1020" s="71"/>
      <c r="X1020" s="71"/>
      <c r="Y1020" s="71"/>
      <c r="Z1020" s="71"/>
      <c r="AA1020" s="71"/>
      <c r="AB1020" s="71"/>
      <c r="AC1020" s="71"/>
      <c r="AD1020" s="71"/>
      <c r="AE1020" s="71"/>
      <c r="AF1020" s="71"/>
      <c r="AG1020" s="71"/>
      <c r="AH1020" s="71"/>
      <c r="AI1020" s="71"/>
      <c r="AJ1020" s="71"/>
      <c r="AK1020" s="71"/>
      <c r="AL1020" s="71"/>
      <c r="AM1020" s="71"/>
      <c r="AN1020" s="71"/>
      <c r="AO1020" s="71"/>
      <c r="AP1020" s="71"/>
      <c r="AQ1020" s="71"/>
      <c r="AR1020" s="71"/>
      <c r="AS1020" s="71"/>
      <c r="AT1020" s="71"/>
      <c r="AU1020" s="71"/>
      <c r="AV1020" s="71"/>
      <c r="AW1020" s="71"/>
      <c r="AX1020" s="71"/>
      <c r="AY1020" s="71"/>
      <c r="AZ1020" s="71"/>
      <c r="BA1020" s="71"/>
      <c r="BB1020" s="71"/>
      <c r="BC1020" s="71"/>
      <c r="BD1020" s="71"/>
      <c r="BE1020" s="71"/>
      <c r="BF1020" s="71"/>
      <c r="BG1020" s="71"/>
      <c r="BH1020" s="71"/>
      <c r="BI1020" s="71"/>
      <c r="BJ1020" s="71"/>
      <c r="BK1020" s="71"/>
      <c r="BL1020" s="71"/>
      <c r="BM1020" s="71"/>
      <c r="BN1020" s="71"/>
      <c r="BO1020" s="71"/>
      <c r="BP1020" s="71"/>
      <c r="BQ1020" s="71"/>
      <c r="BR1020" s="71"/>
      <c r="BS1020" s="71"/>
      <c r="BT1020" s="71"/>
      <c r="BU1020" s="71"/>
      <c r="BV1020" s="71"/>
      <c r="BW1020" s="71"/>
      <c r="BX1020" s="71"/>
      <c r="BY1020" s="71"/>
      <c r="BZ1020" s="71"/>
      <c r="CA1020" s="71"/>
      <c r="CB1020" s="71"/>
      <c r="CC1020" s="71"/>
      <c r="CD1020" s="71"/>
      <c r="CE1020" s="71"/>
      <c r="CF1020" s="71"/>
      <c r="CG1020" s="71"/>
      <c r="CH1020" s="71"/>
      <c r="CI1020" s="71"/>
      <c r="CJ1020" s="71"/>
      <c r="CK1020" s="71"/>
      <c r="CL1020" s="71"/>
      <c r="CM1020" s="71"/>
      <c r="CN1020" s="71"/>
      <c r="CO1020" s="71"/>
      <c r="CP1020" s="71"/>
      <c r="CQ1020" s="71"/>
      <c r="CR1020" s="71"/>
      <c r="CS1020" s="71"/>
      <c r="CT1020" s="71"/>
      <c r="CU1020" s="71"/>
      <c r="CV1020" s="71"/>
      <c r="CW1020" s="71"/>
      <c r="CX1020" s="71"/>
      <c r="CY1020" s="71"/>
      <c r="CZ1020" s="71"/>
      <c r="DA1020" s="71"/>
      <c r="DB1020" s="71"/>
      <c r="DC1020" s="71"/>
      <c r="DD1020" s="71"/>
      <c r="DE1020" s="71"/>
      <c r="DF1020" s="71"/>
      <c r="DG1020" s="71"/>
      <c r="DH1020" s="71"/>
      <c r="DI1020" s="71"/>
      <c r="DJ1020" s="71"/>
      <c r="DK1020" s="71"/>
      <c r="DL1020" s="71"/>
      <c r="DM1020" s="71"/>
      <c r="DN1020" s="71"/>
      <c r="DO1020" s="71"/>
      <c r="DP1020" s="71"/>
      <c r="DQ1020" s="71"/>
      <c r="DR1020" s="71"/>
      <c r="DS1020" s="71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  <c r="IJ1020" s="71"/>
      <c r="IK1020" s="71"/>
      <c r="IL1020" s="71"/>
      <c r="IM1020" s="71"/>
      <c r="IN1020" s="71"/>
      <c r="IO1020" s="71"/>
      <c r="IP1020" s="71"/>
      <c r="IQ1020" s="71"/>
      <c r="IR1020" s="71"/>
      <c r="IS1020" s="71"/>
      <c r="IT1020" s="71"/>
      <c r="IU1020" s="71"/>
      <c r="IV1020" s="71"/>
      <c r="IW1020" s="71"/>
    </row>
    <row r="1021" customFormat="false" ht="12.75" hidden="false" customHeight="false" outlineLevel="0" collapsed="false"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71"/>
      <c r="P1021" s="71"/>
      <c r="Q1021" s="71"/>
      <c r="R1021" s="71"/>
      <c r="S1021" s="71"/>
      <c r="T1021" s="71"/>
      <c r="U1021" s="71"/>
      <c r="V1021" s="71"/>
      <c r="W1021" s="71"/>
      <c r="X1021" s="71"/>
      <c r="Y1021" s="71"/>
      <c r="Z1021" s="71"/>
      <c r="AA1021" s="71"/>
      <c r="AB1021" s="71"/>
      <c r="AC1021" s="71"/>
      <c r="AD1021" s="71"/>
      <c r="AE1021" s="71"/>
      <c r="AF1021" s="71"/>
      <c r="AG1021" s="71"/>
      <c r="AH1021" s="71"/>
      <c r="AI1021" s="71"/>
      <c r="AJ1021" s="71"/>
      <c r="AK1021" s="71"/>
      <c r="AL1021" s="71"/>
      <c r="AM1021" s="71"/>
      <c r="AN1021" s="71"/>
      <c r="AO1021" s="71"/>
      <c r="AP1021" s="71"/>
      <c r="AQ1021" s="71"/>
      <c r="AR1021" s="71"/>
      <c r="AS1021" s="71"/>
      <c r="AT1021" s="71"/>
      <c r="AU1021" s="71"/>
      <c r="AV1021" s="71"/>
      <c r="AW1021" s="71"/>
      <c r="AX1021" s="71"/>
      <c r="AY1021" s="71"/>
      <c r="AZ1021" s="71"/>
      <c r="BA1021" s="71"/>
      <c r="BB1021" s="71"/>
      <c r="BC1021" s="71"/>
      <c r="BD1021" s="71"/>
      <c r="BE1021" s="71"/>
      <c r="BF1021" s="71"/>
      <c r="BG1021" s="71"/>
      <c r="BH1021" s="71"/>
      <c r="BI1021" s="71"/>
      <c r="BJ1021" s="71"/>
      <c r="BK1021" s="71"/>
      <c r="BL1021" s="71"/>
      <c r="BM1021" s="71"/>
      <c r="BN1021" s="71"/>
      <c r="BO1021" s="71"/>
      <c r="BP1021" s="71"/>
      <c r="BQ1021" s="71"/>
      <c r="BR1021" s="71"/>
      <c r="BS1021" s="71"/>
      <c r="BT1021" s="71"/>
      <c r="BU1021" s="71"/>
      <c r="BV1021" s="71"/>
      <c r="BW1021" s="71"/>
      <c r="BX1021" s="71"/>
      <c r="BY1021" s="71"/>
      <c r="BZ1021" s="71"/>
      <c r="CA1021" s="71"/>
      <c r="CB1021" s="71"/>
      <c r="CC1021" s="71"/>
      <c r="CD1021" s="71"/>
      <c r="CE1021" s="71"/>
      <c r="CF1021" s="71"/>
      <c r="CG1021" s="71"/>
      <c r="CH1021" s="71"/>
      <c r="CI1021" s="71"/>
      <c r="CJ1021" s="71"/>
      <c r="CK1021" s="71"/>
      <c r="CL1021" s="71"/>
      <c r="CM1021" s="71"/>
      <c r="CN1021" s="71"/>
      <c r="CO1021" s="71"/>
      <c r="CP1021" s="71"/>
      <c r="CQ1021" s="71"/>
      <c r="CR1021" s="71"/>
      <c r="CS1021" s="71"/>
      <c r="CT1021" s="71"/>
      <c r="CU1021" s="71"/>
      <c r="CV1021" s="71"/>
      <c r="CW1021" s="71"/>
      <c r="CX1021" s="71"/>
      <c r="CY1021" s="71"/>
      <c r="CZ1021" s="71"/>
      <c r="DA1021" s="71"/>
      <c r="DB1021" s="71"/>
      <c r="DC1021" s="71"/>
      <c r="DD1021" s="71"/>
      <c r="DE1021" s="71"/>
      <c r="DF1021" s="71"/>
      <c r="DG1021" s="71"/>
      <c r="DH1021" s="71"/>
      <c r="DI1021" s="71"/>
      <c r="DJ1021" s="71"/>
      <c r="DK1021" s="71"/>
      <c r="DL1021" s="71"/>
      <c r="DM1021" s="71"/>
      <c r="DN1021" s="71"/>
      <c r="DO1021" s="71"/>
      <c r="DP1021" s="71"/>
      <c r="DQ1021" s="71"/>
      <c r="DR1021" s="71"/>
      <c r="DS1021" s="71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  <c r="IJ1021" s="71"/>
      <c r="IK1021" s="71"/>
      <c r="IL1021" s="71"/>
      <c r="IM1021" s="71"/>
      <c r="IN1021" s="71"/>
      <c r="IO1021" s="71"/>
      <c r="IP1021" s="71"/>
      <c r="IQ1021" s="71"/>
      <c r="IR1021" s="71"/>
      <c r="IS1021" s="71"/>
      <c r="IT1021" s="71"/>
      <c r="IU1021" s="71"/>
      <c r="IV1021" s="71"/>
      <c r="IW1021" s="71"/>
    </row>
    <row r="1022" customFormat="false" ht="12.75" hidden="false" customHeight="false" outlineLevel="0" collapsed="false"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71"/>
      <c r="P1022" s="71"/>
      <c r="Q1022" s="71"/>
      <c r="R1022" s="71"/>
      <c r="S1022" s="71"/>
      <c r="T1022" s="71"/>
      <c r="U1022" s="71"/>
      <c r="V1022" s="71"/>
      <c r="W1022" s="71"/>
      <c r="X1022" s="71"/>
      <c r="Y1022" s="71"/>
      <c r="Z1022" s="71"/>
      <c r="AA1022" s="71"/>
      <c r="AB1022" s="71"/>
      <c r="AC1022" s="71"/>
      <c r="AD1022" s="71"/>
      <c r="AE1022" s="71"/>
      <c r="AF1022" s="71"/>
      <c r="AG1022" s="71"/>
      <c r="AH1022" s="71"/>
      <c r="AI1022" s="71"/>
      <c r="AJ1022" s="71"/>
      <c r="AK1022" s="71"/>
      <c r="AL1022" s="71"/>
      <c r="AM1022" s="71"/>
      <c r="AN1022" s="71"/>
      <c r="AO1022" s="71"/>
      <c r="AP1022" s="71"/>
      <c r="AQ1022" s="71"/>
      <c r="AR1022" s="71"/>
      <c r="AS1022" s="71"/>
      <c r="AT1022" s="71"/>
      <c r="AU1022" s="71"/>
      <c r="AV1022" s="71"/>
      <c r="AW1022" s="71"/>
      <c r="AX1022" s="71"/>
      <c r="AY1022" s="71"/>
      <c r="AZ1022" s="71"/>
      <c r="BA1022" s="71"/>
      <c r="BB1022" s="71"/>
      <c r="BC1022" s="71"/>
      <c r="BD1022" s="71"/>
      <c r="BE1022" s="71"/>
      <c r="BF1022" s="71"/>
      <c r="BG1022" s="71"/>
      <c r="BH1022" s="71"/>
      <c r="BI1022" s="71"/>
      <c r="BJ1022" s="71"/>
      <c r="BK1022" s="71"/>
      <c r="BL1022" s="71"/>
      <c r="BM1022" s="71"/>
      <c r="BN1022" s="71"/>
      <c r="BO1022" s="71"/>
      <c r="BP1022" s="71"/>
      <c r="BQ1022" s="71"/>
      <c r="BR1022" s="71"/>
      <c r="BS1022" s="71"/>
      <c r="BT1022" s="71"/>
      <c r="BU1022" s="71"/>
      <c r="BV1022" s="71"/>
      <c r="BW1022" s="71"/>
      <c r="BX1022" s="71"/>
      <c r="BY1022" s="71"/>
      <c r="BZ1022" s="71"/>
      <c r="CA1022" s="71"/>
      <c r="CB1022" s="71"/>
      <c r="CC1022" s="71"/>
      <c r="CD1022" s="71"/>
      <c r="CE1022" s="71"/>
      <c r="CF1022" s="71"/>
      <c r="CG1022" s="71"/>
      <c r="CH1022" s="71"/>
      <c r="CI1022" s="71"/>
      <c r="CJ1022" s="71"/>
      <c r="CK1022" s="71"/>
      <c r="CL1022" s="71"/>
      <c r="CM1022" s="71"/>
      <c r="CN1022" s="71"/>
      <c r="CO1022" s="71"/>
      <c r="CP1022" s="71"/>
      <c r="CQ1022" s="71"/>
      <c r="CR1022" s="71"/>
      <c r="CS1022" s="71"/>
      <c r="CT1022" s="71"/>
      <c r="CU1022" s="71"/>
      <c r="CV1022" s="71"/>
      <c r="CW1022" s="71"/>
      <c r="CX1022" s="71"/>
      <c r="CY1022" s="71"/>
      <c r="CZ1022" s="71"/>
      <c r="DA1022" s="71"/>
      <c r="DB1022" s="71"/>
      <c r="DC1022" s="71"/>
      <c r="DD1022" s="71"/>
      <c r="DE1022" s="71"/>
      <c r="DF1022" s="71"/>
      <c r="DG1022" s="71"/>
      <c r="DH1022" s="71"/>
      <c r="DI1022" s="71"/>
      <c r="DJ1022" s="71"/>
      <c r="DK1022" s="71"/>
      <c r="DL1022" s="71"/>
      <c r="DM1022" s="71"/>
      <c r="DN1022" s="71"/>
      <c r="DO1022" s="71"/>
      <c r="DP1022" s="71"/>
      <c r="DQ1022" s="71"/>
      <c r="DR1022" s="71"/>
      <c r="DS1022" s="71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  <c r="IJ1022" s="71"/>
      <c r="IK1022" s="71"/>
      <c r="IL1022" s="71"/>
      <c r="IM1022" s="71"/>
      <c r="IN1022" s="71"/>
      <c r="IO1022" s="71"/>
      <c r="IP1022" s="71"/>
      <c r="IQ1022" s="71"/>
      <c r="IR1022" s="71"/>
      <c r="IS1022" s="71"/>
      <c r="IT1022" s="71"/>
      <c r="IU1022" s="71"/>
      <c r="IV1022" s="71"/>
      <c r="IW1022" s="71"/>
    </row>
    <row r="1023" customFormat="false" ht="12.75" hidden="false" customHeight="false" outlineLevel="0" collapsed="false"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1"/>
      <c r="Z1023" s="71"/>
      <c r="AA1023" s="71"/>
      <c r="AB1023" s="71"/>
      <c r="AC1023" s="71"/>
      <c r="AD1023" s="71"/>
      <c r="AE1023" s="71"/>
      <c r="AF1023" s="71"/>
      <c r="AG1023" s="71"/>
      <c r="AH1023" s="71"/>
      <c r="AI1023" s="71"/>
      <c r="AJ1023" s="71"/>
      <c r="AK1023" s="71"/>
      <c r="AL1023" s="71"/>
      <c r="AM1023" s="71"/>
      <c r="AN1023" s="71"/>
      <c r="AO1023" s="71"/>
      <c r="AP1023" s="71"/>
      <c r="AQ1023" s="71"/>
      <c r="AR1023" s="71"/>
      <c r="AS1023" s="71"/>
      <c r="AT1023" s="71"/>
      <c r="AU1023" s="71"/>
      <c r="AV1023" s="71"/>
      <c r="AW1023" s="71"/>
      <c r="AX1023" s="71"/>
      <c r="AY1023" s="71"/>
      <c r="AZ1023" s="71"/>
      <c r="BA1023" s="71"/>
      <c r="BB1023" s="71"/>
      <c r="BC1023" s="71"/>
      <c r="BD1023" s="71"/>
      <c r="BE1023" s="71"/>
      <c r="BF1023" s="71"/>
      <c r="BG1023" s="71"/>
      <c r="BH1023" s="71"/>
      <c r="BI1023" s="71"/>
      <c r="BJ1023" s="71"/>
      <c r="BK1023" s="71"/>
      <c r="BL1023" s="71"/>
      <c r="BM1023" s="71"/>
      <c r="BN1023" s="71"/>
      <c r="BO1023" s="71"/>
      <c r="BP1023" s="71"/>
      <c r="BQ1023" s="71"/>
      <c r="BR1023" s="71"/>
      <c r="BS1023" s="71"/>
      <c r="BT1023" s="71"/>
      <c r="BU1023" s="71"/>
      <c r="BV1023" s="71"/>
      <c r="BW1023" s="71"/>
      <c r="BX1023" s="71"/>
      <c r="BY1023" s="71"/>
      <c r="BZ1023" s="71"/>
      <c r="CA1023" s="71"/>
      <c r="CB1023" s="71"/>
      <c r="CC1023" s="71"/>
      <c r="CD1023" s="71"/>
      <c r="CE1023" s="71"/>
      <c r="CF1023" s="71"/>
      <c r="CG1023" s="71"/>
      <c r="CH1023" s="71"/>
      <c r="CI1023" s="71"/>
      <c r="CJ1023" s="71"/>
      <c r="CK1023" s="71"/>
      <c r="CL1023" s="71"/>
      <c r="CM1023" s="71"/>
      <c r="CN1023" s="71"/>
      <c r="CO1023" s="71"/>
      <c r="CP1023" s="71"/>
      <c r="CQ1023" s="71"/>
      <c r="CR1023" s="71"/>
      <c r="CS1023" s="71"/>
      <c r="CT1023" s="71"/>
      <c r="CU1023" s="71"/>
      <c r="CV1023" s="71"/>
      <c r="CW1023" s="71"/>
      <c r="CX1023" s="71"/>
      <c r="CY1023" s="71"/>
      <c r="CZ1023" s="71"/>
      <c r="DA1023" s="71"/>
      <c r="DB1023" s="71"/>
      <c r="DC1023" s="71"/>
      <c r="DD1023" s="71"/>
      <c r="DE1023" s="71"/>
      <c r="DF1023" s="71"/>
      <c r="DG1023" s="71"/>
      <c r="DH1023" s="71"/>
      <c r="DI1023" s="71"/>
      <c r="DJ1023" s="71"/>
      <c r="DK1023" s="71"/>
      <c r="DL1023" s="71"/>
      <c r="DM1023" s="71"/>
      <c r="DN1023" s="71"/>
      <c r="DO1023" s="71"/>
      <c r="DP1023" s="71"/>
      <c r="DQ1023" s="71"/>
      <c r="DR1023" s="71"/>
      <c r="DS1023" s="71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  <c r="IJ1023" s="71"/>
      <c r="IK1023" s="71"/>
      <c r="IL1023" s="71"/>
      <c r="IM1023" s="71"/>
      <c r="IN1023" s="71"/>
      <c r="IO1023" s="71"/>
      <c r="IP1023" s="71"/>
      <c r="IQ1023" s="71"/>
      <c r="IR1023" s="71"/>
      <c r="IS1023" s="71"/>
      <c r="IT1023" s="71"/>
      <c r="IU1023" s="71"/>
      <c r="IV1023" s="71"/>
      <c r="IW1023" s="71"/>
    </row>
    <row r="1024" customFormat="false" ht="12.75" hidden="false" customHeight="false" outlineLevel="0" collapsed="false"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/>
      <c r="Y1024" s="71"/>
      <c r="Z1024" s="71"/>
      <c r="AA1024" s="71"/>
      <c r="AB1024" s="71"/>
      <c r="AC1024" s="71"/>
      <c r="AD1024" s="71"/>
      <c r="AE1024" s="71"/>
      <c r="AF1024" s="71"/>
      <c r="AG1024" s="71"/>
      <c r="AH1024" s="71"/>
      <c r="AI1024" s="71"/>
      <c r="AJ1024" s="71"/>
      <c r="AK1024" s="71"/>
      <c r="AL1024" s="71"/>
      <c r="AM1024" s="71"/>
      <c r="AN1024" s="71"/>
      <c r="AO1024" s="71"/>
      <c r="AP1024" s="71"/>
      <c r="AQ1024" s="71"/>
      <c r="AR1024" s="71"/>
      <c r="AS1024" s="71"/>
      <c r="AT1024" s="71"/>
      <c r="AU1024" s="71"/>
      <c r="AV1024" s="71"/>
      <c r="AW1024" s="71"/>
      <c r="AX1024" s="71"/>
      <c r="AY1024" s="71"/>
      <c r="AZ1024" s="71"/>
      <c r="BA1024" s="71"/>
      <c r="BB1024" s="71"/>
      <c r="BC1024" s="71"/>
      <c r="BD1024" s="71"/>
      <c r="BE1024" s="71"/>
      <c r="BF1024" s="71"/>
      <c r="BG1024" s="71"/>
      <c r="BH1024" s="71"/>
      <c r="BI1024" s="71"/>
      <c r="BJ1024" s="71"/>
      <c r="BK1024" s="71"/>
      <c r="BL1024" s="71"/>
      <c r="BM1024" s="71"/>
      <c r="BN1024" s="71"/>
      <c r="BO1024" s="71"/>
      <c r="BP1024" s="71"/>
      <c r="BQ1024" s="71"/>
      <c r="BR1024" s="71"/>
      <c r="BS1024" s="71"/>
      <c r="BT1024" s="71"/>
      <c r="BU1024" s="71"/>
      <c r="BV1024" s="71"/>
      <c r="BW1024" s="71"/>
      <c r="BX1024" s="71"/>
      <c r="BY1024" s="71"/>
      <c r="BZ1024" s="71"/>
      <c r="CA1024" s="71"/>
      <c r="CB1024" s="71"/>
      <c r="CC1024" s="71"/>
      <c r="CD1024" s="71"/>
      <c r="CE1024" s="71"/>
      <c r="CF1024" s="71"/>
      <c r="CG1024" s="71"/>
      <c r="CH1024" s="71"/>
      <c r="CI1024" s="71"/>
      <c r="CJ1024" s="71"/>
      <c r="CK1024" s="71"/>
      <c r="CL1024" s="71"/>
      <c r="CM1024" s="71"/>
      <c r="CN1024" s="71"/>
      <c r="CO1024" s="71"/>
      <c r="CP1024" s="71"/>
      <c r="CQ1024" s="71"/>
      <c r="CR1024" s="71"/>
      <c r="CS1024" s="71"/>
      <c r="CT1024" s="71"/>
      <c r="CU1024" s="71"/>
      <c r="CV1024" s="71"/>
      <c r="CW1024" s="71"/>
      <c r="CX1024" s="71"/>
      <c r="CY1024" s="71"/>
      <c r="CZ1024" s="71"/>
      <c r="DA1024" s="71"/>
      <c r="DB1024" s="71"/>
      <c r="DC1024" s="71"/>
      <c r="DD1024" s="71"/>
      <c r="DE1024" s="71"/>
      <c r="DF1024" s="71"/>
      <c r="DG1024" s="71"/>
      <c r="DH1024" s="71"/>
      <c r="DI1024" s="71"/>
      <c r="DJ1024" s="71"/>
      <c r="DK1024" s="71"/>
      <c r="DL1024" s="71"/>
      <c r="DM1024" s="71"/>
      <c r="DN1024" s="71"/>
      <c r="DO1024" s="71"/>
      <c r="DP1024" s="71"/>
      <c r="DQ1024" s="71"/>
      <c r="DR1024" s="71"/>
      <c r="DS1024" s="71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  <c r="IJ1024" s="71"/>
      <c r="IK1024" s="71"/>
      <c r="IL1024" s="71"/>
      <c r="IM1024" s="71"/>
      <c r="IN1024" s="71"/>
      <c r="IO1024" s="71"/>
      <c r="IP1024" s="71"/>
      <c r="IQ1024" s="71"/>
      <c r="IR1024" s="71"/>
      <c r="IS1024" s="71"/>
      <c r="IT1024" s="71"/>
      <c r="IU1024" s="71"/>
      <c r="IV1024" s="71"/>
      <c r="IW1024" s="71"/>
    </row>
    <row r="1025" customFormat="false" ht="12.75" hidden="false" customHeight="false" outlineLevel="0" collapsed="false"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71"/>
      <c r="P1025" s="71"/>
      <c r="Q1025" s="71"/>
      <c r="R1025" s="71"/>
      <c r="S1025" s="71"/>
      <c r="T1025" s="71"/>
      <c r="U1025" s="71"/>
      <c r="V1025" s="71"/>
      <c r="W1025" s="71"/>
      <c r="X1025" s="71"/>
      <c r="Y1025" s="71"/>
      <c r="Z1025" s="71"/>
      <c r="AA1025" s="71"/>
      <c r="AB1025" s="71"/>
      <c r="AC1025" s="71"/>
      <c r="AD1025" s="71"/>
      <c r="AE1025" s="71"/>
      <c r="AF1025" s="71"/>
      <c r="AG1025" s="71"/>
      <c r="AH1025" s="71"/>
      <c r="AI1025" s="71"/>
      <c r="AJ1025" s="71"/>
      <c r="AK1025" s="71"/>
      <c r="AL1025" s="71"/>
      <c r="AM1025" s="71"/>
      <c r="AN1025" s="71"/>
      <c r="AO1025" s="71"/>
      <c r="AP1025" s="71"/>
      <c r="AQ1025" s="71"/>
      <c r="AR1025" s="71"/>
      <c r="AS1025" s="71"/>
      <c r="AT1025" s="71"/>
      <c r="AU1025" s="71"/>
      <c r="AV1025" s="71"/>
      <c r="AW1025" s="71"/>
      <c r="AX1025" s="71"/>
      <c r="AY1025" s="71"/>
      <c r="AZ1025" s="71"/>
      <c r="BA1025" s="71"/>
      <c r="BB1025" s="71"/>
      <c r="BC1025" s="71"/>
      <c r="BD1025" s="71"/>
      <c r="BE1025" s="71"/>
      <c r="BF1025" s="71"/>
      <c r="BG1025" s="71"/>
      <c r="BH1025" s="71"/>
      <c r="BI1025" s="71"/>
      <c r="BJ1025" s="71"/>
      <c r="BK1025" s="71"/>
      <c r="BL1025" s="71"/>
      <c r="BM1025" s="71"/>
      <c r="BN1025" s="71"/>
      <c r="BO1025" s="71"/>
      <c r="BP1025" s="71"/>
      <c r="BQ1025" s="71"/>
      <c r="BR1025" s="71"/>
      <c r="BS1025" s="71"/>
      <c r="BT1025" s="71"/>
      <c r="BU1025" s="71"/>
      <c r="BV1025" s="71"/>
      <c r="BW1025" s="71"/>
      <c r="BX1025" s="71"/>
      <c r="BY1025" s="71"/>
      <c r="BZ1025" s="71"/>
      <c r="CA1025" s="71"/>
      <c r="CB1025" s="71"/>
      <c r="CC1025" s="71"/>
      <c r="CD1025" s="71"/>
      <c r="CE1025" s="71"/>
      <c r="CF1025" s="71"/>
      <c r="CG1025" s="71"/>
      <c r="CH1025" s="71"/>
      <c r="CI1025" s="71"/>
      <c r="CJ1025" s="71"/>
      <c r="CK1025" s="71"/>
      <c r="CL1025" s="71"/>
      <c r="CM1025" s="71"/>
      <c r="CN1025" s="71"/>
      <c r="CO1025" s="71"/>
      <c r="CP1025" s="71"/>
      <c r="CQ1025" s="71"/>
      <c r="CR1025" s="71"/>
      <c r="CS1025" s="71"/>
      <c r="CT1025" s="71"/>
      <c r="CU1025" s="71"/>
      <c r="CV1025" s="71"/>
      <c r="CW1025" s="71"/>
      <c r="CX1025" s="71"/>
      <c r="CY1025" s="71"/>
      <c r="CZ1025" s="71"/>
      <c r="DA1025" s="71"/>
      <c r="DB1025" s="71"/>
      <c r="DC1025" s="71"/>
      <c r="DD1025" s="71"/>
      <c r="DE1025" s="71"/>
      <c r="DF1025" s="71"/>
      <c r="DG1025" s="71"/>
      <c r="DH1025" s="71"/>
      <c r="DI1025" s="71"/>
      <c r="DJ1025" s="71"/>
      <c r="DK1025" s="71"/>
      <c r="DL1025" s="71"/>
      <c r="DM1025" s="71"/>
      <c r="DN1025" s="71"/>
      <c r="DO1025" s="71"/>
      <c r="DP1025" s="71"/>
      <c r="DQ1025" s="71"/>
      <c r="DR1025" s="71"/>
      <c r="DS1025" s="71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  <c r="IJ1025" s="71"/>
      <c r="IK1025" s="71"/>
      <c r="IL1025" s="71"/>
      <c r="IM1025" s="71"/>
      <c r="IN1025" s="71"/>
      <c r="IO1025" s="71"/>
      <c r="IP1025" s="71"/>
      <c r="IQ1025" s="71"/>
      <c r="IR1025" s="71"/>
      <c r="IS1025" s="71"/>
      <c r="IT1025" s="71"/>
      <c r="IU1025" s="71"/>
      <c r="IV1025" s="71"/>
      <c r="IW1025" s="71"/>
    </row>
    <row r="1026" customFormat="false" ht="12.75" hidden="false" customHeight="false" outlineLevel="0" collapsed="false"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71"/>
      <c r="P1026" s="71"/>
      <c r="Q1026" s="71"/>
      <c r="R1026" s="71"/>
      <c r="S1026" s="71"/>
      <c r="T1026" s="71"/>
      <c r="U1026" s="71"/>
      <c r="V1026" s="71"/>
      <c r="W1026" s="71"/>
      <c r="X1026" s="71"/>
      <c r="Y1026" s="71"/>
      <c r="Z1026" s="71"/>
      <c r="AA1026" s="71"/>
      <c r="AB1026" s="71"/>
      <c r="AC1026" s="71"/>
      <c r="AD1026" s="71"/>
      <c r="AE1026" s="71"/>
      <c r="AF1026" s="71"/>
      <c r="AG1026" s="71"/>
      <c r="AH1026" s="71"/>
      <c r="AI1026" s="71"/>
      <c r="AJ1026" s="71"/>
      <c r="AK1026" s="71"/>
      <c r="AL1026" s="71"/>
      <c r="AM1026" s="71"/>
      <c r="AN1026" s="71"/>
      <c r="AO1026" s="71"/>
      <c r="AP1026" s="71"/>
      <c r="AQ1026" s="71"/>
      <c r="AR1026" s="71"/>
      <c r="AS1026" s="71"/>
      <c r="AT1026" s="71"/>
      <c r="AU1026" s="71"/>
      <c r="AV1026" s="71"/>
      <c r="AW1026" s="71"/>
      <c r="AX1026" s="71"/>
      <c r="AY1026" s="71"/>
      <c r="AZ1026" s="71"/>
      <c r="BA1026" s="71"/>
      <c r="BB1026" s="71"/>
      <c r="BC1026" s="71"/>
      <c r="BD1026" s="71"/>
      <c r="BE1026" s="71"/>
      <c r="BF1026" s="71"/>
      <c r="BG1026" s="71"/>
      <c r="BH1026" s="71"/>
      <c r="BI1026" s="71"/>
      <c r="BJ1026" s="71"/>
      <c r="BK1026" s="71"/>
      <c r="BL1026" s="71"/>
      <c r="BM1026" s="71"/>
      <c r="BN1026" s="71"/>
      <c r="BO1026" s="71"/>
      <c r="BP1026" s="71"/>
      <c r="BQ1026" s="71"/>
      <c r="BR1026" s="71"/>
      <c r="BS1026" s="71"/>
      <c r="BT1026" s="71"/>
      <c r="BU1026" s="71"/>
      <c r="BV1026" s="71"/>
      <c r="BW1026" s="71"/>
      <c r="BX1026" s="71"/>
      <c r="BY1026" s="71"/>
      <c r="BZ1026" s="71"/>
      <c r="CA1026" s="71"/>
      <c r="CB1026" s="71"/>
      <c r="CC1026" s="71"/>
      <c r="CD1026" s="71"/>
      <c r="CE1026" s="71"/>
      <c r="CF1026" s="71"/>
      <c r="CG1026" s="71"/>
      <c r="CH1026" s="71"/>
      <c r="CI1026" s="71"/>
      <c r="CJ1026" s="71"/>
      <c r="CK1026" s="71"/>
      <c r="CL1026" s="71"/>
      <c r="CM1026" s="71"/>
      <c r="CN1026" s="71"/>
      <c r="CO1026" s="71"/>
      <c r="CP1026" s="71"/>
      <c r="CQ1026" s="71"/>
      <c r="CR1026" s="71"/>
      <c r="CS1026" s="71"/>
      <c r="CT1026" s="71"/>
      <c r="CU1026" s="71"/>
      <c r="CV1026" s="71"/>
      <c r="CW1026" s="71"/>
      <c r="CX1026" s="71"/>
      <c r="CY1026" s="71"/>
      <c r="CZ1026" s="71"/>
      <c r="DA1026" s="71"/>
      <c r="DB1026" s="71"/>
      <c r="DC1026" s="71"/>
      <c r="DD1026" s="71"/>
      <c r="DE1026" s="71"/>
      <c r="DF1026" s="71"/>
      <c r="DG1026" s="71"/>
      <c r="DH1026" s="71"/>
      <c r="DI1026" s="71"/>
      <c r="DJ1026" s="71"/>
      <c r="DK1026" s="71"/>
      <c r="DL1026" s="71"/>
      <c r="DM1026" s="71"/>
      <c r="DN1026" s="71"/>
      <c r="DO1026" s="71"/>
      <c r="DP1026" s="71"/>
      <c r="DQ1026" s="71"/>
      <c r="DR1026" s="71"/>
      <c r="DS1026" s="71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  <c r="IJ1026" s="71"/>
      <c r="IK1026" s="71"/>
      <c r="IL1026" s="71"/>
      <c r="IM1026" s="71"/>
      <c r="IN1026" s="71"/>
      <c r="IO1026" s="71"/>
      <c r="IP1026" s="71"/>
      <c r="IQ1026" s="71"/>
      <c r="IR1026" s="71"/>
      <c r="IS1026" s="71"/>
      <c r="IT1026" s="71"/>
      <c r="IU1026" s="71"/>
      <c r="IV1026" s="71"/>
      <c r="IW1026" s="71"/>
    </row>
    <row r="1027" customFormat="false" ht="12.75" hidden="false" customHeight="false" outlineLevel="0" collapsed="false"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  <c r="Z1027" s="71"/>
      <c r="AA1027" s="71"/>
      <c r="AB1027" s="71"/>
      <c r="AC1027" s="71"/>
      <c r="AD1027" s="71"/>
      <c r="AE1027" s="71"/>
      <c r="AF1027" s="71"/>
      <c r="AG1027" s="71"/>
      <c r="AH1027" s="71"/>
      <c r="AI1027" s="71"/>
      <c r="AJ1027" s="71"/>
      <c r="AK1027" s="71"/>
      <c r="AL1027" s="71"/>
      <c r="AM1027" s="71"/>
      <c r="AN1027" s="71"/>
      <c r="AO1027" s="71"/>
      <c r="AP1027" s="71"/>
      <c r="AQ1027" s="71"/>
      <c r="AR1027" s="71"/>
      <c r="AS1027" s="71"/>
      <c r="AT1027" s="71"/>
      <c r="AU1027" s="71"/>
      <c r="AV1027" s="71"/>
      <c r="AW1027" s="71"/>
      <c r="AX1027" s="71"/>
      <c r="AY1027" s="71"/>
      <c r="AZ1027" s="71"/>
      <c r="BA1027" s="71"/>
      <c r="BB1027" s="71"/>
      <c r="BC1027" s="71"/>
      <c r="BD1027" s="71"/>
      <c r="BE1027" s="71"/>
      <c r="BF1027" s="71"/>
      <c r="BG1027" s="71"/>
      <c r="BH1027" s="71"/>
      <c r="BI1027" s="71"/>
      <c r="BJ1027" s="71"/>
      <c r="BK1027" s="71"/>
      <c r="BL1027" s="71"/>
      <c r="BM1027" s="71"/>
      <c r="BN1027" s="71"/>
      <c r="BO1027" s="71"/>
      <c r="BP1027" s="71"/>
      <c r="BQ1027" s="71"/>
      <c r="BR1027" s="71"/>
      <c r="BS1027" s="71"/>
      <c r="BT1027" s="71"/>
      <c r="BU1027" s="71"/>
      <c r="BV1027" s="71"/>
      <c r="BW1027" s="71"/>
      <c r="BX1027" s="71"/>
      <c r="BY1027" s="71"/>
      <c r="BZ1027" s="71"/>
      <c r="CA1027" s="71"/>
      <c r="CB1027" s="71"/>
      <c r="CC1027" s="71"/>
      <c r="CD1027" s="71"/>
      <c r="CE1027" s="71"/>
      <c r="CF1027" s="71"/>
      <c r="CG1027" s="71"/>
      <c r="CH1027" s="71"/>
      <c r="CI1027" s="71"/>
      <c r="CJ1027" s="71"/>
      <c r="CK1027" s="71"/>
      <c r="CL1027" s="71"/>
      <c r="CM1027" s="71"/>
      <c r="CN1027" s="71"/>
      <c r="CO1027" s="71"/>
      <c r="CP1027" s="71"/>
      <c r="CQ1027" s="71"/>
      <c r="CR1027" s="71"/>
      <c r="CS1027" s="71"/>
      <c r="CT1027" s="71"/>
      <c r="CU1027" s="71"/>
      <c r="CV1027" s="71"/>
      <c r="CW1027" s="71"/>
      <c r="CX1027" s="71"/>
      <c r="CY1027" s="71"/>
      <c r="CZ1027" s="71"/>
      <c r="DA1027" s="71"/>
      <c r="DB1027" s="71"/>
      <c r="DC1027" s="71"/>
      <c r="DD1027" s="71"/>
      <c r="DE1027" s="71"/>
      <c r="DF1027" s="71"/>
      <c r="DG1027" s="71"/>
      <c r="DH1027" s="71"/>
      <c r="DI1027" s="71"/>
      <c r="DJ1027" s="71"/>
      <c r="DK1027" s="71"/>
      <c r="DL1027" s="71"/>
      <c r="DM1027" s="71"/>
      <c r="DN1027" s="71"/>
      <c r="DO1027" s="71"/>
      <c r="DP1027" s="71"/>
      <c r="DQ1027" s="71"/>
      <c r="DR1027" s="71"/>
      <c r="DS1027" s="71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  <c r="IJ1027" s="71"/>
      <c r="IK1027" s="71"/>
      <c r="IL1027" s="71"/>
      <c r="IM1027" s="71"/>
      <c r="IN1027" s="71"/>
      <c r="IO1027" s="71"/>
      <c r="IP1027" s="71"/>
      <c r="IQ1027" s="71"/>
      <c r="IR1027" s="71"/>
      <c r="IS1027" s="71"/>
      <c r="IT1027" s="71"/>
      <c r="IU1027" s="71"/>
      <c r="IV1027" s="71"/>
      <c r="IW1027" s="71"/>
    </row>
    <row r="1028" customFormat="false" ht="12.75" hidden="false" customHeight="false" outlineLevel="0" collapsed="false"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71"/>
      <c r="P1028" s="71"/>
      <c r="Q1028" s="71"/>
      <c r="R1028" s="71"/>
      <c r="S1028" s="71"/>
      <c r="T1028" s="71"/>
      <c r="U1028" s="71"/>
      <c r="V1028" s="71"/>
      <c r="W1028" s="71"/>
      <c r="X1028" s="71"/>
      <c r="Y1028" s="71"/>
      <c r="Z1028" s="71"/>
      <c r="AA1028" s="71"/>
      <c r="AB1028" s="71"/>
      <c r="AC1028" s="71"/>
      <c r="AD1028" s="71"/>
      <c r="AE1028" s="71"/>
      <c r="AF1028" s="71"/>
      <c r="AG1028" s="71"/>
      <c r="AH1028" s="71"/>
      <c r="AI1028" s="71"/>
      <c r="AJ1028" s="71"/>
      <c r="AK1028" s="71"/>
      <c r="AL1028" s="71"/>
      <c r="AM1028" s="71"/>
      <c r="AN1028" s="71"/>
      <c r="AO1028" s="71"/>
      <c r="AP1028" s="71"/>
      <c r="AQ1028" s="71"/>
      <c r="AR1028" s="71"/>
      <c r="AS1028" s="71"/>
      <c r="AT1028" s="71"/>
      <c r="AU1028" s="71"/>
      <c r="AV1028" s="71"/>
      <c r="AW1028" s="71"/>
      <c r="AX1028" s="71"/>
      <c r="AY1028" s="71"/>
      <c r="AZ1028" s="71"/>
      <c r="BA1028" s="71"/>
      <c r="BB1028" s="71"/>
      <c r="BC1028" s="71"/>
      <c r="BD1028" s="71"/>
      <c r="BE1028" s="71"/>
      <c r="BF1028" s="71"/>
      <c r="BG1028" s="71"/>
      <c r="BH1028" s="71"/>
      <c r="BI1028" s="71"/>
      <c r="BJ1028" s="71"/>
      <c r="BK1028" s="71"/>
      <c r="BL1028" s="71"/>
      <c r="BM1028" s="71"/>
      <c r="BN1028" s="71"/>
      <c r="BO1028" s="71"/>
      <c r="BP1028" s="71"/>
      <c r="BQ1028" s="71"/>
      <c r="BR1028" s="71"/>
      <c r="BS1028" s="71"/>
      <c r="BT1028" s="71"/>
      <c r="BU1028" s="71"/>
      <c r="BV1028" s="71"/>
      <c r="BW1028" s="71"/>
      <c r="BX1028" s="71"/>
      <c r="BY1028" s="71"/>
      <c r="BZ1028" s="71"/>
      <c r="CA1028" s="71"/>
      <c r="CB1028" s="71"/>
      <c r="CC1028" s="71"/>
      <c r="CD1028" s="71"/>
      <c r="CE1028" s="71"/>
      <c r="CF1028" s="71"/>
      <c r="CG1028" s="71"/>
      <c r="CH1028" s="71"/>
      <c r="CI1028" s="71"/>
      <c r="CJ1028" s="71"/>
      <c r="CK1028" s="71"/>
      <c r="CL1028" s="71"/>
      <c r="CM1028" s="71"/>
      <c r="CN1028" s="71"/>
      <c r="CO1028" s="71"/>
      <c r="CP1028" s="71"/>
      <c r="CQ1028" s="71"/>
      <c r="CR1028" s="71"/>
      <c r="CS1028" s="71"/>
      <c r="CT1028" s="71"/>
      <c r="CU1028" s="71"/>
      <c r="CV1028" s="71"/>
      <c r="CW1028" s="71"/>
      <c r="CX1028" s="71"/>
      <c r="CY1028" s="71"/>
      <c r="CZ1028" s="71"/>
      <c r="DA1028" s="71"/>
      <c r="DB1028" s="71"/>
      <c r="DC1028" s="71"/>
      <c r="DD1028" s="71"/>
      <c r="DE1028" s="71"/>
      <c r="DF1028" s="71"/>
      <c r="DG1028" s="71"/>
      <c r="DH1028" s="71"/>
      <c r="DI1028" s="71"/>
      <c r="DJ1028" s="71"/>
      <c r="DK1028" s="71"/>
      <c r="DL1028" s="71"/>
      <c r="DM1028" s="71"/>
      <c r="DN1028" s="71"/>
      <c r="DO1028" s="71"/>
      <c r="DP1028" s="71"/>
      <c r="DQ1028" s="71"/>
      <c r="DR1028" s="71"/>
      <c r="DS1028" s="71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  <c r="IJ1028" s="71"/>
      <c r="IK1028" s="71"/>
      <c r="IL1028" s="71"/>
      <c r="IM1028" s="71"/>
      <c r="IN1028" s="71"/>
      <c r="IO1028" s="71"/>
      <c r="IP1028" s="71"/>
      <c r="IQ1028" s="71"/>
      <c r="IR1028" s="71"/>
      <c r="IS1028" s="71"/>
      <c r="IT1028" s="71"/>
      <c r="IU1028" s="71"/>
      <c r="IV1028" s="71"/>
      <c r="IW1028" s="71"/>
    </row>
    <row r="1029" customFormat="false" ht="12.75" hidden="false" customHeight="false" outlineLevel="0" collapsed="false"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  <c r="Z1029" s="71"/>
      <c r="AA1029" s="71"/>
      <c r="AB1029" s="71"/>
      <c r="AC1029" s="71"/>
      <c r="AD1029" s="71"/>
      <c r="AE1029" s="71"/>
      <c r="AF1029" s="71"/>
      <c r="AG1029" s="71"/>
      <c r="AH1029" s="71"/>
      <c r="AI1029" s="71"/>
      <c r="AJ1029" s="71"/>
      <c r="AK1029" s="71"/>
      <c r="AL1029" s="71"/>
      <c r="AM1029" s="71"/>
      <c r="AN1029" s="71"/>
      <c r="AO1029" s="71"/>
      <c r="AP1029" s="71"/>
      <c r="AQ1029" s="71"/>
      <c r="AR1029" s="71"/>
      <c r="AS1029" s="71"/>
      <c r="AT1029" s="71"/>
      <c r="AU1029" s="71"/>
      <c r="AV1029" s="71"/>
      <c r="AW1029" s="71"/>
      <c r="AX1029" s="71"/>
      <c r="AY1029" s="71"/>
      <c r="AZ1029" s="71"/>
      <c r="BA1029" s="71"/>
      <c r="BB1029" s="71"/>
      <c r="BC1029" s="71"/>
      <c r="BD1029" s="71"/>
      <c r="BE1029" s="71"/>
      <c r="BF1029" s="71"/>
      <c r="BG1029" s="71"/>
      <c r="BH1029" s="71"/>
      <c r="BI1029" s="71"/>
      <c r="BJ1029" s="71"/>
      <c r="BK1029" s="71"/>
      <c r="BL1029" s="71"/>
      <c r="BM1029" s="71"/>
      <c r="BN1029" s="71"/>
      <c r="BO1029" s="71"/>
      <c r="BP1029" s="71"/>
      <c r="BQ1029" s="71"/>
      <c r="BR1029" s="71"/>
      <c r="BS1029" s="71"/>
      <c r="BT1029" s="71"/>
      <c r="BU1029" s="71"/>
      <c r="BV1029" s="71"/>
      <c r="BW1029" s="71"/>
      <c r="BX1029" s="71"/>
      <c r="BY1029" s="71"/>
      <c r="BZ1029" s="71"/>
      <c r="CA1029" s="71"/>
      <c r="CB1029" s="71"/>
      <c r="CC1029" s="71"/>
      <c r="CD1029" s="71"/>
      <c r="CE1029" s="71"/>
      <c r="CF1029" s="71"/>
      <c r="CG1029" s="71"/>
      <c r="CH1029" s="71"/>
      <c r="CI1029" s="71"/>
      <c r="CJ1029" s="71"/>
      <c r="CK1029" s="71"/>
      <c r="CL1029" s="71"/>
      <c r="CM1029" s="71"/>
      <c r="CN1029" s="71"/>
      <c r="CO1029" s="71"/>
      <c r="CP1029" s="71"/>
      <c r="CQ1029" s="71"/>
      <c r="CR1029" s="71"/>
      <c r="CS1029" s="71"/>
      <c r="CT1029" s="71"/>
      <c r="CU1029" s="71"/>
      <c r="CV1029" s="71"/>
      <c r="CW1029" s="71"/>
      <c r="CX1029" s="71"/>
      <c r="CY1029" s="71"/>
      <c r="CZ1029" s="71"/>
      <c r="DA1029" s="71"/>
      <c r="DB1029" s="71"/>
      <c r="DC1029" s="71"/>
      <c r="DD1029" s="71"/>
      <c r="DE1029" s="71"/>
      <c r="DF1029" s="71"/>
      <c r="DG1029" s="71"/>
      <c r="DH1029" s="71"/>
      <c r="DI1029" s="71"/>
      <c r="DJ1029" s="71"/>
      <c r="DK1029" s="71"/>
      <c r="DL1029" s="71"/>
      <c r="DM1029" s="71"/>
      <c r="DN1029" s="71"/>
      <c r="DO1029" s="71"/>
      <c r="DP1029" s="71"/>
      <c r="DQ1029" s="71"/>
      <c r="DR1029" s="71"/>
      <c r="DS1029" s="71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  <c r="IJ1029" s="71"/>
      <c r="IK1029" s="71"/>
      <c r="IL1029" s="71"/>
      <c r="IM1029" s="71"/>
      <c r="IN1029" s="71"/>
      <c r="IO1029" s="71"/>
      <c r="IP1029" s="71"/>
      <c r="IQ1029" s="71"/>
      <c r="IR1029" s="71"/>
      <c r="IS1029" s="71"/>
      <c r="IT1029" s="71"/>
      <c r="IU1029" s="71"/>
      <c r="IV1029" s="71"/>
      <c r="IW1029" s="71"/>
    </row>
    <row r="1030" customFormat="false" ht="12.75" hidden="false" customHeight="false" outlineLevel="0" collapsed="false"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71"/>
      <c r="P1030" s="71"/>
      <c r="Q1030" s="71"/>
      <c r="R1030" s="71"/>
      <c r="S1030" s="71"/>
      <c r="T1030" s="71"/>
      <c r="U1030" s="71"/>
      <c r="V1030" s="71"/>
      <c r="W1030" s="71"/>
      <c r="X1030" s="71"/>
      <c r="Y1030" s="71"/>
      <c r="Z1030" s="71"/>
      <c r="AA1030" s="71"/>
      <c r="AB1030" s="71"/>
      <c r="AC1030" s="71"/>
      <c r="AD1030" s="71"/>
      <c r="AE1030" s="71"/>
      <c r="AF1030" s="71"/>
      <c r="AG1030" s="71"/>
      <c r="AH1030" s="71"/>
      <c r="AI1030" s="71"/>
      <c r="AJ1030" s="71"/>
      <c r="AK1030" s="71"/>
      <c r="AL1030" s="71"/>
      <c r="AM1030" s="71"/>
      <c r="AN1030" s="71"/>
      <c r="AO1030" s="71"/>
      <c r="AP1030" s="71"/>
      <c r="AQ1030" s="71"/>
      <c r="AR1030" s="71"/>
      <c r="AS1030" s="71"/>
      <c r="AT1030" s="71"/>
      <c r="AU1030" s="71"/>
      <c r="AV1030" s="71"/>
      <c r="AW1030" s="71"/>
      <c r="AX1030" s="71"/>
      <c r="AY1030" s="71"/>
      <c r="AZ1030" s="71"/>
      <c r="BA1030" s="71"/>
      <c r="BB1030" s="71"/>
      <c r="BC1030" s="71"/>
      <c r="BD1030" s="71"/>
      <c r="BE1030" s="71"/>
      <c r="BF1030" s="71"/>
      <c r="BG1030" s="71"/>
      <c r="BH1030" s="71"/>
      <c r="BI1030" s="71"/>
      <c r="BJ1030" s="71"/>
      <c r="BK1030" s="71"/>
      <c r="BL1030" s="71"/>
      <c r="BM1030" s="71"/>
      <c r="BN1030" s="71"/>
      <c r="BO1030" s="71"/>
      <c r="BP1030" s="71"/>
      <c r="BQ1030" s="71"/>
      <c r="BR1030" s="71"/>
      <c r="BS1030" s="71"/>
      <c r="BT1030" s="71"/>
      <c r="BU1030" s="71"/>
      <c r="BV1030" s="71"/>
      <c r="BW1030" s="71"/>
      <c r="BX1030" s="71"/>
      <c r="BY1030" s="71"/>
      <c r="BZ1030" s="71"/>
      <c r="CA1030" s="71"/>
      <c r="CB1030" s="71"/>
      <c r="CC1030" s="71"/>
      <c r="CD1030" s="71"/>
      <c r="CE1030" s="71"/>
      <c r="CF1030" s="71"/>
      <c r="CG1030" s="71"/>
      <c r="CH1030" s="71"/>
      <c r="CI1030" s="71"/>
      <c r="CJ1030" s="71"/>
      <c r="CK1030" s="71"/>
      <c r="CL1030" s="71"/>
      <c r="CM1030" s="71"/>
      <c r="CN1030" s="71"/>
      <c r="CO1030" s="71"/>
      <c r="CP1030" s="71"/>
      <c r="CQ1030" s="71"/>
      <c r="CR1030" s="71"/>
      <c r="CS1030" s="71"/>
      <c r="CT1030" s="71"/>
      <c r="CU1030" s="71"/>
      <c r="CV1030" s="71"/>
      <c r="CW1030" s="71"/>
      <c r="CX1030" s="71"/>
      <c r="CY1030" s="71"/>
      <c r="CZ1030" s="71"/>
      <c r="DA1030" s="71"/>
      <c r="DB1030" s="71"/>
      <c r="DC1030" s="71"/>
      <c r="DD1030" s="71"/>
      <c r="DE1030" s="71"/>
      <c r="DF1030" s="71"/>
      <c r="DG1030" s="71"/>
      <c r="DH1030" s="71"/>
      <c r="DI1030" s="71"/>
      <c r="DJ1030" s="71"/>
      <c r="DK1030" s="71"/>
      <c r="DL1030" s="71"/>
      <c r="DM1030" s="71"/>
      <c r="DN1030" s="71"/>
      <c r="DO1030" s="71"/>
      <c r="DP1030" s="71"/>
      <c r="DQ1030" s="71"/>
      <c r="DR1030" s="71"/>
      <c r="DS1030" s="71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  <c r="IJ1030" s="71"/>
      <c r="IK1030" s="71"/>
      <c r="IL1030" s="71"/>
      <c r="IM1030" s="71"/>
      <c r="IN1030" s="71"/>
      <c r="IO1030" s="71"/>
      <c r="IP1030" s="71"/>
      <c r="IQ1030" s="71"/>
      <c r="IR1030" s="71"/>
      <c r="IS1030" s="71"/>
      <c r="IT1030" s="71"/>
      <c r="IU1030" s="71"/>
      <c r="IV1030" s="71"/>
      <c r="IW1030" s="71"/>
    </row>
    <row r="1031" customFormat="false" ht="12.75" hidden="false" customHeight="false" outlineLevel="0" collapsed="false"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  <c r="Z1031" s="71"/>
      <c r="AA1031" s="71"/>
      <c r="AB1031" s="71"/>
      <c r="AC1031" s="71"/>
      <c r="AD1031" s="71"/>
      <c r="AE1031" s="71"/>
      <c r="AF1031" s="71"/>
      <c r="AG1031" s="71"/>
      <c r="AH1031" s="71"/>
      <c r="AI1031" s="71"/>
      <c r="AJ1031" s="71"/>
      <c r="AK1031" s="71"/>
      <c r="AL1031" s="71"/>
      <c r="AM1031" s="71"/>
      <c r="AN1031" s="71"/>
      <c r="AO1031" s="71"/>
      <c r="AP1031" s="71"/>
      <c r="AQ1031" s="71"/>
      <c r="AR1031" s="71"/>
      <c r="AS1031" s="71"/>
      <c r="AT1031" s="71"/>
      <c r="AU1031" s="71"/>
      <c r="AV1031" s="71"/>
      <c r="AW1031" s="71"/>
      <c r="AX1031" s="71"/>
      <c r="AY1031" s="71"/>
      <c r="AZ1031" s="71"/>
      <c r="BA1031" s="71"/>
      <c r="BB1031" s="71"/>
      <c r="BC1031" s="71"/>
      <c r="BD1031" s="71"/>
      <c r="BE1031" s="71"/>
      <c r="BF1031" s="71"/>
      <c r="BG1031" s="71"/>
      <c r="BH1031" s="71"/>
      <c r="BI1031" s="71"/>
      <c r="BJ1031" s="71"/>
      <c r="BK1031" s="71"/>
      <c r="BL1031" s="71"/>
      <c r="BM1031" s="71"/>
      <c r="BN1031" s="71"/>
      <c r="BO1031" s="71"/>
      <c r="BP1031" s="71"/>
      <c r="BQ1031" s="71"/>
      <c r="BR1031" s="71"/>
      <c r="BS1031" s="71"/>
      <c r="BT1031" s="71"/>
      <c r="BU1031" s="71"/>
      <c r="BV1031" s="71"/>
      <c r="BW1031" s="71"/>
      <c r="BX1031" s="71"/>
      <c r="BY1031" s="71"/>
      <c r="BZ1031" s="71"/>
      <c r="CA1031" s="71"/>
      <c r="CB1031" s="71"/>
      <c r="CC1031" s="71"/>
      <c r="CD1031" s="71"/>
      <c r="CE1031" s="71"/>
      <c r="CF1031" s="71"/>
      <c r="CG1031" s="71"/>
      <c r="CH1031" s="71"/>
      <c r="CI1031" s="71"/>
      <c r="CJ1031" s="71"/>
      <c r="CK1031" s="71"/>
      <c r="CL1031" s="71"/>
      <c r="CM1031" s="71"/>
      <c r="CN1031" s="71"/>
      <c r="CO1031" s="71"/>
      <c r="CP1031" s="71"/>
      <c r="CQ1031" s="71"/>
      <c r="CR1031" s="71"/>
      <c r="CS1031" s="71"/>
      <c r="CT1031" s="71"/>
      <c r="CU1031" s="71"/>
      <c r="CV1031" s="71"/>
      <c r="CW1031" s="71"/>
      <c r="CX1031" s="71"/>
      <c r="CY1031" s="71"/>
      <c r="CZ1031" s="71"/>
      <c r="DA1031" s="71"/>
      <c r="DB1031" s="71"/>
      <c r="DC1031" s="71"/>
      <c r="DD1031" s="71"/>
      <c r="DE1031" s="71"/>
      <c r="DF1031" s="71"/>
      <c r="DG1031" s="71"/>
      <c r="DH1031" s="71"/>
      <c r="DI1031" s="71"/>
      <c r="DJ1031" s="71"/>
      <c r="DK1031" s="71"/>
      <c r="DL1031" s="71"/>
      <c r="DM1031" s="71"/>
      <c r="DN1031" s="71"/>
      <c r="DO1031" s="71"/>
      <c r="DP1031" s="71"/>
      <c r="DQ1031" s="71"/>
      <c r="DR1031" s="71"/>
      <c r="DS1031" s="71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  <c r="IJ1031" s="71"/>
      <c r="IK1031" s="71"/>
      <c r="IL1031" s="71"/>
      <c r="IM1031" s="71"/>
      <c r="IN1031" s="71"/>
      <c r="IO1031" s="71"/>
      <c r="IP1031" s="71"/>
      <c r="IQ1031" s="71"/>
      <c r="IR1031" s="71"/>
      <c r="IS1031" s="71"/>
      <c r="IT1031" s="71"/>
      <c r="IU1031" s="71"/>
      <c r="IV1031" s="71"/>
      <c r="IW1031" s="71"/>
    </row>
    <row r="1032" customFormat="false" ht="12.75" hidden="false" customHeight="false" outlineLevel="0" collapsed="false"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  <c r="Z1032" s="71"/>
      <c r="AA1032" s="71"/>
      <c r="AB1032" s="71"/>
      <c r="AC1032" s="71"/>
      <c r="AD1032" s="71"/>
      <c r="AE1032" s="71"/>
      <c r="AF1032" s="71"/>
      <c r="AG1032" s="71"/>
      <c r="AH1032" s="71"/>
      <c r="AI1032" s="71"/>
      <c r="AJ1032" s="71"/>
      <c r="AK1032" s="71"/>
      <c r="AL1032" s="71"/>
      <c r="AM1032" s="71"/>
      <c r="AN1032" s="71"/>
      <c r="AO1032" s="71"/>
      <c r="AP1032" s="71"/>
      <c r="AQ1032" s="71"/>
      <c r="AR1032" s="71"/>
      <c r="AS1032" s="71"/>
      <c r="AT1032" s="71"/>
      <c r="AU1032" s="71"/>
      <c r="AV1032" s="71"/>
      <c r="AW1032" s="71"/>
      <c r="AX1032" s="71"/>
      <c r="AY1032" s="71"/>
      <c r="AZ1032" s="71"/>
      <c r="BA1032" s="71"/>
      <c r="BB1032" s="71"/>
      <c r="BC1032" s="71"/>
      <c r="BD1032" s="71"/>
      <c r="BE1032" s="71"/>
      <c r="BF1032" s="71"/>
      <c r="BG1032" s="71"/>
      <c r="BH1032" s="71"/>
      <c r="BI1032" s="71"/>
      <c r="BJ1032" s="71"/>
      <c r="BK1032" s="71"/>
      <c r="BL1032" s="71"/>
      <c r="BM1032" s="71"/>
      <c r="BN1032" s="71"/>
      <c r="BO1032" s="71"/>
      <c r="BP1032" s="71"/>
      <c r="BQ1032" s="71"/>
      <c r="BR1032" s="71"/>
      <c r="BS1032" s="71"/>
      <c r="BT1032" s="71"/>
      <c r="BU1032" s="71"/>
      <c r="BV1032" s="71"/>
      <c r="BW1032" s="71"/>
      <c r="BX1032" s="71"/>
      <c r="BY1032" s="71"/>
      <c r="BZ1032" s="71"/>
      <c r="CA1032" s="71"/>
      <c r="CB1032" s="71"/>
      <c r="CC1032" s="71"/>
      <c r="CD1032" s="71"/>
      <c r="CE1032" s="71"/>
      <c r="CF1032" s="71"/>
      <c r="CG1032" s="71"/>
      <c r="CH1032" s="71"/>
      <c r="CI1032" s="71"/>
      <c r="CJ1032" s="71"/>
      <c r="CK1032" s="71"/>
      <c r="CL1032" s="71"/>
      <c r="CM1032" s="71"/>
      <c r="CN1032" s="71"/>
      <c r="CO1032" s="71"/>
      <c r="CP1032" s="71"/>
      <c r="CQ1032" s="71"/>
      <c r="CR1032" s="71"/>
      <c r="CS1032" s="71"/>
      <c r="CT1032" s="71"/>
      <c r="CU1032" s="71"/>
      <c r="CV1032" s="71"/>
      <c r="CW1032" s="71"/>
      <c r="CX1032" s="71"/>
      <c r="CY1032" s="71"/>
      <c r="CZ1032" s="71"/>
      <c r="DA1032" s="71"/>
      <c r="DB1032" s="71"/>
      <c r="DC1032" s="71"/>
      <c r="DD1032" s="71"/>
      <c r="DE1032" s="71"/>
      <c r="DF1032" s="71"/>
      <c r="DG1032" s="71"/>
      <c r="DH1032" s="71"/>
      <c r="DI1032" s="71"/>
      <c r="DJ1032" s="71"/>
      <c r="DK1032" s="71"/>
      <c r="DL1032" s="71"/>
      <c r="DM1032" s="71"/>
      <c r="DN1032" s="71"/>
      <c r="DO1032" s="71"/>
      <c r="DP1032" s="71"/>
      <c r="DQ1032" s="71"/>
      <c r="DR1032" s="71"/>
      <c r="DS1032" s="71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  <c r="IJ1032" s="71"/>
      <c r="IK1032" s="71"/>
      <c r="IL1032" s="71"/>
      <c r="IM1032" s="71"/>
      <c r="IN1032" s="71"/>
      <c r="IO1032" s="71"/>
      <c r="IP1032" s="71"/>
      <c r="IQ1032" s="71"/>
      <c r="IR1032" s="71"/>
      <c r="IS1032" s="71"/>
      <c r="IT1032" s="71"/>
      <c r="IU1032" s="71"/>
      <c r="IV1032" s="71"/>
      <c r="IW1032" s="71"/>
    </row>
    <row r="1033" customFormat="false" ht="12.75" hidden="false" customHeight="false" outlineLevel="0" collapsed="false"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71"/>
      <c r="P1033" s="71"/>
      <c r="Q1033" s="71"/>
      <c r="R1033" s="71"/>
      <c r="S1033" s="71"/>
      <c r="T1033" s="71"/>
      <c r="U1033" s="71"/>
      <c r="V1033" s="71"/>
      <c r="W1033" s="71"/>
      <c r="X1033" s="71"/>
      <c r="Y1033" s="71"/>
      <c r="Z1033" s="71"/>
      <c r="AA1033" s="71"/>
      <c r="AB1033" s="71"/>
      <c r="AC1033" s="71"/>
      <c r="AD1033" s="71"/>
      <c r="AE1033" s="71"/>
      <c r="AF1033" s="71"/>
      <c r="AG1033" s="71"/>
      <c r="AH1033" s="71"/>
      <c r="AI1033" s="71"/>
      <c r="AJ1033" s="71"/>
      <c r="AK1033" s="71"/>
      <c r="AL1033" s="71"/>
      <c r="AM1033" s="71"/>
      <c r="AN1033" s="71"/>
      <c r="AO1033" s="71"/>
      <c r="AP1033" s="71"/>
      <c r="AQ1033" s="71"/>
      <c r="AR1033" s="71"/>
      <c r="AS1033" s="71"/>
      <c r="AT1033" s="71"/>
      <c r="AU1033" s="71"/>
      <c r="AV1033" s="71"/>
      <c r="AW1033" s="71"/>
      <c r="AX1033" s="71"/>
      <c r="AY1033" s="71"/>
      <c r="AZ1033" s="71"/>
      <c r="BA1033" s="71"/>
      <c r="BB1033" s="71"/>
      <c r="BC1033" s="71"/>
      <c r="BD1033" s="71"/>
      <c r="BE1033" s="71"/>
      <c r="BF1033" s="71"/>
      <c r="BG1033" s="71"/>
      <c r="BH1033" s="71"/>
      <c r="BI1033" s="71"/>
      <c r="BJ1033" s="71"/>
      <c r="BK1033" s="71"/>
      <c r="BL1033" s="71"/>
      <c r="BM1033" s="71"/>
      <c r="BN1033" s="71"/>
      <c r="BO1033" s="71"/>
      <c r="BP1033" s="71"/>
      <c r="BQ1033" s="71"/>
      <c r="BR1033" s="71"/>
      <c r="BS1033" s="71"/>
      <c r="BT1033" s="71"/>
      <c r="BU1033" s="71"/>
      <c r="BV1033" s="71"/>
      <c r="BW1033" s="71"/>
      <c r="BX1033" s="71"/>
      <c r="BY1033" s="71"/>
      <c r="BZ1033" s="71"/>
      <c r="CA1033" s="71"/>
      <c r="CB1033" s="71"/>
      <c r="CC1033" s="71"/>
      <c r="CD1033" s="71"/>
      <c r="CE1033" s="71"/>
      <c r="CF1033" s="71"/>
      <c r="CG1033" s="71"/>
      <c r="CH1033" s="71"/>
      <c r="CI1033" s="71"/>
      <c r="CJ1033" s="71"/>
      <c r="CK1033" s="71"/>
      <c r="CL1033" s="71"/>
      <c r="CM1033" s="71"/>
      <c r="CN1033" s="71"/>
      <c r="CO1033" s="71"/>
      <c r="CP1033" s="71"/>
      <c r="CQ1033" s="71"/>
      <c r="CR1033" s="71"/>
      <c r="CS1033" s="71"/>
      <c r="CT1033" s="71"/>
      <c r="CU1033" s="71"/>
      <c r="CV1033" s="71"/>
      <c r="CW1033" s="71"/>
      <c r="CX1033" s="71"/>
      <c r="CY1033" s="71"/>
      <c r="CZ1033" s="71"/>
      <c r="DA1033" s="71"/>
      <c r="DB1033" s="71"/>
      <c r="DC1033" s="71"/>
      <c r="DD1033" s="71"/>
      <c r="DE1033" s="71"/>
      <c r="DF1033" s="71"/>
      <c r="DG1033" s="71"/>
      <c r="DH1033" s="71"/>
      <c r="DI1033" s="71"/>
      <c r="DJ1033" s="71"/>
      <c r="DK1033" s="71"/>
      <c r="DL1033" s="71"/>
      <c r="DM1033" s="71"/>
      <c r="DN1033" s="71"/>
      <c r="DO1033" s="71"/>
      <c r="DP1033" s="71"/>
      <c r="DQ1033" s="71"/>
      <c r="DR1033" s="71"/>
      <c r="DS1033" s="71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  <c r="IJ1033" s="71"/>
      <c r="IK1033" s="71"/>
      <c r="IL1033" s="71"/>
      <c r="IM1033" s="71"/>
      <c r="IN1033" s="71"/>
      <c r="IO1033" s="71"/>
      <c r="IP1033" s="71"/>
      <c r="IQ1033" s="71"/>
      <c r="IR1033" s="71"/>
      <c r="IS1033" s="71"/>
      <c r="IT1033" s="71"/>
      <c r="IU1033" s="71"/>
      <c r="IV1033" s="71"/>
      <c r="IW1033" s="71"/>
    </row>
    <row r="1034" customFormat="false" ht="12.75" hidden="false" customHeight="false" outlineLevel="0" collapsed="false"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71"/>
      <c r="P1034" s="71"/>
      <c r="Q1034" s="71"/>
      <c r="R1034" s="71"/>
      <c r="S1034" s="71"/>
      <c r="T1034" s="71"/>
      <c r="U1034" s="71"/>
      <c r="V1034" s="71"/>
      <c r="W1034" s="71"/>
      <c r="X1034" s="71"/>
      <c r="Y1034" s="71"/>
      <c r="Z1034" s="71"/>
      <c r="AA1034" s="71"/>
      <c r="AB1034" s="71"/>
      <c r="AC1034" s="71"/>
      <c r="AD1034" s="71"/>
      <c r="AE1034" s="71"/>
      <c r="AF1034" s="71"/>
      <c r="AG1034" s="71"/>
      <c r="AH1034" s="71"/>
      <c r="AI1034" s="71"/>
      <c r="AJ1034" s="71"/>
      <c r="AK1034" s="71"/>
      <c r="AL1034" s="71"/>
      <c r="AM1034" s="71"/>
      <c r="AN1034" s="71"/>
      <c r="AO1034" s="71"/>
      <c r="AP1034" s="71"/>
      <c r="AQ1034" s="71"/>
      <c r="AR1034" s="71"/>
      <c r="AS1034" s="71"/>
      <c r="AT1034" s="71"/>
      <c r="AU1034" s="71"/>
      <c r="AV1034" s="71"/>
      <c r="AW1034" s="71"/>
      <c r="AX1034" s="71"/>
      <c r="AY1034" s="71"/>
      <c r="AZ1034" s="71"/>
      <c r="BA1034" s="71"/>
      <c r="BB1034" s="71"/>
      <c r="BC1034" s="71"/>
      <c r="BD1034" s="71"/>
      <c r="BE1034" s="71"/>
      <c r="BF1034" s="71"/>
      <c r="BG1034" s="71"/>
      <c r="BH1034" s="71"/>
      <c r="BI1034" s="71"/>
      <c r="BJ1034" s="71"/>
      <c r="BK1034" s="71"/>
      <c r="BL1034" s="71"/>
      <c r="BM1034" s="71"/>
      <c r="BN1034" s="71"/>
      <c r="BO1034" s="71"/>
      <c r="BP1034" s="71"/>
      <c r="BQ1034" s="71"/>
      <c r="BR1034" s="71"/>
      <c r="BS1034" s="71"/>
      <c r="BT1034" s="71"/>
      <c r="BU1034" s="71"/>
      <c r="BV1034" s="71"/>
      <c r="BW1034" s="71"/>
      <c r="BX1034" s="71"/>
      <c r="BY1034" s="71"/>
      <c r="BZ1034" s="71"/>
      <c r="CA1034" s="71"/>
      <c r="CB1034" s="71"/>
      <c r="CC1034" s="71"/>
      <c r="CD1034" s="71"/>
      <c r="CE1034" s="71"/>
      <c r="CF1034" s="71"/>
      <c r="CG1034" s="71"/>
      <c r="CH1034" s="71"/>
      <c r="CI1034" s="71"/>
      <c r="CJ1034" s="71"/>
      <c r="CK1034" s="71"/>
      <c r="CL1034" s="71"/>
      <c r="CM1034" s="71"/>
      <c r="CN1034" s="71"/>
      <c r="CO1034" s="71"/>
      <c r="CP1034" s="71"/>
      <c r="CQ1034" s="71"/>
      <c r="CR1034" s="71"/>
      <c r="CS1034" s="71"/>
      <c r="CT1034" s="71"/>
      <c r="CU1034" s="71"/>
      <c r="CV1034" s="71"/>
      <c r="CW1034" s="71"/>
      <c r="CX1034" s="71"/>
      <c r="CY1034" s="71"/>
      <c r="CZ1034" s="71"/>
      <c r="DA1034" s="71"/>
      <c r="DB1034" s="71"/>
      <c r="DC1034" s="71"/>
      <c r="DD1034" s="71"/>
      <c r="DE1034" s="71"/>
      <c r="DF1034" s="71"/>
      <c r="DG1034" s="71"/>
      <c r="DH1034" s="71"/>
      <c r="DI1034" s="71"/>
      <c r="DJ1034" s="71"/>
      <c r="DK1034" s="71"/>
      <c r="DL1034" s="71"/>
      <c r="DM1034" s="71"/>
      <c r="DN1034" s="71"/>
      <c r="DO1034" s="71"/>
      <c r="DP1034" s="71"/>
      <c r="DQ1034" s="71"/>
      <c r="DR1034" s="71"/>
      <c r="DS1034" s="71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  <c r="IJ1034" s="71"/>
      <c r="IK1034" s="71"/>
      <c r="IL1034" s="71"/>
      <c r="IM1034" s="71"/>
      <c r="IN1034" s="71"/>
      <c r="IO1034" s="71"/>
      <c r="IP1034" s="71"/>
      <c r="IQ1034" s="71"/>
      <c r="IR1034" s="71"/>
      <c r="IS1034" s="71"/>
      <c r="IT1034" s="71"/>
      <c r="IU1034" s="71"/>
      <c r="IV1034" s="71"/>
      <c r="IW1034" s="71"/>
    </row>
    <row r="1035" customFormat="false" ht="12.75" hidden="false" customHeight="false" outlineLevel="0" collapsed="false"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/>
      <c r="Y1035" s="71"/>
      <c r="Z1035" s="71"/>
      <c r="AA1035" s="71"/>
      <c r="AB1035" s="71"/>
      <c r="AC1035" s="71"/>
      <c r="AD1035" s="71"/>
      <c r="AE1035" s="71"/>
      <c r="AF1035" s="71"/>
      <c r="AG1035" s="71"/>
      <c r="AH1035" s="71"/>
      <c r="AI1035" s="71"/>
      <c r="AJ1035" s="71"/>
      <c r="AK1035" s="71"/>
      <c r="AL1035" s="71"/>
      <c r="AM1035" s="71"/>
      <c r="AN1035" s="71"/>
      <c r="AO1035" s="71"/>
      <c r="AP1035" s="71"/>
      <c r="AQ1035" s="71"/>
      <c r="AR1035" s="71"/>
      <c r="AS1035" s="71"/>
      <c r="AT1035" s="71"/>
      <c r="AU1035" s="71"/>
      <c r="AV1035" s="71"/>
      <c r="AW1035" s="71"/>
      <c r="AX1035" s="71"/>
      <c r="AY1035" s="71"/>
      <c r="AZ1035" s="71"/>
      <c r="BA1035" s="71"/>
      <c r="BB1035" s="71"/>
      <c r="BC1035" s="71"/>
      <c r="BD1035" s="71"/>
      <c r="BE1035" s="71"/>
      <c r="BF1035" s="71"/>
      <c r="BG1035" s="71"/>
      <c r="BH1035" s="71"/>
      <c r="BI1035" s="71"/>
      <c r="BJ1035" s="71"/>
      <c r="BK1035" s="71"/>
      <c r="BL1035" s="71"/>
      <c r="BM1035" s="71"/>
      <c r="BN1035" s="71"/>
      <c r="BO1035" s="71"/>
      <c r="BP1035" s="71"/>
      <c r="BQ1035" s="71"/>
      <c r="BR1035" s="71"/>
      <c r="BS1035" s="71"/>
      <c r="BT1035" s="71"/>
      <c r="BU1035" s="71"/>
      <c r="BV1035" s="71"/>
      <c r="BW1035" s="71"/>
      <c r="BX1035" s="71"/>
      <c r="BY1035" s="71"/>
      <c r="BZ1035" s="71"/>
      <c r="CA1035" s="71"/>
      <c r="CB1035" s="71"/>
      <c r="CC1035" s="71"/>
      <c r="CD1035" s="71"/>
      <c r="CE1035" s="71"/>
      <c r="CF1035" s="71"/>
      <c r="CG1035" s="71"/>
      <c r="CH1035" s="71"/>
      <c r="CI1035" s="71"/>
      <c r="CJ1035" s="71"/>
      <c r="CK1035" s="71"/>
      <c r="CL1035" s="71"/>
      <c r="CM1035" s="71"/>
      <c r="CN1035" s="71"/>
      <c r="CO1035" s="71"/>
      <c r="CP1035" s="71"/>
      <c r="CQ1035" s="71"/>
      <c r="CR1035" s="71"/>
      <c r="CS1035" s="71"/>
      <c r="CT1035" s="71"/>
      <c r="CU1035" s="71"/>
      <c r="CV1035" s="71"/>
      <c r="CW1035" s="71"/>
      <c r="CX1035" s="71"/>
      <c r="CY1035" s="71"/>
      <c r="CZ1035" s="71"/>
      <c r="DA1035" s="71"/>
      <c r="DB1035" s="71"/>
      <c r="DC1035" s="71"/>
      <c r="DD1035" s="71"/>
      <c r="DE1035" s="71"/>
      <c r="DF1035" s="71"/>
      <c r="DG1035" s="71"/>
      <c r="DH1035" s="71"/>
      <c r="DI1035" s="71"/>
      <c r="DJ1035" s="71"/>
      <c r="DK1035" s="71"/>
      <c r="DL1035" s="71"/>
      <c r="DM1035" s="71"/>
      <c r="DN1035" s="71"/>
      <c r="DO1035" s="71"/>
      <c r="DP1035" s="71"/>
      <c r="DQ1035" s="71"/>
      <c r="DR1035" s="71"/>
      <c r="DS1035" s="71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  <c r="IJ1035" s="71"/>
      <c r="IK1035" s="71"/>
      <c r="IL1035" s="71"/>
      <c r="IM1035" s="71"/>
      <c r="IN1035" s="71"/>
      <c r="IO1035" s="71"/>
      <c r="IP1035" s="71"/>
      <c r="IQ1035" s="71"/>
      <c r="IR1035" s="71"/>
      <c r="IS1035" s="71"/>
      <c r="IT1035" s="71"/>
      <c r="IU1035" s="71"/>
      <c r="IV1035" s="71"/>
      <c r="IW1035" s="71"/>
    </row>
    <row r="1036" customFormat="false" ht="12.75" hidden="false" customHeight="false" outlineLevel="0" collapsed="false"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71"/>
      <c r="P1036" s="71"/>
      <c r="Q1036" s="71"/>
      <c r="R1036" s="71"/>
      <c r="S1036" s="71"/>
      <c r="T1036" s="71"/>
      <c r="U1036" s="71"/>
      <c r="V1036" s="71"/>
      <c r="W1036" s="71"/>
      <c r="X1036" s="71"/>
      <c r="Y1036" s="71"/>
      <c r="Z1036" s="71"/>
      <c r="AA1036" s="71"/>
      <c r="AB1036" s="71"/>
      <c r="AC1036" s="71"/>
      <c r="AD1036" s="71"/>
      <c r="AE1036" s="71"/>
      <c r="AF1036" s="71"/>
      <c r="AG1036" s="71"/>
      <c r="AH1036" s="71"/>
      <c r="AI1036" s="71"/>
      <c r="AJ1036" s="71"/>
      <c r="AK1036" s="71"/>
      <c r="AL1036" s="71"/>
      <c r="AM1036" s="71"/>
      <c r="AN1036" s="71"/>
      <c r="AO1036" s="71"/>
      <c r="AP1036" s="71"/>
      <c r="AQ1036" s="71"/>
      <c r="AR1036" s="71"/>
      <c r="AS1036" s="71"/>
      <c r="AT1036" s="71"/>
      <c r="AU1036" s="71"/>
      <c r="AV1036" s="71"/>
      <c r="AW1036" s="71"/>
      <c r="AX1036" s="71"/>
      <c r="AY1036" s="71"/>
      <c r="AZ1036" s="71"/>
      <c r="BA1036" s="71"/>
      <c r="BB1036" s="71"/>
      <c r="BC1036" s="71"/>
      <c r="BD1036" s="71"/>
      <c r="BE1036" s="71"/>
      <c r="BF1036" s="71"/>
      <c r="BG1036" s="71"/>
      <c r="BH1036" s="71"/>
      <c r="BI1036" s="71"/>
      <c r="BJ1036" s="71"/>
      <c r="BK1036" s="71"/>
      <c r="BL1036" s="71"/>
      <c r="BM1036" s="71"/>
      <c r="BN1036" s="71"/>
      <c r="BO1036" s="71"/>
      <c r="BP1036" s="71"/>
      <c r="BQ1036" s="71"/>
      <c r="BR1036" s="71"/>
      <c r="BS1036" s="71"/>
      <c r="BT1036" s="71"/>
      <c r="BU1036" s="71"/>
      <c r="BV1036" s="71"/>
      <c r="BW1036" s="71"/>
      <c r="BX1036" s="71"/>
      <c r="BY1036" s="71"/>
      <c r="BZ1036" s="71"/>
      <c r="CA1036" s="71"/>
      <c r="CB1036" s="71"/>
      <c r="CC1036" s="71"/>
      <c r="CD1036" s="71"/>
      <c r="CE1036" s="71"/>
      <c r="CF1036" s="71"/>
      <c r="CG1036" s="71"/>
      <c r="CH1036" s="71"/>
      <c r="CI1036" s="71"/>
      <c r="CJ1036" s="71"/>
      <c r="CK1036" s="71"/>
      <c r="CL1036" s="71"/>
      <c r="CM1036" s="71"/>
      <c r="CN1036" s="71"/>
      <c r="CO1036" s="71"/>
      <c r="CP1036" s="71"/>
      <c r="CQ1036" s="71"/>
      <c r="CR1036" s="71"/>
      <c r="CS1036" s="71"/>
      <c r="CT1036" s="71"/>
      <c r="CU1036" s="71"/>
      <c r="CV1036" s="71"/>
      <c r="CW1036" s="71"/>
      <c r="CX1036" s="71"/>
      <c r="CY1036" s="71"/>
      <c r="CZ1036" s="71"/>
      <c r="DA1036" s="71"/>
      <c r="DB1036" s="71"/>
      <c r="DC1036" s="71"/>
      <c r="DD1036" s="71"/>
      <c r="DE1036" s="71"/>
      <c r="DF1036" s="71"/>
      <c r="DG1036" s="71"/>
      <c r="DH1036" s="71"/>
      <c r="DI1036" s="71"/>
      <c r="DJ1036" s="71"/>
      <c r="DK1036" s="71"/>
      <c r="DL1036" s="71"/>
      <c r="DM1036" s="71"/>
      <c r="DN1036" s="71"/>
      <c r="DO1036" s="71"/>
      <c r="DP1036" s="71"/>
      <c r="DQ1036" s="71"/>
      <c r="DR1036" s="71"/>
      <c r="DS1036" s="71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  <c r="IJ1036" s="71"/>
      <c r="IK1036" s="71"/>
      <c r="IL1036" s="71"/>
      <c r="IM1036" s="71"/>
      <c r="IN1036" s="71"/>
      <c r="IO1036" s="71"/>
      <c r="IP1036" s="71"/>
      <c r="IQ1036" s="71"/>
      <c r="IR1036" s="71"/>
      <c r="IS1036" s="71"/>
      <c r="IT1036" s="71"/>
      <c r="IU1036" s="71"/>
      <c r="IV1036" s="71"/>
      <c r="IW1036" s="71"/>
    </row>
    <row r="1037" customFormat="false" ht="12.75" hidden="false" customHeight="false" outlineLevel="0" collapsed="false"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/>
      <c r="Y1037" s="71"/>
      <c r="Z1037" s="71"/>
      <c r="AA1037" s="71"/>
      <c r="AB1037" s="71"/>
      <c r="AC1037" s="71"/>
      <c r="AD1037" s="71"/>
      <c r="AE1037" s="71"/>
      <c r="AF1037" s="71"/>
      <c r="AG1037" s="71"/>
      <c r="AH1037" s="71"/>
      <c r="AI1037" s="71"/>
      <c r="AJ1037" s="71"/>
      <c r="AK1037" s="71"/>
      <c r="AL1037" s="71"/>
      <c r="AM1037" s="71"/>
      <c r="AN1037" s="71"/>
      <c r="AO1037" s="71"/>
      <c r="AP1037" s="71"/>
      <c r="AQ1037" s="71"/>
      <c r="AR1037" s="71"/>
      <c r="AS1037" s="71"/>
      <c r="AT1037" s="71"/>
      <c r="AU1037" s="71"/>
      <c r="AV1037" s="71"/>
      <c r="AW1037" s="71"/>
      <c r="AX1037" s="71"/>
      <c r="AY1037" s="71"/>
      <c r="AZ1037" s="71"/>
      <c r="BA1037" s="71"/>
      <c r="BB1037" s="71"/>
      <c r="BC1037" s="71"/>
      <c r="BD1037" s="71"/>
      <c r="BE1037" s="71"/>
      <c r="BF1037" s="71"/>
      <c r="BG1037" s="71"/>
      <c r="BH1037" s="71"/>
      <c r="BI1037" s="71"/>
      <c r="BJ1037" s="71"/>
      <c r="BK1037" s="71"/>
      <c r="BL1037" s="71"/>
      <c r="BM1037" s="71"/>
      <c r="BN1037" s="71"/>
      <c r="BO1037" s="71"/>
      <c r="BP1037" s="71"/>
      <c r="BQ1037" s="71"/>
      <c r="BR1037" s="71"/>
      <c r="BS1037" s="71"/>
      <c r="BT1037" s="71"/>
      <c r="BU1037" s="71"/>
      <c r="BV1037" s="71"/>
      <c r="BW1037" s="71"/>
      <c r="BX1037" s="71"/>
      <c r="BY1037" s="71"/>
      <c r="BZ1037" s="71"/>
      <c r="CA1037" s="71"/>
      <c r="CB1037" s="71"/>
      <c r="CC1037" s="71"/>
      <c r="CD1037" s="71"/>
      <c r="CE1037" s="71"/>
      <c r="CF1037" s="71"/>
      <c r="CG1037" s="71"/>
      <c r="CH1037" s="71"/>
      <c r="CI1037" s="71"/>
      <c r="CJ1037" s="71"/>
      <c r="CK1037" s="71"/>
      <c r="CL1037" s="71"/>
      <c r="CM1037" s="71"/>
      <c r="CN1037" s="71"/>
      <c r="CO1037" s="71"/>
      <c r="CP1037" s="71"/>
      <c r="CQ1037" s="71"/>
      <c r="CR1037" s="71"/>
      <c r="CS1037" s="71"/>
      <c r="CT1037" s="71"/>
      <c r="CU1037" s="71"/>
      <c r="CV1037" s="71"/>
      <c r="CW1037" s="71"/>
      <c r="CX1037" s="71"/>
      <c r="CY1037" s="71"/>
      <c r="CZ1037" s="71"/>
      <c r="DA1037" s="71"/>
      <c r="DB1037" s="71"/>
      <c r="DC1037" s="71"/>
      <c r="DD1037" s="71"/>
      <c r="DE1037" s="71"/>
      <c r="DF1037" s="71"/>
      <c r="DG1037" s="71"/>
      <c r="DH1037" s="71"/>
      <c r="DI1037" s="71"/>
      <c r="DJ1037" s="71"/>
      <c r="DK1037" s="71"/>
      <c r="DL1037" s="71"/>
      <c r="DM1037" s="71"/>
      <c r="DN1037" s="71"/>
      <c r="DO1037" s="71"/>
      <c r="DP1037" s="71"/>
      <c r="DQ1037" s="71"/>
      <c r="DR1037" s="71"/>
      <c r="DS1037" s="71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  <c r="IJ1037" s="71"/>
      <c r="IK1037" s="71"/>
      <c r="IL1037" s="71"/>
      <c r="IM1037" s="71"/>
      <c r="IN1037" s="71"/>
      <c r="IO1037" s="71"/>
      <c r="IP1037" s="71"/>
      <c r="IQ1037" s="71"/>
      <c r="IR1037" s="71"/>
      <c r="IS1037" s="71"/>
      <c r="IT1037" s="71"/>
      <c r="IU1037" s="71"/>
      <c r="IV1037" s="71"/>
      <c r="IW1037" s="71"/>
    </row>
    <row r="1038" customFormat="false" ht="12.75" hidden="false" customHeight="false" outlineLevel="0" collapsed="false"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71"/>
      <c r="P1038" s="71"/>
      <c r="Q1038" s="71"/>
      <c r="R1038" s="71"/>
      <c r="S1038" s="71"/>
      <c r="T1038" s="71"/>
      <c r="U1038" s="71"/>
      <c r="V1038" s="71"/>
      <c r="W1038" s="71"/>
      <c r="X1038" s="71"/>
      <c r="Y1038" s="71"/>
      <c r="Z1038" s="71"/>
      <c r="AA1038" s="71"/>
      <c r="AB1038" s="71"/>
      <c r="AC1038" s="71"/>
      <c r="AD1038" s="71"/>
      <c r="AE1038" s="71"/>
      <c r="AF1038" s="71"/>
      <c r="AG1038" s="71"/>
      <c r="AH1038" s="71"/>
      <c r="AI1038" s="71"/>
      <c r="AJ1038" s="71"/>
      <c r="AK1038" s="71"/>
      <c r="AL1038" s="71"/>
      <c r="AM1038" s="71"/>
      <c r="AN1038" s="71"/>
      <c r="AO1038" s="71"/>
      <c r="AP1038" s="71"/>
      <c r="AQ1038" s="71"/>
      <c r="AR1038" s="71"/>
      <c r="AS1038" s="71"/>
      <c r="AT1038" s="71"/>
      <c r="AU1038" s="71"/>
      <c r="AV1038" s="71"/>
      <c r="AW1038" s="71"/>
      <c r="AX1038" s="71"/>
      <c r="AY1038" s="71"/>
      <c r="AZ1038" s="71"/>
      <c r="BA1038" s="71"/>
      <c r="BB1038" s="71"/>
      <c r="BC1038" s="71"/>
      <c r="BD1038" s="71"/>
      <c r="BE1038" s="71"/>
      <c r="BF1038" s="71"/>
      <c r="BG1038" s="71"/>
      <c r="BH1038" s="71"/>
      <c r="BI1038" s="71"/>
      <c r="BJ1038" s="71"/>
      <c r="BK1038" s="71"/>
      <c r="BL1038" s="71"/>
      <c r="BM1038" s="71"/>
      <c r="BN1038" s="71"/>
      <c r="BO1038" s="71"/>
      <c r="BP1038" s="71"/>
      <c r="BQ1038" s="71"/>
      <c r="BR1038" s="71"/>
      <c r="BS1038" s="71"/>
      <c r="BT1038" s="71"/>
      <c r="BU1038" s="71"/>
      <c r="BV1038" s="71"/>
      <c r="BW1038" s="71"/>
      <c r="BX1038" s="71"/>
      <c r="BY1038" s="71"/>
      <c r="BZ1038" s="71"/>
      <c r="CA1038" s="71"/>
      <c r="CB1038" s="71"/>
      <c r="CC1038" s="71"/>
      <c r="CD1038" s="71"/>
      <c r="CE1038" s="71"/>
      <c r="CF1038" s="71"/>
      <c r="CG1038" s="71"/>
      <c r="CH1038" s="71"/>
      <c r="CI1038" s="71"/>
      <c r="CJ1038" s="71"/>
      <c r="CK1038" s="71"/>
      <c r="CL1038" s="71"/>
      <c r="CM1038" s="71"/>
      <c r="CN1038" s="71"/>
      <c r="CO1038" s="71"/>
      <c r="CP1038" s="71"/>
      <c r="CQ1038" s="71"/>
      <c r="CR1038" s="71"/>
      <c r="CS1038" s="71"/>
      <c r="CT1038" s="71"/>
      <c r="CU1038" s="71"/>
      <c r="CV1038" s="71"/>
      <c r="CW1038" s="71"/>
      <c r="CX1038" s="71"/>
      <c r="CY1038" s="71"/>
      <c r="CZ1038" s="71"/>
      <c r="DA1038" s="71"/>
      <c r="DB1038" s="71"/>
      <c r="DC1038" s="71"/>
      <c r="DD1038" s="71"/>
      <c r="DE1038" s="71"/>
      <c r="DF1038" s="71"/>
      <c r="DG1038" s="71"/>
      <c r="DH1038" s="71"/>
      <c r="DI1038" s="71"/>
      <c r="DJ1038" s="71"/>
      <c r="DK1038" s="71"/>
      <c r="DL1038" s="71"/>
      <c r="DM1038" s="71"/>
      <c r="DN1038" s="71"/>
      <c r="DO1038" s="71"/>
      <c r="DP1038" s="71"/>
      <c r="DQ1038" s="71"/>
      <c r="DR1038" s="71"/>
      <c r="DS1038" s="71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  <c r="IJ1038" s="71"/>
      <c r="IK1038" s="71"/>
      <c r="IL1038" s="71"/>
      <c r="IM1038" s="71"/>
      <c r="IN1038" s="71"/>
      <c r="IO1038" s="71"/>
      <c r="IP1038" s="71"/>
      <c r="IQ1038" s="71"/>
      <c r="IR1038" s="71"/>
      <c r="IS1038" s="71"/>
      <c r="IT1038" s="71"/>
      <c r="IU1038" s="71"/>
      <c r="IV1038" s="71"/>
      <c r="IW1038" s="71"/>
    </row>
    <row r="1039" customFormat="false" ht="12.75" hidden="false" customHeight="false" outlineLevel="0" collapsed="false"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/>
      <c r="Y1039" s="71"/>
      <c r="Z1039" s="71"/>
      <c r="AA1039" s="71"/>
      <c r="AB1039" s="71"/>
      <c r="AC1039" s="71"/>
      <c r="AD1039" s="71"/>
      <c r="AE1039" s="71"/>
      <c r="AF1039" s="71"/>
      <c r="AG1039" s="71"/>
      <c r="AH1039" s="71"/>
      <c r="AI1039" s="71"/>
      <c r="AJ1039" s="71"/>
      <c r="AK1039" s="71"/>
      <c r="AL1039" s="71"/>
      <c r="AM1039" s="71"/>
      <c r="AN1039" s="71"/>
      <c r="AO1039" s="71"/>
      <c r="AP1039" s="71"/>
      <c r="AQ1039" s="71"/>
      <c r="AR1039" s="71"/>
      <c r="AS1039" s="71"/>
      <c r="AT1039" s="71"/>
      <c r="AU1039" s="71"/>
      <c r="AV1039" s="71"/>
      <c r="AW1039" s="71"/>
      <c r="AX1039" s="71"/>
      <c r="AY1039" s="71"/>
      <c r="AZ1039" s="71"/>
      <c r="BA1039" s="71"/>
      <c r="BB1039" s="71"/>
      <c r="BC1039" s="71"/>
      <c r="BD1039" s="71"/>
      <c r="BE1039" s="71"/>
      <c r="BF1039" s="71"/>
      <c r="BG1039" s="71"/>
      <c r="BH1039" s="71"/>
      <c r="BI1039" s="71"/>
      <c r="BJ1039" s="71"/>
      <c r="BK1039" s="71"/>
      <c r="BL1039" s="71"/>
      <c r="BM1039" s="71"/>
      <c r="BN1039" s="71"/>
      <c r="BO1039" s="71"/>
      <c r="BP1039" s="71"/>
      <c r="BQ1039" s="71"/>
      <c r="BR1039" s="71"/>
      <c r="BS1039" s="71"/>
      <c r="BT1039" s="71"/>
      <c r="BU1039" s="71"/>
      <c r="BV1039" s="71"/>
      <c r="BW1039" s="71"/>
      <c r="BX1039" s="71"/>
      <c r="BY1039" s="71"/>
      <c r="BZ1039" s="71"/>
      <c r="CA1039" s="71"/>
      <c r="CB1039" s="71"/>
      <c r="CC1039" s="71"/>
      <c r="CD1039" s="71"/>
      <c r="CE1039" s="71"/>
      <c r="CF1039" s="71"/>
      <c r="CG1039" s="71"/>
      <c r="CH1039" s="71"/>
      <c r="CI1039" s="71"/>
      <c r="CJ1039" s="71"/>
      <c r="CK1039" s="71"/>
      <c r="CL1039" s="71"/>
      <c r="CM1039" s="71"/>
      <c r="CN1039" s="71"/>
      <c r="CO1039" s="71"/>
      <c r="CP1039" s="71"/>
      <c r="CQ1039" s="71"/>
      <c r="CR1039" s="71"/>
      <c r="CS1039" s="71"/>
      <c r="CT1039" s="71"/>
      <c r="CU1039" s="71"/>
      <c r="CV1039" s="71"/>
      <c r="CW1039" s="71"/>
      <c r="CX1039" s="71"/>
      <c r="CY1039" s="71"/>
      <c r="CZ1039" s="71"/>
      <c r="DA1039" s="71"/>
      <c r="DB1039" s="71"/>
      <c r="DC1039" s="71"/>
      <c r="DD1039" s="71"/>
      <c r="DE1039" s="71"/>
      <c r="DF1039" s="71"/>
      <c r="DG1039" s="71"/>
      <c r="DH1039" s="71"/>
      <c r="DI1039" s="71"/>
      <c r="DJ1039" s="71"/>
      <c r="DK1039" s="71"/>
      <c r="DL1039" s="71"/>
      <c r="DM1039" s="71"/>
      <c r="DN1039" s="71"/>
      <c r="DO1039" s="71"/>
      <c r="DP1039" s="71"/>
      <c r="DQ1039" s="71"/>
      <c r="DR1039" s="71"/>
      <c r="DS1039" s="71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  <c r="IJ1039" s="71"/>
      <c r="IK1039" s="71"/>
      <c r="IL1039" s="71"/>
      <c r="IM1039" s="71"/>
      <c r="IN1039" s="71"/>
      <c r="IO1039" s="71"/>
      <c r="IP1039" s="71"/>
      <c r="IQ1039" s="71"/>
      <c r="IR1039" s="71"/>
      <c r="IS1039" s="71"/>
      <c r="IT1039" s="71"/>
      <c r="IU1039" s="71"/>
      <c r="IV1039" s="71"/>
      <c r="IW1039" s="71"/>
    </row>
    <row r="1040" customFormat="false" ht="12.75" hidden="false" customHeight="false" outlineLevel="0" collapsed="false"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71"/>
      <c r="P1040" s="71"/>
      <c r="Q1040" s="71"/>
      <c r="R1040" s="71"/>
      <c r="S1040" s="71"/>
      <c r="T1040" s="71"/>
      <c r="U1040" s="71"/>
      <c r="V1040" s="71"/>
      <c r="W1040" s="71"/>
      <c r="X1040" s="71"/>
      <c r="Y1040" s="71"/>
      <c r="Z1040" s="71"/>
      <c r="AA1040" s="71"/>
      <c r="AB1040" s="71"/>
      <c r="AC1040" s="71"/>
      <c r="AD1040" s="71"/>
      <c r="AE1040" s="71"/>
      <c r="AF1040" s="71"/>
      <c r="AG1040" s="71"/>
      <c r="AH1040" s="71"/>
      <c r="AI1040" s="71"/>
      <c r="AJ1040" s="71"/>
      <c r="AK1040" s="71"/>
      <c r="AL1040" s="71"/>
      <c r="AM1040" s="71"/>
      <c r="AN1040" s="71"/>
      <c r="AO1040" s="71"/>
      <c r="AP1040" s="71"/>
      <c r="AQ1040" s="71"/>
      <c r="AR1040" s="71"/>
      <c r="AS1040" s="71"/>
      <c r="AT1040" s="71"/>
      <c r="AU1040" s="71"/>
      <c r="AV1040" s="71"/>
      <c r="AW1040" s="71"/>
      <c r="AX1040" s="71"/>
      <c r="AY1040" s="71"/>
      <c r="AZ1040" s="71"/>
      <c r="BA1040" s="71"/>
      <c r="BB1040" s="71"/>
      <c r="BC1040" s="71"/>
      <c r="BD1040" s="71"/>
      <c r="BE1040" s="71"/>
      <c r="BF1040" s="71"/>
      <c r="BG1040" s="71"/>
      <c r="BH1040" s="71"/>
      <c r="BI1040" s="71"/>
      <c r="BJ1040" s="71"/>
      <c r="BK1040" s="71"/>
      <c r="BL1040" s="71"/>
      <c r="BM1040" s="71"/>
      <c r="BN1040" s="71"/>
      <c r="BO1040" s="71"/>
      <c r="BP1040" s="71"/>
      <c r="BQ1040" s="71"/>
      <c r="BR1040" s="71"/>
      <c r="BS1040" s="71"/>
      <c r="BT1040" s="71"/>
      <c r="BU1040" s="71"/>
      <c r="BV1040" s="71"/>
      <c r="BW1040" s="71"/>
      <c r="BX1040" s="71"/>
      <c r="BY1040" s="71"/>
      <c r="BZ1040" s="71"/>
      <c r="CA1040" s="71"/>
      <c r="CB1040" s="71"/>
      <c r="CC1040" s="71"/>
      <c r="CD1040" s="71"/>
      <c r="CE1040" s="71"/>
      <c r="CF1040" s="71"/>
      <c r="CG1040" s="71"/>
      <c r="CH1040" s="71"/>
      <c r="CI1040" s="71"/>
      <c r="CJ1040" s="71"/>
      <c r="CK1040" s="71"/>
      <c r="CL1040" s="71"/>
      <c r="CM1040" s="71"/>
      <c r="CN1040" s="71"/>
      <c r="CO1040" s="71"/>
      <c r="CP1040" s="71"/>
      <c r="CQ1040" s="71"/>
      <c r="CR1040" s="71"/>
      <c r="CS1040" s="71"/>
      <c r="CT1040" s="71"/>
      <c r="CU1040" s="71"/>
      <c r="CV1040" s="71"/>
      <c r="CW1040" s="71"/>
      <c r="CX1040" s="71"/>
      <c r="CY1040" s="71"/>
      <c r="CZ1040" s="71"/>
      <c r="DA1040" s="71"/>
      <c r="DB1040" s="71"/>
      <c r="DC1040" s="71"/>
      <c r="DD1040" s="71"/>
      <c r="DE1040" s="71"/>
      <c r="DF1040" s="71"/>
      <c r="DG1040" s="71"/>
      <c r="DH1040" s="71"/>
      <c r="DI1040" s="71"/>
      <c r="DJ1040" s="71"/>
      <c r="DK1040" s="71"/>
      <c r="DL1040" s="71"/>
      <c r="DM1040" s="71"/>
      <c r="DN1040" s="71"/>
      <c r="DO1040" s="71"/>
      <c r="DP1040" s="71"/>
      <c r="DQ1040" s="71"/>
      <c r="DR1040" s="71"/>
      <c r="DS1040" s="71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  <c r="IJ1040" s="71"/>
      <c r="IK1040" s="71"/>
      <c r="IL1040" s="71"/>
      <c r="IM1040" s="71"/>
      <c r="IN1040" s="71"/>
      <c r="IO1040" s="71"/>
      <c r="IP1040" s="71"/>
      <c r="IQ1040" s="71"/>
      <c r="IR1040" s="71"/>
      <c r="IS1040" s="71"/>
      <c r="IT1040" s="71"/>
      <c r="IU1040" s="71"/>
      <c r="IV1040" s="71"/>
      <c r="IW1040" s="71"/>
    </row>
    <row r="1041" customFormat="false" ht="12.75" hidden="false" customHeight="false" outlineLevel="0" collapsed="false"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  <c r="AA1041" s="71"/>
      <c r="AB1041" s="71"/>
      <c r="AC1041" s="71"/>
      <c r="AD1041" s="71"/>
      <c r="AE1041" s="71"/>
      <c r="AF1041" s="71"/>
      <c r="AG1041" s="71"/>
      <c r="AH1041" s="71"/>
      <c r="AI1041" s="71"/>
      <c r="AJ1041" s="71"/>
      <c r="AK1041" s="71"/>
      <c r="AL1041" s="71"/>
      <c r="AM1041" s="71"/>
      <c r="AN1041" s="71"/>
      <c r="AO1041" s="71"/>
      <c r="AP1041" s="71"/>
      <c r="AQ1041" s="71"/>
      <c r="AR1041" s="71"/>
      <c r="AS1041" s="71"/>
      <c r="AT1041" s="71"/>
      <c r="AU1041" s="71"/>
      <c r="AV1041" s="71"/>
      <c r="AW1041" s="71"/>
      <c r="AX1041" s="71"/>
      <c r="AY1041" s="71"/>
      <c r="AZ1041" s="71"/>
      <c r="BA1041" s="71"/>
      <c r="BB1041" s="71"/>
      <c r="BC1041" s="71"/>
      <c r="BD1041" s="71"/>
      <c r="BE1041" s="71"/>
      <c r="BF1041" s="71"/>
      <c r="BG1041" s="71"/>
      <c r="BH1041" s="71"/>
      <c r="BI1041" s="71"/>
      <c r="BJ1041" s="71"/>
      <c r="BK1041" s="71"/>
      <c r="BL1041" s="71"/>
      <c r="BM1041" s="71"/>
      <c r="BN1041" s="71"/>
      <c r="BO1041" s="71"/>
      <c r="BP1041" s="71"/>
      <c r="BQ1041" s="71"/>
      <c r="BR1041" s="71"/>
      <c r="BS1041" s="71"/>
      <c r="BT1041" s="71"/>
      <c r="BU1041" s="71"/>
      <c r="BV1041" s="71"/>
      <c r="BW1041" s="71"/>
      <c r="BX1041" s="71"/>
      <c r="BY1041" s="71"/>
      <c r="BZ1041" s="71"/>
      <c r="CA1041" s="71"/>
      <c r="CB1041" s="71"/>
      <c r="CC1041" s="71"/>
      <c r="CD1041" s="71"/>
      <c r="CE1041" s="71"/>
      <c r="CF1041" s="71"/>
      <c r="CG1041" s="71"/>
      <c r="CH1041" s="71"/>
      <c r="CI1041" s="71"/>
      <c r="CJ1041" s="71"/>
      <c r="CK1041" s="71"/>
      <c r="CL1041" s="71"/>
      <c r="CM1041" s="71"/>
      <c r="CN1041" s="71"/>
      <c r="CO1041" s="71"/>
      <c r="CP1041" s="71"/>
      <c r="CQ1041" s="71"/>
      <c r="CR1041" s="71"/>
      <c r="CS1041" s="71"/>
      <c r="CT1041" s="71"/>
      <c r="CU1041" s="71"/>
      <c r="CV1041" s="71"/>
      <c r="CW1041" s="71"/>
      <c r="CX1041" s="71"/>
      <c r="CY1041" s="71"/>
      <c r="CZ1041" s="71"/>
      <c r="DA1041" s="71"/>
      <c r="DB1041" s="71"/>
      <c r="DC1041" s="71"/>
      <c r="DD1041" s="71"/>
      <c r="DE1041" s="71"/>
      <c r="DF1041" s="71"/>
      <c r="DG1041" s="71"/>
      <c r="DH1041" s="71"/>
      <c r="DI1041" s="71"/>
      <c r="DJ1041" s="71"/>
      <c r="DK1041" s="71"/>
      <c r="DL1041" s="71"/>
      <c r="DM1041" s="71"/>
      <c r="DN1041" s="71"/>
      <c r="DO1041" s="71"/>
      <c r="DP1041" s="71"/>
      <c r="DQ1041" s="71"/>
      <c r="DR1041" s="71"/>
      <c r="DS1041" s="71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  <c r="IJ1041" s="71"/>
      <c r="IK1041" s="71"/>
      <c r="IL1041" s="71"/>
      <c r="IM1041" s="71"/>
      <c r="IN1041" s="71"/>
      <c r="IO1041" s="71"/>
      <c r="IP1041" s="71"/>
      <c r="IQ1041" s="71"/>
      <c r="IR1041" s="71"/>
      <c r="IS1041" s="71"/>
      <c r="IT1041" s="71"/>
      <c r="IU1041" s="71"/>
      <c r="IV1041" s="71"/>
      <c r="IW1041" s="71"/>
    </row>
    <row r="1042" customFormat="false" ht="12.75" hidden="false" customHeight="false" outlineLevel="0" collapsed="false"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71"/>
      <c r="P1042" s="71"/>
      <c r="Q1042" s="71"/>
      <c r="R1042" s="71"/>
      <c r="S1042" s="71"/>
      <c r="T1042" s="71"/>
      <c r="U1042" s="71"/>
      <c r="V1042" s="71"/>
      <c r="W1042" s="71"/>
      <c r="X1042" s="71"/>
      <c r="Y1042" s="71"/>
      <c r="Z1042" s="71"/>
      <c r="AA1042" s="71"/>
      <c r="AB1042" s="71"/>
      <c r="AC1042" s="71"/>
      <c r="AD1042" s="71"/>
      <c r="AE1042" s="71"/>
      <c r="AF1042" s="71"/>
      <c r="AG1042" s="71"/>
      <c r="AH1042" s="71"/>
      <c r="AI1042" s="71"/>
      <c r="AJ1042" s="71"/>
      <c r="AK1042" s="71"/>
      <c r="AL1042" s="71"/>
      <c r="AM1042" s="71"/>
      <c r="AN1042" s="71"/>
      <c r="AO1042" s="71"/>
      <c r="AP1042" s="71"/>
      <c r="AQ1042" s="71"/>
      <c r="AR1042" s="71"/>
      <c r="AS1042" s="71"/>
      <c r="AT1042" s="71"/>
      <c r="AU1042" s="71"/>
      <c r="AV1042" s="71"/>
      <c r="AW1042" s="71"/>
      <c r="AX1042" s="71"/>
      <c r="AY1042" s="71"/>
      <c r="AZ1042" s="71"/>
      <c r="BA1042" s="71"/>
      <c r="BB1042" s="71"/>
      <c r="BC1042" s="71"/>
      <c r="BD1042" s="71"/>
      <c r="BE1042" s="71"/>
      <c r="BF1042" s="71"/>
      <c r="BG1042" s="71"/>
      <c r="BH1042" s="71"/>
      <c r="BI1042" s="71"/>
      <c r="BJ1042" s="71"/>
      <c r="BK1042" s="71"/>
      <c r="BL1042" s="71"/>
      <c r="BM1042" s="71"/>
      <c r="BN1042" s="71"/>
      <c r="BO1042" s="71"/>
      <c r="BP1042" s="71"/>
      <c r="BQ1042" s="71"/>
      <c r="BR1042" s="71"/>
      <c r="BS1042" s="71"/>
      <c r="BT1042" s="71"/>
      <c r="BU1042" s="71"/>
      <c r="BV1042" s="71"/>
      <c r="BW1042" s="71"/>
      <c r="BX1042" s="71"/>
      <c r="BY1042" s="71"/>
      <c r="BZ1042" s="71"/>
      <c r="CA1042" s="71"/>
      <c r="CB1042" s="71"/>
      <c r="CC1042" s="71"/>
      <c r="CD1042" s="71"/>
      <c r="CE1042" s="71"/>
      <c r="CF1042" s="71"/>
      <c r="CG1042" s="71"/>
      <c r="CH1042" s="71"/>
      <c r="CI1042" s="71"/>
      <c r="CJ1042" s="71"/>
      <c r="CK1042" s="71"/>
      <c r="CL1042" s="71"/>
      <c r="CM1042" s="71"/>
      <c r="CN1042" s="71"/>
      <c r="CO1042" s="71"/>
      <c r="CP1042" s="71"/>
      <c r="CQ1042" s="71"/>
      <c r="CR1042" s="71"/>
      <c r="CS1042" s="71"/>
      <c r="CT1042" s="71"/>
      <c r="CU1042" s="71"/>
      <c r="CV1042" s="71"/>
      <c r="CW1042" s="71"/>
      <c r="CX1042" s="71"/>
      <c r="CY1042" s="71"/>
      <c r="CZ1042" s="71"/>
      <c r="DA1042" s="71"/>
      <c r="DB1042" s="71"/>
      <c r="DC1042" s="71"/>
      <c r="DD1042" s="71"/>
      <c r="DE1042" s="71"/>
      <c r="DF1042" s="71"/>
      <c r="DG1042" s="71"/>
      <c r="DH1042" s="71"/>
      <c r="DI1042" s="71"/>
      <c r="DJ1042" s="71"/>
      <c r="DK1042" s="71"/>
      <c r="DL1042" s="71"/>
      <c r="DM1042" s="71"/>
      <c r="DN1042" s="71"/>
      <c r="DO1042" s="71"/>
      <c r="DP1042" s="71"/>
      <c r="DQ1042" s="71"/>
      <c r="DR1042" s="71"/>
      <c r="DS1042" s="71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  <c r="IJ1042" s="71"/>
      <c r="IK1042" s="71"/>
      <c r="IL1042" s="71"/>
      <c r="IM1042" s="71"/>
      <c r="IN1042" s="71"/>
      <c r="IO1042" s="71"/>
      <c r="IP1042" s="71"/>
      <c r="IQ1042" s="71"/>
      <c r="IR1042" s="71"/>
      <c r="IS1042" s="71"/>
      <c r="IT1042" s="71"/>
      <c r="IU1042" s="71"/>
      <c r="IV1042" s="71"/>
      <c r="IW1042" s="71"/>
    </row>
    <row r="1043" customFormat="false" ht="12.75" hidden="false" customHeight="false" outlineLevel="0" collapsed="false"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1"/>
      <c r="Z1043" s="71"/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71"/>
      <c r="AM1043" s="71"/>
      <c r="AN1043" s="71"/>
      <c r="AO1043" s="71"/>
      <c r="AP1043" s="71"/>
      <c r="AQ1043" s="71"/>
      <c r="AR1043" s="71"/>
      <c r="AS1043" s="71"/>
      <c r="AT1043" s="71"/>
      <c r="AU1043" s="71"/>
      <c r="AV1043" s="71"/>
      <c r="AW1043" s="71"/>
      <c r="AX1043" s="71"/>
      <c r="AY1043" s="71"/>
      <c r="AZ1043" s="71"/>
      <c r="BA1043" s="71"/>
      <c r="BB1043" s="71"/>
      <c r="BC1043" s="71"/>
      <c r="BD1043" s="71"/>
      <c r="BE1043" s="71"/>
      <c r="BF1043" s="71"/>
      <c r="BG1043" s="71"/>
      <c r="BH1043" s="71"/>
      <c r="BI1043" s="71"/>
      <c r="BJ1043" s="71"/>
      <c r="BK1043" s="71"/>
      <c r="BL1043" s="71"/>
      <c r="BM1043" s="71"/>
      <c r="BN1043" s="71"/>
      <c r="BO1043" s="71"/>
      <c r="BP1043" s="71"/>
      <c r="BQ1043" s="71"/>
      <c r="BR1043" s="71"/>
      <c r="BS1043" s="71"/>
      <c r="BT1043" s="71"/>
      <c r="BU1043" s="71"/>
      <c r="BV1043" s="71"/>
      <c r="BW1043" s="71"/>
      <c r="BX1043" s="71"/>
      <c r="BY1043" s="71"/>
      <c r="BZ1043" s="71"/>
      <c r="CA1043" s="71"/>
      <c r="CB1043" s="71"/>
      <c r="CC1043" s="71"/>
      <c r="CD1043" s="71"/>
      <c r="CE1043" s="71"/>
      <c r="CF1043" s="71"/>
      <c r="CG1043" s="71"/>
      <c r="CH1043" s="71"/>
      <c r="CI1043" s="71"/>
      <c r="CJ1043" s="71"/>
      <c r="CK1043" s="71"/>
      <c r="CL1043" s="71"/>
      <c r="CM1043" s="71"/>
      <c r="CN1043" s="71"/>
      <c r="CO1043" s="71"/>
      <c r="CP1043" s="71"/>
      <c r="CQ1043" s="71"/>
      <c r="CR1043" s="71"/>
      <c r="CS1043" s="71"/>
      <c r="CT1043" s="71"/>
      <c r="CU1043" s="71"/>
      <c r="CV1043" s="71"/>
      <c r="CW1043" s="71"/>
      <c r="CX1043" s="71"/>
      <c r="CY1043" s="71"/>
      <c r="CZ1043" s="71"/>
      <c r="DA1043" s="71"/>
      <c r="DB1043" s="71"/>
      <c r="DC1043" s="71"/>
      <c r="DD1043" s="71"/>
      <c r="DE1043" s="71"/>
      <c r="DF1043" s="71"/>
      <c r="DG1043" s="71"/>
      <c r="DH1043" s="71"/>
      <c r="DI1043" s="71"/>
      <c r="DJ1043" s="71"/>
      <c r="DK1043" s="71"/>
      <c r="DL1043" s="71"/>
      <c r="DM1043" s="71"/>
      <c r="DN1043" s="71"/>
      <c r="DO1043" s="71"/>
      <c r="DP1043" s="71"/>
      <c r="DQ1043" s="71"/>
      <c r="DR1043" s="71"/>
      <c r="DS1043" s="71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  <c r="IJ1043" s="71"/>
      <c r="IK1043" s="71"/>
      <c r="IL1043" s="71"/>
      <c r="IM1043" s="71"/>
      <c r="IN1043" s="71"/>
      <c r="IO1043" s="71"/>
      <c r="IP1043" s="71"/>
      <c r="IQ1043" s="71"/>
      <c r="IR1043" s="71"/>
      <c r="IS1043" s="71"/>
      <c r="IT1043" s="71"/>
      <c r="IU1043" s="71"/>
      <c r="IV1043" s="71"/>
      <c r="IW1043" s="71"/>
    </row>
    <row r="1044" customFormat="false" ht="12.75" hidden="false" customHeight="false" outlineLevel="0" collapsed="false"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71"/>
      <c r="P1044" s="71"/>
      <c r="Q1044" s="71"/>
      <c r="R1044" s="71"/>
      <c r="S1044" s="71"/>
      <c r="T1044" s="71"/>
      <c r="U1044" s="71"/>
      <c r="V1044" s="71"/>
      <c r="W1044" s="71"/>
      <c r="X1044" s="71"/>
      <c r="Y1044" s="71"/>
      <c r="Z1044" s="71"/>
      <c r="AA1044" s="71"/>
      <c r="AB1044" s="71"/>
      <c r="AC1044" s="71"/>
      <c r="AD1044" s="71"/>
      <c r="AE1044" s="71"/>
      <c r="AF1044" s="71"/>
      <c r="AG1044" s="71"/>
      <c r="AH1044" s="71"/>
      <c r="AI1044" s="71"/>
      <c r="AJ1044" s="71"/>
      <c r="AK1044" s="71"/>
      <c r="AL1044" s="71"/>
      <c r="AM1044" s="71"/>
      <c r="AN1044" s="71"/>
      <c r="AO1044" s="71"/>
      <c r="AP1044" s="71"/>
      <c r="AQ1044" s="71"/>
      <c r="AR1044" s="71"/>
      <c r="AS1044" s="71"/>
      <c r="AT1044" s="71"/>
      <c r="AU1044" s="71"/>
      <c r="AV1044" s="71"/>
      <c r="AW1044" s="71"/>
      <c r="AX1044" s="71"/>
      <c r="AY1044" s="71"/>
      <c r="AZ1044" s="71"/>
      <c r="BA1044" s="71"/>
      <c r="BB1044" s="71"/>
      <c r="BC1044" s="71"/>
      <c r="BD1044" s="71"/>
      <c r="BE1044" s="71"/>
      <c r="BF1044" s="71"/>
      <c r="BG1044" s="71"/>
      <c r="BH1044" s="71"/>
      <c r="BI1044" s="71"/>
      <c r="BJ1044" s="71"/>
      <c r="BK1044" s="71"/>
      <c r="BL1044" s="71"/>
      <c r="BM1044" s="71"/>
      <c r="BN1044" s="71"/>
      <c r="BO1044" s="71"/>
      <c r="BP1044" s="71"/>
      <c r="BQ1044" s="71"/>
      <c r="BR1044" s="71"/>
      <c r="BS1044" s="71"/>
      <c r="BT1044" s="71"/>
      <c r="BU1044" s="71"/>
      <c r="BV1044" s="71"/>
      <c r="BW1044" s="71"/>
      <c r="BX1044" s="71"/>
      <c r="BY1044" s="71"/>
      <c r="BZ1044" s="71"/>
      <c r="CA1044" s="71"/>
      <c r="CB1044" s="71"/>
      <c r="CC1044" s="71"/>
      <c r="CD1044" s="71"/>
      <c r="CE1044" s="71"/>
      <c r="CF1044" s="71"/>
      <c r="CG1044" s="71"/>
      <c r="CH1044" s="71"/>
      <c r="CI1044" s="71"/>
      <c r="CJ1044" s="71"/>
      <c r="CK1044" s="71"/>
      <c r="CL1044" s="71"/>
      <c r="CM1044" s="71"/>
      <c r="CN1044" s="71"/>
      <c r="CO1044" s="71"/>
      <c r="CP1044" s="71"/>
      <c r="CQ1044" s="71"/>
      <c r="CR1044" s="71"/>
      <c r="CS1044" s="71"/>
      <c r="CT1044" s="71"/>
      <c r="CU1044" s="71"/>
      <c r="CV1044" s="71"/>
      <c r="CW1044" s="71"/>
      <c r="CX1044" s="71"/>
      <c r="CY1044" s="71"/>
      <c r="CZ1044" s="71"/>
      <c r="DA1044" s="71"/>
      <c r="DB1044" s="71"/>
      <c r="DC1044" s="71"/>
      <c r="DD1044" s="71"/>
      <c r="DE1044" s="71"/>
      <c r="DF1044" s="71"/>
      <c r="DG1044" s="71"/>
      <c r="DH1044" s="71"/>
      <c r="DI1044" s="71"/>
      <c r="DJ1044" s="71"/>
      <c r="DK1044" s="71"/>
      <c r="DL1044" s="71"/>
      <c r="DM1044" s="71"/>
      <c r="DN1044" s="71"/>
      <c r="DO1044" s="71"/>
      <c r="DP1044" s="71"/>
      <c r="DQ1044" s="71"/>
      <c r="DR1044" s="71"/>
      <c r="DS1044" s="71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  <c r="IJ1044" s="71"/>
      <c r="IK1044" s="71"/>
      <c r="IL1044" s="71"/>
      <c r="IM1044" s="71"/>
      <c r="IN1044" s="71"/>
      <c r="IO1044" s="71"/>
      <c r="IP1044" s="71"/>
      <c r="IQ1044" s="71"/>
      <c r="IR1044" s="71"/>
      <c r="IS1044" s="71"/>
      <c r="IT1044" s="71"/>
      <c r="IU1044" s="71"/>
      <c r="IV1044" s="71"/>
      <c r="IW1044" s="71"/>
    </row>
    <row r="1045" customFormat="false" ht="12.75" hidden="false" customHeight="false" outlineLevel="0" collapsed="false"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71"/>
      <c r="P1045" s="71"/>
      <c r="Q1045" s="71"/>
      <c r="R1045" s="71"/>
      <c r="S1045" s="71"/>
      <c r="T1045" s="71"/>
      <c r="U1045" s="71"/>
      <c r="V1045" s="71"/>
      <c r="W1045" s="71"/>
      <c r="X1045" s="71"/>
      <c r="Y1045" s="71"/>
      <c r="Z1045" s="71"/>
      <c r="AA1045" s="71"/>
      <c r="AB1045" s="71"/>
      <c r="AC1045" s="71"/>
      <c r="AD1045" s="71"/>
      <c r="AE1045" s="71"/>
      <c r="AF1045" s="71"/>
      <c r="AG1045" s="71"/>
      <c r="AH1045" s="71"/>
      <c r="AI1045" s="71"/>
      <c r="AJ1045" s="71"/>
      <c r="AK1045" s="71"/>
      <c r="AL1045" s="71"/>
      <c r="AM1045" s="71"/>
      <c r="AN1045" s="71"/>
      <c r="AO1045" s="71"/>
      <c r="AP1045" s="71"/>
      <c r="AQ1045" s="71"/>
      <c r="AR1045" s="71"/>
      <c r="AS1045" s="71"/>
      <c r="AT1045" s="71"/>
      <c r="AU1045" s="71"/>
      <c r="AV1045" s="71"/>
      <c r="AW1045" s="71"/>
      <c r="AX1045" s="71"/>
      <c r="AY1045" s="71"/>
      <c r="AZ1045" s="71"/>
      <c r="BA1045" s="71"/>
      <c r="BB1045" s="71"/>
      <c r="BC1045" s="71"/>
      <c r="BD1045" s="71"/>
      <c r="BE1045" s="71"/>
      <c r="BF1045" s="71"/>
      <c r="BG1045" s="71"/>
      <c r="BH1045" s="71"/>
      <c r="BI1045" s="71"/>
      <c r="BJ1045" s="71"/>
      <c r="BK1045" s="71"/>
      <c r="BL1045" s="71"/>
      <c r="BM1045" s="71"/>
      <c r="BN1045" s="71"/>
      <c r="BO1045" s="71"/>
      <c r="BP1045" s="71"/>
      <c r="BQ1045" s="71"/>
      <c r="BR1045" s="71"/>
      <c r="BS1045" s="71"/>
      <c r="BT1045" s="71"/>
      <c r="BU1045" s="71"/>
      <c r="BV1045" s="71"/>
      <c r="BW1045" s="71"/>
      <c r="BX1045" s="71"/>
      <c r="BY1045" s="71"/>
      <c r="BZ1045" s="71"/>
      <c r="CA1045" s="71"/>
      <c r="CB1045" s="71"/>
      <c r="CC1045" s="71"/>
      <c r="CD1045" s="71"/>
      <c r="CE1045" s="71"/>
      <c r="CF1045" s="71"/>
      <c r="CG1045" s="71"/>
      <c r="CH1045" s="71"/>
      <c r="CI1045" s="71"/>
      <c r="CJ1045" s="71"/>
      <c r="CK1045" s="71"/>
      <c r="CL1045" s="71"/>
      <c r="CM1045" s="71"/>
      <c r="CN1045" s="71"/>
      <c r="CO1045" s="71"/>
      <c r="CP1045" s="71"/>
      <c r="CQ1045" s="71"/>
      <c r="CR1045" s="71"/>
      <c r="CS1045" s="71"/>
      <c r="CT1045" s="71"/>
      <c r="CU1045" s="71"/>
      <c r="CV1045" s="71"/>
      <c r="CW1045" s="71"/>
      <c r="CX1045" s="71"/>
      <c r="CY1045" s="71"/>
      <c r="CZ1045" s="71"/>
      <c r="DA1045" s="71"/>
      <c r="DB1045" s="71"/>
      <c r="DC1045" s="71"/>
      <c r="DD1045" s="71"/>
      <c r="DE1045" s="71"/>
      <c r="DF1045" s="71"/>
      <c r="DG1045" s="71"/>
      <c r="DH1045" s="71"/>
      <c r="DI1045" s="71"/>
      <c r="DJ1045" s="71"/>
      <c r="DK1045" s="71"/>
      <c r="DL1045" s="71"/>
      <c r="DM1045" s="71"/>
      <c r="DN1045" s="71"/>
      <c r="DO1045" s="71"/>
      <c r="DP1045" s="71"/>
      <c r="DQ1045" s="71"/>
      <c r="DR1045" s="71"/>
      <c r="DS1045" s="71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  <c r="IJ1045" s="71"/>
      <c r="IK1045" s="71"/>
      <c r="IL1045" s="71"/>
      <c r="IM1045" s="71"/>
      <c r="IN1045" s="71"/>
      <c r="IO1045" s="71"/>
      <c r="IP1045" s="71"/>
      <c r="IQ1045" s="71"/>
      <c r="IR1045" s="71"/>
      <c r="IS1045" s="71"/>
      <c r="IT1045" s="71"/>
      <c r="IU1045" s="71"/>
      <c r="IV1045" s="71"/>
      <c r="IW1045" s="71"/>
    </row>
    <row r="1046" customFormat="false" ht="12.75" hidden="false" customHeight="false" outlineLevel="0" collapsed="false"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71"/>
      <c r="P1046" s="71"/>
      <c r="Q1046" s="71"/>
      <c r="R1046" s="71"/>
      <c r="S1046" s="71"/>
      <c r="T1046" s="71"/>
      <c r="U1046" s="71"/>
      <c r="V1046" s="71"/>
      <c r="W1046" s="71"/>
      <c r="X1046" s="71"/>
      <c r="Y1046" s="71"/>
      <c r="Z1046" s="71"/>
      <c r="AA1046" s="71"/>
      <c r="AB1046" s="71"/>
      <c r="AC1046" s="71"/>
      <c r="AD1046" s="71"/>
      <c r="AE1046" s="71"/>
      <c r="AF1046" s="71"/>
      <c r="AG1046" s="71"/>
      <c r="AH1046" s="71"/>
      <c r="AI1046" s="71"/>
      <c r="AJ1046" s="71"/>
      <c r="AK1046" s="71"/>
      <c r="AL1046" s="71"/>
      <c r="AM1046" s="71"/>
      <c r="AN1046" s="71"/>
      <c r="AO1046" s="71"/>
      <c r="AP1046" s="71"/>
      <c r="AQ1046" s="71"/>
      <c r="AR1046" s="71"/>
      <c r="AS1046" s="71"/>
      <c r="AT1046" s="71"/>
      <c r="AU1046" s="71"/>
      <c r="AV1046" s="71"/>
      <c r="AW1046" s="71"/>
      <c r="AX1046" s="71"/>
      <c r="AY1046" s="71"/>
      <c r="AZ1046" s="71"/>
      <c r="BA1046" s="71"/>
      <c r="BB1046" s="71"/>
      <c r="BC1046" s="71"/>
      <c r="BD1046" s="71"/>
      <c r="BE1046" s="71"/>
      <c r="BF1046" s="71"/>
      <c r="BG1046" s="71"/>
      <c r="BH1046" s="71"/>
      <c r="BI1046" s="71"/>
      <c r="BJ1046" s="71"/>
      <c r="BK1046" s="71"/>
      <c r="BL1046" s="71"/>
      <c r="BM1046" s="71"/>
      <c r="BN1046" s="71"/>
      <c r="BO1046" s="71"/>
      <c r="BP1046" s="71"/>
      <c r="BQ1046" s="71"/>
      <c r="BR1046" s="71"/>
      <c r="BS1046" s="71"/>
      <c r="BT1046" s="71"/>
      <c r="BU1046" s="71"/>
      <c r="BV1046" s="71"/>
      <c r="BW1046" s="71"/>
      <c r="BX1046" s="71"/>
      <c r="BY1046" s="71"/>
      <c r="BZ1046" s="71"/>
      <c r="CA1046" s="71"/>
      <c r="CB1046" s="71"/>
      <c r="CC1046" s="71"/>
      <c r="CD1046" s="71"/>
      <c r="CE1046" s="71"/>
      <c r="CF1046" s="71"/>
      <c r="CG1046" s="71"/>
      <c r="CH1046" s="71"/>
      <c r="CI1046" s="71"/>
      <c r="CJ1046" s="71"/>
      <c r="CK1046" s="71"/>
      <c r="CL1046" s="71"/>
      <c r="CM1046" s="71"/>
      <c r="CN1046" s="71"/>
      <c r="CO1046" s="71"/>
      <c r="CP1046" s="71"/>
      <c r="CQ1046" s="71"/>
      <c r="CR1046" s="71"/>
      <c r="CS1046" s="71"/>
      <c r="CT1046" s="71"/>
      <c r="CU1046" s="71"/>
      <c r="CV1046" s="71"/>
      <c r="CW1046" s="71"/>
      <c r="CX1046" s="71"/>
      <c r="CY1046" s="71"/>
      <c r="CZ1046" s="71"/>
      <c r="DA1046" s="71"/>
      <c r="DB1046" s="71"/>
      <c r="DC1046" s="71"/>
      <c r="DD1046" s="71"/>
      <c r="DE1046" s="71"/>
      <c r="DF1046" s="71"/>
      <c r="DG1046" s="71"/>
      <c r="DH1046" s="71"/>
      <c r="DI1046" s="71"/>
      <c r="DJ1046" s="71"/>
      <c r="DK1046" s="71"/>
      <c r="DL1046" s="71"/>
      <c r="DM1046" s="71"/>
      <c r="DN1046" s="71"/>
      <c r="DO1046" s="71"/>
      <c r="DP1046" s="71"/>
      <c r="DQ1046" s="71"/>
      <c r="DR1046" s="71"/>
      <c r="DS1046" s="71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  <c r="IJ1046" s="71"/>
      <c r="IK1046" s="71"/>
      <c r="IL1046" s="71"/>
      <c r="IM1046" s="71"/>
      <c r="IN1046" s="71"/>
      <c r="IO1046" s="71"/>
      <c r="IP1046" s="71"/>
      <c r="IQ1046" s="71"/>
      <c r="IR1046" s="71"/>
      <c r="IS1046" s="71"/>
      <c r="IT1046" s="71"/>
      <c r="IU1046" s="71"/>
      <c r="IV1046" s="71"/>
      <c r="IW1046" s="71"/>
    </row>
    <row r="1047" customFormat="false" ht="12.75" hidden="false" customHeight="false" outlineLevel="0" collapsed="false"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71"/>
      <c r="P1047" s="71"/>
      <c r="Q1047" s="71"/>
      <c r="R1047" s="71"/>
      <c r="S1047" s="71"/>
      <c r="T1047" s="71"/>
      <c r="U1047" s="71"/>
      <c r="V1047" s="71"/>
      <c r="W1047" s="71"/>
      <c r="X1047" s="71"/>
      <c r="Y1047" s="71"/>
      <c r="Z1047" s="71"/>
      <c r="AA1047" s="71"/>
      <c r="AB1047" s="71"/>
      <c r="AC1047" s="71"/>
      <c r="AD1047" s="71"/>
      <c r="AE1047" s="71"/>
      <c r="AF1047" s="71"/>
      <c r="AG1047" s="71"/>
      <c r="AH1047" s="71"/>
      <c r="AI1047" s="71"/>
      <c r="AJ1047" s="71"/>
      <c r="AK1047" s="71"/>
      <c r="AL1047" s="71"/>
      <c r="AM1047" s="71"/>
      <c r="AN1047" s="71"/>
      <c r="AO1047" s="71"/>
      <c r="AP1047" s="71"/>
      <c r="AQ1047" s="71"/>
      <c r="AR1047" s="71"/>
      <c r="AS1047" s="71"/>
      <c r="AT1047" s="71"/>
      <c r="AU1047" s="71"/>
      <c r="AV1047" s="71"/>
      <c r="AW1047" s="71"/>
      <c r="AX1047" s="71"/>
      <c r="AY1047" s="71"/>
      <c r="AZ1047" s="71"/>
      <c r="BA1047" s="71"/>
      <c r="BB1047" s="71"/>
      <c r="BC1047" s="71"/>
      <c r="BD1047" s="71"/>
      <c r="BE1047" s="71"/>
      <c r="BF1047" s="71"/>
      <c r="BG1047" s="71"/>
      <c r="BH1047" s="71"/>
      <c r="BI1047" s="71"/>
      <c r="BJ1047" s="71"/>
      <c r="BK1047" s="71"/>
      <c r="BL1047" s="71"/>
      <c r="BM1047" s="71"/>
      <c r="BN1047" s="71"/>
      <c r="BO1047" s="71"/>
      <c r="BP1047" s="71"/>
      <c r="BQ1047" s="71"/>
      <c r="BR1047" s="71"/>
      <c r="BS1047" s="71"/>
      <c r="BT1047" s="71"/>
      <c r="BU1047" s="71"/>
      <c r="BV1047" s="71"/>
      <c r="BW1047" s="71"/>
      <c r="BX1047" s="71"/>
      <c r="BY1047" s="71"/>
      <c r="BZ1047" s="71"/>
      <c r="CA1047" s="71"/>
      <c r="CB1047" s="71"/>
      <c r="CC1047" s="71"/>
      <c r="CD1047" s="71"/>
      <c r="CE1047" s="71"/>
      <c r="CF1047" s="71"/>
      <c r="CG1047" s="71"/>
      <c r="CH1047" s="71"/>
      <c r="CI1047" s="71"/>
      <c r="CJ1047" s="71"/>
      <c r="CK1047" s="71"/>
      <c r="CL1047" s="71"/>
      <c r="CM1047" s="71"/>
      <c r="CN1047" s="71"/>
      <c r="CO1047" s="71"/>
      <c r="CP1047" s="71"/>
      <c r="CQ1047" s="71"/>
      <c r="CR1047" s="71"/>
      <c r="CS1047" s="71"/>
      <c r="CT1047" s="71"/>
      <c r="CU1047" s="71"/>
      <c r="CV1047" s="71"/>
      <c r="CW1047" s="71"/>
      <c r="CX1047" s="71"/>
      <c r="CY1047" s="71"/>
      <c r="CZ1047" s="71"/>
      <c r="DA1047" s="71"/>
      <c r="DB1047" s="71"/>
      <c r="DC1047" s="71"/>
      <c r="DD1047" s="71"/>
      <c r="DE1047" s="71"/>
      <c r="DF1047" s="71"/>
      <c r="DG1047" s="71"/>
      <c r="DH1047" s="71"/>
      <c r="DI1047" s="71"/>
      <c r="DJ1047" s="71"/>
      <c r="DK1047" s="71"/>
      <c r="DL1047" s="71"/>
      <c r="DM1047" s="71"/>
      <c r="DN1047" s="71"/>
      <c r="DO1047" s="71"/>
      <c r="DP1047" s="71"/>
      <c r="DQ1047" s="71"/>
      <c r="DR1047" s="71"/>
      <c r="DS1047" s="71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  <c r="IJ1047" s="71"/>
      <c r="IK1047" s="71"/>
      <c r="IL1047" s="71"/>
      <c r="IM1047" s="71"/>
      <c r="IN1047" s="71"/>
      <c r="IO1047" s="71"/>
      <c r="IP1047" s="71"/>
      <c r="IQ1047" s="71"/>
      <c r="IR1047" s="71"/>
      <c r="IS1047" s="71"/>
      <c r="IT1047" s="71"/>
      <c r="IU1047" s="71"/>
      <c r="IV1047" s="71"/>
      <c r="IW1047" s="71"/>
    </row>
    <row r="1048" customFormat="false" ht="12.75" hidden="false" customHeight="false" outlineLevel="0" collapsed="false"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71"/>
      <c r="P1048" s="71"/>
      <c r="Q1048" s="71"/>
      <c r="R1048" s="71"/>
      <c r="S1048" s="71"/>
      <c r="T1048" s="71"/>
      <c r="U1048" s="71"/>
      <c r="V1048" s="71"/>
      <c r="W1048" s="71"/>
      <c r="X1048" s="71"/>
      <c r="Y1048" s="71"/>
      <c r="Z1048" s="71"/>
      <c r="AA1048" s="71"/>
      <c r="AB1048" s="71"/>
      <c r="AC1048" s="71"/>
      <c r="AD1048" s="71"/>
      <c r="AE1048" s="71"/>
      <c r="AF1048" s="71"/>
      <c r="AG1048" s="71"/>
      <c r="AH1048" s="71"/>
      <c r="AI1048" s="71"/>
      <c r="AJ1048" s="71"/>
      <c r="AK1048" s="71"/>
      <c r="AL1048" s="71"/>
      <c r="AM1048" s="71"/>
      <c r="AN1048" s="71"/>
      <c r="AO1048" s="71"/>
      <c r="AP1048" s="71"/>
      <c r="AQ1048" s="71"/>
      <c r="AR1048" s="71"/>
      <c r="AS1048" s="71"/>
      <c r="AT1048" s="71"/>
      <c r="AU1048" s="71"/>
      <c r="AV1048" s="71"/>
      <c r="AW1048" s="71"/>
      <c r="AX1048" s="71"/>
      <c r="AY1048" s="71"/>
      <c r="AZ1048" s="71"/>
      <c r="BA1048" s="71"/>
      <c r="BB1048" s="71"/>
      <c r="BC1048" s="71"/>
      <c r="BD1048" s="71"/>
      <c r="BE1048" s="71"/>
      <c r="BF1048" s="71"/>
      <c r="BG1048" s="71"/>
      <c r="BH1048" s="71"/>
      <c r="BI1048" s="71"/>
      <c r="BJ1048" s="71"/>
      <c r="BK1048" s="71"/>
      <c r="BL1048" s="71"/>
      <c r="BM1048" s="71"/>
      <c r="BN1048" s="71"/>
      <c r="BO1048" s="71"/>
      <c r="BP1048" s="71"/>
      <c r="BQ1048" s="71"/>
      <c r="BR1048" s="71"/>
      <c r="BS1048" s="71"/>
      <c r="BT1048" s="71"/>
      <c r="BU1048" s="71"/>
      <c r="BV1048" s="71"/>
      <c r="BW1048" s="71"/>
      <c r="BX1048" s="71"/>
      <c r="BY1048" s="71"/>
      <c r="BZ1048" s="71"/>
      <c r="CA1048" s="71"/>
      <c r="CB1048" s="71"/>
      <c r="CC1048" s="71"/>
      <c r="CD1048" s="71"/>
      <c r="CE1048" s="71"/>
      <c r="CF1048" s="71"/>
      <c r="CG1048" s="71"/>
      <c r="CH1048" s="71"/>
      <c r="CI1048" s="71"/>
      <c r="CJ1048" s="71"/>
      <c r="CK1048" s="71"/>
      <c r="CL1048" s="71"/>
      <c r="CM1048" s="71"/>
      <c r="CN1048" s="71"/>
      <c r="CO1048" s="71"/>
      <c r="CP1048" s="71"/>
      <c r="CQ1048" s="71"/>
      <c r="CR1048" s="71"/>
      <c r="CS1048" s="71"/>
      <c r="CT1048" s="71"/>
      <c r="CU1048" s="71"/>
      <c r="CV1048" s="71"/>
      <c r="CW1048" s="71"/>
      <c r="CX1048" s="71"/>
      <c r="CY1048" s="71"/>
      <c r="CZ1048" s="71"/>
      <c r="DA1048" s="71"/>
      <c r="DB1048" s="71"/>
      <c r="DC1048" s="71"/>
      <c r="DD1048" s="71"/>
      <c r="DE1048" s="71"/>
      <c r="DF1048" s="71"/>
      <c r="DG1048" s="71"/>
      <c r="DH1048" s="71"/>
      <c r="DI1048" s="71"/>
      <c r="DJ1048" s="71"/>
      <c r="DK1048" s="71"/>
      <c r="DL1048" s="71"/>
      <c r="DM1048" s="71"/>
      <c r="DN1048" s="71"/>
      <c r="DO1048" s="71"/>
      <c r="DP1048" s="71"/>
      <c r="DQ1048" s="71"/>
      <c r="DR1048" s="71"/>
      <c r="DS1048" s="71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  <c r="IJ1048" s="71"/>
      <c r="IK1048" s="71"/>
      <c r="IL1048" s="71"/>
      <c r="IM1048" s="71"/>
      <c r="IN1048" s="71"/>
      <c r="IO1048" s="71"/>
      <c r="IP1048" s="71"/>
      <c r="IQ1048" s="71"/>
      <c r="IR1048" s="71"/>
      <c r="IS1048" s="71"/>
      <c r="IT1048" s="71"/>
      <c r="IU1048" s="71"/>
      <c r="IV1048" s="71"/>
      <c r="IW1048" s="71"/>
    </row>
    <row r="1049" customFormat="false" ht="12.75" hidden="false" customHeight="false" outlineLevel="0" collapsed="false"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71"/>
      <c r="P1049" s="71"/>
      <c r="Q1049" s="71"/>
      <c r="R1049" s="71"/>
      <c r="S1049" s="71"/>
      <c r="T1049" s="71"/>
      <c r="U1049" s="71"/>
      <c r="V1049" s="71"/>
      <c r="W1049" s="71"/>
      <c r="X1049" s="71"/>
      <c r="Y1049" s="71"/>
      <c r="Z1049" s="71"/>
      <c r="AA1049" s="71"/>
      <c r="AB1049" s="71"/>
      <c r="AC1049" s="71"/>
      <c r="AD1049" s="71"/>
      <c r="AE1049" s="71"/>
      <c r="AF1049" s="71"/>
      <c r="AG1049" s="71"/>
      <c r="AH1049" s="71"/>
      <c r="AI1049" s="71"/>
      <c r="AJ1049" s="71"/>
      <c r="AK1049" s="71"/>
      <c r="AL1049" s="71"/>
      <c r="AM1049" s="71"/>
      <c r="AN1049" s="71"/>
      <c r="AO1049" s="71"/>
      <c r="AP1049" s="71"/>
      <c r="AQ1049" s="71"/>
      <c r="AR1049" s="71"/>
      <c r="AS1049" s="71"/>
      <c r="AT1049" s="71"/>
      <c r="AU1049" s="71"/>
      <c r="AV1049" s="71"/>
      <c r="AW1049" s="71"/>
      <c r="AX1049" s="71"/>
      <c r="AY1049" s="71"/>
      <c r="AZ1049" s="71"/>
      <c r="BA1049" s="71"/>
      <c r="BB1049" s="71"/>
      <c r="BC1049" s="71"/>
      <c r="BD1049" s="71"/>
      <c r="BE1049" s="71"/>
      <c r="BF1049" s="71"/>
      <c r="BG1049" s="71"/>
      <c r="BH1049" s="71"/>
      <c r="BI1049" s="71"/>
      <c r="BJ1049" s="71"/>
      <c r="BK1049" s="71"/>
      <c r="BL1049" s="71"/>
      <c r="BM1049" s="71"/>
      <c r="BN1049" s="71"/>
      <c r="BO1049" s="71"/>
      <c r="BP1049" s="71"/>
      <c r="BQ1049" s="71"/>
      <c r="BR1049" s="71"/>
      <c r="BS1049" s="71"/>
      <c r="BT1049" s="71"/>
      <c r="BU1049" s="71"/>
      <c r="BV1049" s="71"/>
      <c r="BW1049" s="71"/>
      <c r="BX1049" s="71"/>
      <c r="BY1049" s="71"/>
      <c r="BZ1049" s="71"/>
      <c r="CA1049" s="71"/>
      <c r="CB1049" s="71"/>
      <c r="CC1049" s="71"/>
      <c r="CD1049" s="71"/>
      <c r="CE1049" s="71"/>
      <c r="CF1049" s="71"/>
      <c r="CG1049" s="71"/>
      <c r="CH1049" s="71"/>
      <c r="CI1049" s="71"/>
      <c r="CJ1049" s="71"/>
      <c r="CK1049" s="71"/>
      <c r="CL1049" s="71"/>
      <c r="CM1049" s="71"/>
      <c r="CN1049" s="71"/>
      <c r="CO1049" s="71"/>
      <c r="CP1049" s="71"/>
      <c r="CQ1049" s="71"/>
      <c r="CR1049" s="71"/>
      <c r="CS1049" s="71"/>
      <c r="CT1049" s="71"/>
      <c r="CU1049" s="71"/>
      <c r="CV1049" s="71"/>
      <c r="CW1049" s="71"/>
      <c r="CX1049" s="71"/>
      <c r="CY1049" s="71"/>
      <c r="CZ1049" s="71"/>
      <c r="DA1049" s="71"/>
      <c r="DB1049" s="71"/>
      <c r="DC1049" s="71"/>
      <c r="DD1049" s="71"/>
      <c r="DE1049" s="71"/>
      <c r="DF1049" s="71"/>
      <c r="DG1049" s="71"/>
      <c r="DH1049" s="71"/>
      <c r="DI1049" s="71"/>
      <c r="DJ1049" s="71"/>
      <c r="DK1049" s="71"/>
      <c r="DL1049" s="71"/>
      <c r="DM1049" s="71"/>
      <c r="DN1049" s="71"/>
      <c r="DO1049" s="71"/>
      <c r="DP1049" s="71"/>
      <c r="DQ1049" s="71"/>
      <c r="DR1049" s="71"/>
      <c r="DS1049" s="71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  <c r="IJ1049" s="71"/>
      <c r="IK1049" s="71"/>
      <c r="IL1049" s="71"/>
      <c r="IM1049" s="71"/>
      <c r="IN1049" s="71"/>
      <c r="IO1049" s="71"/>
      <c r="IP1049" s="71"/>
      <c r="IQ1049" s="71"/>
      <c r="IR1049" s="71"/>
      <c r="IS1049" s="71"/>
      <c r="IT1049" s="71"/>
      <c r="IU1049" s="71"/>
      <c r="IV1049" s="71"/>
      <c r="IW1049" s="71"/>
    </row>
    <row r="1050" customFormat="false" ht="12.75" hidden="false" customHeight="false" outlineLevel="0" collapsed="false"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71"/>
      <c r="P1050" s="71"/>
      <c r="Q1050" s="71"/>
      <c r="R1050" s="71"/>
      <c r="S1050" s="71"/>
      <c r="T1050" s="71"/>
      <c r="U1050" s="71"/>
      <c r="V1050" s="71"/>
      <c r="W1050" s="71"/>
      <c r="X1050" s="71"/>
      <c r="Y1050" s="71"/>
      <c r="Z1050" s="71"/>
      <c r="AA1050" s="71"/>
      <c r="AB1050" s="71"/>
      <c r="AC1050" s="71"/>
      <c r="AD1050" s="71"/>
      <c r="AE1050" s="71"/>
      <c r="AF1050" s="71"/>
      <c r="AG1050" s="71"/>
      <c r="AH1050" s="71"/>
      <c r="AI1050" s="71"/>
      <c r="AJ1050" s="71"/>
      <c r="AK1050" s="71"/>
      <c r="AL1050" s="71"/>
      <c r="AM1050" s="71"/>
      <c r="AN1050" s="71"/>
      <c r="AO1050" s="71"/>
      <c r="AP1050" s="71"/>
      <c r="AQ1050" s="71"/>
      <c r="AR1050" s="71"/>
      <c r="AS1050" s="71"/>
      <c r="AT1050" s="71"/>
      <c r="AU1050" s="71"/>
      <c r="AV1050" s="71"/>
      <c r="AW1050" s="71"/>
      <c r="AX1050" s="71"/>
      <c r="AY1050" s="71"/>
      <c r="AZ1050" s="71"/>
      <c r="BA1050" s="71"/>
      <c r="BB1050" s="71"/>
      <c r="BC1050" s="71"/>
      <c r="BD1050" s="71"/>
      <c r="BE1050" s="71"/>
      <c r="BF1050" s="71"/>
      <c r="BG1050" s="71"/>
      <c r="BH1050" s="71"/>
      <c r="BI1050" s="71"/>
      <c r="BJ1050" s="71"/>
      <c r="BK1050" s="71"/>
      <c r="BL1050" s="71"/>
      <c r="BM1050" s="71"/>
      <c r="BN1050" s="71"/>
      <c r="BO1050" s="71"/>
      <c r="BP1050" s="71"/>
      <c r="BQ1050" s="71"/>
      <c r="BR1050" s="71"/>
      <c r="BS1050" s="71"/>
      <c r="BT1050" s="71"/>
      <c r="BU1050" s="71"/>
      <c r="BV1050" s="71"/>
      <c r="BW1050" s="71"/>
      <c r="BX1050" s="71"/>
      <c r="BY1050" s="71"/>
      <c r="BZ1050" s="71"/>
      <c r="CA1050" s="71"/>
      <c r="CB1050" s="71"/>
      <c r="CC1050" s="71"/>
      <c r="CD1050" s="71"/>
      <c r="CE1050" s="71"/>
      <c r="CF1050" s="71"/>
      <c r="CG1050" s="71"/>
      <c r="CH1050" s="71"/>
      <c r="CI1050" s="71"/>
      <c r="CJ1050" s="71"/>
      <c r="CK1050" s="71"/>
      <c r="CL1050" s="71"/>
      <c r="CM1050" s="71"/>
      <c r="CN1050" s="71"/>
      <c r="CO1050" s="71"/>
      <c r="CP1050" s="71"/>
      <c r="CQ1050" s="71"/>
      <c r="CR1050" s="71"/>
      <c r="CS1050" s="71"/>
      <c r="CT1050" s="71"/>
      <c r="CU1050" s="71"/>
      <c r="CV1050" s="71"/>
      <c r="CW1050" s="71"/>
      <c r="CX1050" s="71"/>
      <c r="CY1050" s="71"/>
      <c r="CZ1050" s="71"/>
      <c r="DA1050" s="71"/>
      <c r="DB1050" s="71"/>
      <c r="DC1050" s="71"/>
      <c r="DD1050" s="71"/>
      <c r="DE1050" s="71"/>
      <c r="DF1050" s="71"/>
      <c r="DG1050" s="71"/>
      <c r="DH1050" s="71"/>
      <c r="DI1050" s="71"/>
      <c r="DJ1050" s="71"/>
      <c r="DK1050" s="71"/>
      <c r="DL1050" s="71"/>
      <c r="DM1050" s="71"/>
      <c r="DN1050" s="71"/>
      <c r="DO1050" s="71"/>
      <c r="DP1050" s="71"/>
      <c r="DQ1050" s="71"/>
      <c r="DR1050" s="71"/>
      <c r="DS1050" s="71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  <c r="IJ1050" s="71"/>
      <c r="IK1050" s="71"/>
      <c r="IL1050" s="71"/>
      <c r="IM1050" s="71"/>
      <c r="IN1050" s="71"/>
      <c r="IO1050" s="71"/>
      <c r="IP1050" s="71"/>
      <c r="IQ1050" s="71"/>
      <c r="IR1050" s="71"/>
      <c r="IS1050" s="71"/>
      <c r="IT1050" s="71"/>
      <c r="IU1050" s="71"/>
      <c r="IV1050" s="71"/>
      <c r="IW1050" s="71"/>
    </row>
    <row r="1051" customFormat="false" ht="12.75" hidden="false" customHeight="false" outlineLevel="0" collapsed="false"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1"/>
      <c r="Z1051" s="71"/>
      <c r="AA1051" s="71"/>
      <c r="AB1051" s="71"/>
      <c r="AC1051" s="71"/>
      <c r="AD1051" s="71"/>
      <c r="AE1051" s="71"/>
      <c r="AF1051" s="71"/>
      <c r="AG1051" s="71"/>
      <c r="AH1051" s="71"/>
      <c r="AI1051" s="71"/>
      <c r="AJ1051" s="71"/>
      <c r="AK1051" s="71"/>
      <c r="AL1051" s="71"/>
      <c r="AM1051" s="71"/>
      <c r="AN1051" s="71"/>
      <c r="AO1051" s="71"/>
      <c r="AP1051" s="71"/>
      <c r="AQ1051" s="71"/>
      <c r="AR1051" s="71"/>
      <c r="AS1051" s="71"/>
      <c r="AT1051" s="71"/>
      <c r="AU1051" s="71"/>
      <c r="AV1051" s="71"/>
      <c r="AW1051" s="71"/>
      <c r="AX1051" s="71"/>
      <c r="AY1051" s="71"/>
      <c r="AZ1051" s="71"/>
      <c r="BA1051" s="71"/>
      <c r="BB1051" s="71"/>
      <c r="BC1051" s="71"/>
      <c r="BD1051" s="71"/>
      <c r="BE1051" s="71"/>
      <c r="BF1051" s="71"/>
      <c r="BG1051" s="71"/>
      <c r="BH1051" s="71"/>
      <c r="BI1051" s="71"/>
      <c r="BJ1051" s="71"/>
      <c r="BK1051" s="71"/>
      <c r="BL1051" s="71"/>
      <c r="BM1051" s="71"/>
      <c r="BN1051" s="71"/>
      <c r="BO1051" s="71"/>
      <c r="BP1051" s="71"/>
      <c r="BQ1051" s="71"/>
      <c r="BR1051" s="71"/>
      <c r="BS1051" s="71"/>
      <c r="BT1051" s="71"/>
      <c r="BU1051" s="71"/>
      <c r="BV1051" s="71"/>
      <c r="BW1051" s="71"/>
      <c r="BX1051" s="71"/>
      <c r="BY1051" s="71"/>
      <c r="BZ1051" s="71"/>
      <c r="CA1051" s="71"/>
      <c r="CB1051" s="71"/>
      <c r="CC1051" s="71"/>
      <c r="CD1051" s="71"/>
      <c r="CE1051" s="71"/>
      <c r="CF1051" s="71"/>
      <c r="CG1051" s="71"/>
      <c r="CH1051" s="71"/>
      <c r="CI1051" s="71"/>
      <c r="CJ1051" s="71"/>
      <c r="CK1051" s="71"/>
      <c r="CL1051" s="71"/>
      <c r="CM1051" s="71"/>
      <c r="CN1051" s="71"/>
      <c r="CO1051" s="71"/>
      <c r="CP1051" s="71"/>
      <c r="CQ1051" s="71"/>
      <c r="CR1051" s="71"/>
      <c r="CS1051" s="71"/>
      <c r="CT1051" s="71"/>
      <c r="CU1051" s="71"/>
      <c r="CV1051" s="71"/>
      <c r="CW1051" s="71"/>
      <c r="CX1051" s="71"/>
      <c r="CY1051" s="71"/>
      <c r="CZ1051" s="71"/>
      <c r="DA1051" s="71"/>
      <c r="DB1051" s="71"/>
      <c r="DC1051" s="71"/>
      <c r="DD1051" s="71"/>
      <c r="DE1051" s="71"/>
      <c r="DF1051" s="71"/>
      <c r="DG1051" s="71"/>
      <c r="DH1051" s="71"/>
      <c r="DI1051" s="71"/>
      <c r="DJ1051" s="71"/>
      <c r="DK1051" s="71"/>
      <c r="DL1051" s="71"/>
      <c r="DM1051" s="71"/>
      <c r="DN1051" s="71"/>
      <c r="DO1051" s="71"/>
      <c r="DP1051" s="71"/>
      <c r="DQ1051" s="71"/>
      <c r="DR1051" s="71"/>
      <c r="DS1051" s="71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  <c r="IJ1051" s="71"/>
      <c r="IK1051" s="71"/>
      <c r="IL1051" s="71"/>
      <c r="IM1051" s="71"/>
      <c r="IN1051" s="71"/>
      <c r="IO1051" s="71"/>
      <c r="IP1051" s="71"/>
      <c r="IQ1051" s="71"/>
      <c r="IR1051" s="71"/>
      <c r="IS1051" s="71"/>
      <c r="IT1051" s="71"/>
      <c r="IU1051" s="71"/>
      <c r="IV1051" s="71"/>
      <c r="IW1051" s="71"/>
    </row>
    <row r="1052" customFormat="false" ht="12.75" hidden="false" customHeight="false" outlineLevel="0" collapsed="false"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71"/>
      <c r="P1052" s="71"/>
      <c r="Q1052" s="71"/>
      <c r="R1052" s="71"/>
      <c r="S1052" s="71"/>
      <c r="T1052" s="71"/>
      <c r="U1052" s="71"/>
      <c r="V1052" s="71"/>
      <c r="W1052" s="71"/>
      <c r="X1052" s="71"/>
      <c r="Y1052" s="71"/>
      <c r="Z1052" s="71"/>
      <c r="AA1052" s="71"/>
      <c r="AB1052" s="71"/>
      <c r="AC1052" s="71"/>
      <c r="AD1052" s="71"/>
      <c r="AE1052" s="71"/>
      <c r="AF1052" s="71"/>
      <c r="AG1052" s="71"/>
      <c r="AH1052" s="71"/>
      <c r="AI1052" s="71"/>
      <c r="AJ1052" s="71"/>
      <c r="AK1052" s="71"/>
      <c r="AL1052" s="71"/>
      <c r="AM1052" s="71"/>
      <c r="AN1052" s="71"/>
      <c r="AO1052" s="71"/>
      <c r="AP1052" s="71"/>
      <c r="AQ1052" s="71"/>
      <c r="AR1052" s="71"/>
      <c r="AS1052" s="71"/>
      <c r="AT1052" s="71"/>
      <c r="AU1052" s="71"/>
      <c r="AV1052" s="71"/>
      <c r="AW1052" s="71"/>
      <c r="AX1052" s="71"/>
      <c r="AY1052" s="71"/>
      <c r="AZ1052" s="71"/>
      <c r="BA1052" s="71"/>
      <c r="BB1052" s="71"/>
      <c r="BC1052" s="71"/>
      <c r="BD1052" s="71"/>
      <c r="BE1052" s="71"/>
      <c r="BF1052" s="71"/>
      <c r="BG1052" s="71"/>
      <c r="BH1052" s="71"/>
      <c r="BI1052" s="71"/>
      <c r="BJ1052" s="71"/>
      <c r="BK1052" s="71"/>
      <c r="BL1052" s="71"/>
      <c r="BM1052" s="71"/>
      <c r="BN1052" s="71"/>
      <c r="BO1052" s="71"/>
      <c r="BP1052" s="71"/>
      <c r="BQ1052" s="71"/>
      <c r="BR1052" s="71"/>
      <c r="BS1052" s="71"/>
      <c r="BT1052" s="71"/>
      <c r="BU1052" s="71"/>
      <c r="BV1052" s="71"/>
      <c r="BW1052" s="71"/>
      <c r="BX1052" s="71"/>
      <c r="BY1052" s="71"/>
      <c r="BZ1052" s="71"/>
      <c r="CA1052" s="71"/>
      <c r="CB1052" s="71"/>
      <c r="CC1052" s="71"/>
      <c r="CD1052" s="71"/>
      <c r="CE1052" s="71"/>
      <c r="CF1052" s="71"/>
      <c r="CG1052" s="71"/>
      <c r="CH1052" s="71"/>
      <c r="CI1052" s="71"/>
      <c r="CJ1052" s="71"/>
      <c r="CK1052" s="71"/>
      <c r="CL1052" s="71"/>
      <c r="CM1052" s="71"/>
      <c r="CN1052" s="71"/>
      <c r="CO1052" s="71"/>
      <c r="CP1052" s="71"/>
      <c r="CQ1052" s="71"/>
      <c r="CR1052" s="71"/>
      <c r="CS1052" s="71"/>
      <c r="CT1052" s="71"/>
      <c r="CU1052" s="71"/>
      <c r="CV1052" s="71"/>
      <c r="CW1052" s="71"/>
      <c r="CX1052" s="71"/>
      <c r="CY1052" s="71"/>
      <c r="CZ1052" s="71"/>
      <c r="DA1052" s="71"/>
      <c r="DB1052" s="71"/>
      <c r="DC1052" s="71"/>
      <c r="DD1052" s="71"/>
      <c r="DE1052" s="71"/>
      <c r="DF1052" s="71"/>
      <c r="DG1052" s="71"/>
      <c r="DH1052" s="71"/>
      <c r="DI1052" s="71"/>
      <c r="DJ1052" s="71"/>
      <c r="DK1052" s="71"/>
      <c r="DL1052" s="71"/>
      <c r="DM1052" s="71"/>
      <c r="DN1052" s="71"/>
      <c r="DO1052" s="71"/>
      <c r="DP1052" s="71"/>
      <c r="DQ1052" s="71"/>
      <c r="DR1052" s="71"/>
      <c r="DS1052" s="71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  <c r="IJ1052" s="71"/>
      <c r="IK1052" s="71"/>
      <c r="IL1052" s="71"/>
      <c r="IM1052" s="71"/>
      <c r="IN1052" s="71"/>
      <c r="IO1052" s="71"/>
      <c r="IP1052" s="71"/>
      <c r="IQ1052" s="71"/>
      <c r="IR1052" s="71"/>
      <c r="IS1052" s="71"/>
      <c r="IT1052" s="71"/>
      <c r="IU1052" s="71"/>
      <c r="IV1052" s="71"/>
      <c r="IW1052" s="71"/>
    </row>
    <row r="1053" customFormat="false" ht="12.75" hidden="false" customHeight="false" outlineLevel="0" collapsed="false"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71"/>
      <c r="P1053" s="71"/>
      <c r="Q1053" s="71"/>
      <c r="R1053" s="71"/>
      <c r="S1053" s="71"/>
      <c r="T1053" s="71"/>
      <c r="U1053" s="71"/>
      <c r="V1053" s="71"/>
      <c r="W1053" s="71"/>
      <c r="X1053" s="71"/>
      <c r="Y1053" s="71"/>
      <c r="Z1053" s="71"/>
      <c r="AA1053" s="71"/>
      <c r="AB1053" s="71"/>
      <c r="AC1053" s="71"/>
      <c r="AD1053" s="71"/>
      <c r="AE1053" s="71"/>
      <c r="AF1053" s="71"/>
      <c r="AG1053" s="71"/>
      <c r="AH1053" s="71"/>
      <c r="AI1053" s="71"/>
      <c r="AJ1053" s="71"/>
      <c r="AK1053" s="71"/>
      <c r="AL1053" s="71"/>
      <c r="AM1053" s="71"/>
      <c r="AN1053" s="71"/>
      <c r="AO1053" s="71"/>
      <c r="AP1053" s="71"/>
      <c r="AQ1053" s="71"/>
      <c r="AR1053" s="71"/>
      <c r="AS1053" s="71"/>
      <c r="AT1053" s="71"/>
      <c r="AU1053" s="71"/>
      <c r="AV1053" s="71"/>
      <c r="AW1053" s="71"/>
      <c r="AX1053" s="71"/>
      <c r="AY1053" s="71"/>
      <c r="AZ1053" s="71"/>
      <c r="BA1053" s="71"/>
      <c r="BB1053" s="71"/>
      <c r="BC1053" s="71"/>
      <c r="BD1053" s="71"/>
      <c r="BE1053" s="71"/>
      <c r="BF1053" s="71"/>
      <c r="BG1053" s="71"/>
      <c r="BH1053" s="71"/>
      <c r="BI1053" s="71"/>
      <c r="BJ1053" s="71"/>
      <c r="BK1053" s="71"/>
      <c r="BL1053" s="71"/>
      <c r="BM1053" s="71"/>
      <c r="BN1053" s="71"/>
      <c r="BO1053" s="71"/>
      <c r="BP1053" s="71"/>
      <c r="BQ1053" s="71"/>
      <c r="BR1053" s="71"/>
      <c r="BS1053" s="71"/>
      <c r="BT1053" s="71"/>
      <c r="BU1053" s="71"/>
      <c r="BV1053" s="71"/>
      <c r="BW1053" s="71"/>
      <c r="BX1053" s="71"/>
      <c r="BY1053" s="71"/>
      <c r="BZ1053" s="71"/>
      <c r="CA1053" s="71"/>
      <c r="CB1053" s="71"/>
      <c r="CC1053" s="71"/>
      <c r="CD1053" s="71"/>
      <c r="CE1053" s="71"/>
      <c r="CF1053" s="71"/>
      <c r="CG1053" s="71"/>
      <c r="CH1053" s="71"/>
      <c r="CI1053" s="71"/>
      <c r="CJ1053" s="71"/>
      <c r="CK1053" s="71"/>
      <c r="CL1053" s="71"/>
      <c r="CM1053" s="71"/>
      <c r="CN1053" s="71"/>
      <c r="CO1053" s="71"/>
      <c r="CP1053" s="71"/>
      <c r="CQ1053" s="71"/>
      <c r="CR1053" s="71"/>
      <c r="CS1053" s="71"/>
      <c r="CT1053" s="71"/>
      <c r="CU1053" s="71"/>
      <c r="CV1053" s="71"/>
      <c r="CW1053" s="71"/>
      <c r="CX1053" s="71"/>
      <c r="CY1053" s="71"/>
      <c r="CZ1053" s="71"/>
      <c r="DA1053" s="71"/>
      <c r="DB1053" s="71"/>
      <c r="DC1053" s="71"/>
      <c r="DD1053" s="71"/>
      <c r="DE1053" s="71"/>
      <c r="DF1053" s="71"/>
      <c r="DG1053" s="71"/>
      <c r="DH1053" s="71"/>
      <c r="DI1053" s="71"/>
      <c r="DJ1053" s="71"/>
      <c r="DK1053" s="71"/>
      <c r="DL1053" s="71"/>
      <c r="DM1053" s="71"/>
      <c r="DN1053" s="71"/>
      <c r="DO1053" s="71"/>
      <c r="DP1053" s="71"/>
      <c r="DQ1053" s="71"/>
      <c r="DR1053" s="71"/>
      <c r="DS1053" s="71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  <c r="IJ1053" s="71"/>
      <c r="IK1053" s="71"/>
      <c r="IL1053" s="71"/>
      <c r="IM1053" s="71"/>
      <c r="IN1053" s="71"/>
      <c r="IO1053" s="71"/>
      <c r="IP1053" s="71"/>
      <c r="IQ1053" s="71"/>
      <c r="IR1053" s="71"/>
      <c r="IS1053" s="71"/>
      <c r="IT1053" s="71"/>
      <c r="IU1053" s="71"/>
      <c r="IV1053" s="71"/>
      <c r="IW1053" s="71"/>
    </row>
    <row r="1054" customFormat="false" ht="12.75" hidden="false" customHeight="false" outlineLevel="0" collapsed="false"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71"/>
      <c r="P1054" s="71"/>
      <c r="Q1054" s="71"/>
      <c r="R1054" s="71"/>
      <c r="S1054" s="71"/>
      <c r="T1054" s="71"/>
      <c r="U1054" s="71"/>
      <c r="V1054" s="71"/>
      <c r="W1054" s="71"/>
      <c r="X1054" s="71"/>
      <c r="Y1054" s="71"/>
      <c r="Z1054" s="71"/>
      <c r="AA1054" s="71"/>
      <c r="AB1054" s="71"/>
      <c r="AC1054" s="71"/>
      <c r="AD1054" s="71"/>
      <c r="AE1054" s="71"/>
      <c r="AF1054" s="71"/>
      <c r="AG1054" s="71"/>
      <c r="AH1054" s="71"/>
      <c r="AI1054" s="71"/>
      <c r="AJ1054" s="71"/>
      <c r="AK1054" s="71"/>
      <c r="AL1054" s="71"/>
      <c r="AM1054" s="71"/>
      <c r="AN1054" s="71"/>
      <c r="AO1054" s="71"/>
      <c r="AP1054" s="71"/>
      <c r="AQ1054" s="71"/>
      <c r="AR1054" s="71"/>
      <c r="AS1054" s="71"/>
      <c r="AT1054" s="71"/>
      <c r="AU1054" s="71"/>
      <c r="AV1054" s="71"/>
      <c r="AW1054" s="71"/>
      <c r="AX1054" s="71"/>
      <c r="AY1054" s="71"/>
      <c r="AZ1054" s="71"/>
      <c r="BA1054" s="71"/>
      <c r="BB1054" s="71"/>
      <c r="BC1054" s="71"/>
      <c r="BD1054" s="71"/>
      <c r="BE1054" s="71"/>
      <c r="BF1054" s="71"/>
      <c r="BG1054" s="71"/>
      <c r="BH1054" s="71"/>
      <c r="BI1054" s="71"/>
      <c r="BJ1054" s="71"/>
      <c r="BK1054" s="71"/>
      <c r="BL1054" s="71"/>
      <c r="BM1054" s="71"/>
      <c r="BN1054" s="71"/>
      <c r="BO1054" s="71"/>
      <c r="BP1054" s="71"/>
      <c r="BQ1054" s="71"/>
      <c r="BR1054" s="71"/>
      <c r="BS1054" s="71"/>
      <c r="BT1054" s="71"/>
      <c r="BU1054" s="71"/>
      <c r="BV1054" s="71"/>
      <c r="BW1054" s="71"/>
      <c r="BX1054" s="71"/>
      <c r="BY1054" s="71"/>
      <c r="BZ1054" s="71"/>
      <c r="CA1054" s="71"/>
      <c r="CB1054" s="71"/>
      <c r="CC1054" s="71"/>
      <c r="CD1054" s="71"/>
      <c r="CE1054" s="71"/>
      <c r="CF1054" s="71"/>
      <c r="CG1054" s="71"/>
      <c r="CH1054" s="71"/>
      <c r="CI1054" s="71"/>
      <c r="CJ1054" s="71"/>
      <c r="CK1054" s="71"/>
      <c r="CL1054" s="71"/>
      <c r="CM1054" s="71"/>
      <c r="CN1054" s="71"/>
      <c r="CO1054" s="71"/>
      <c r="CP1054" s="71"/>
      <c r="CQ1054" s="71"/>
      <c r="CR1054" s="71"/>
      <c r="CS1054" s="71"/>
      <c r="CT1054" s="71"/>
      <c r="CU1054" s="71"/>
      <c r="CV1054" s="71"/>
      <c r="CW1054" s="71"/>
      <c r="CX1054" s="71"/>
      <c r="CY1054" s="71"/>
      <c r="CZ1054" s="71"/>
      <c r="DA1054" s="71"/>
      <c r="DB1054" s="71"/>
      <c r="DC1054" s="71"/>
      <c r="DD1054" s="71"/>
      <c r="DE1054" s="71"/>
      <c r="DF1054" s="71"/>
      <c r="DG1054" s="71"/>
      <c r="DH1054" s="71"/>
      <c r="DI1054" s="71"/>
      <c r="DJ1054" s="71"/>
      <c r="DK1054" s="71"/>
      <c r="DL1054" s="71"/>
      <c r="DM1054" s="71"/>
      <c r="DN1054" s="71"/>
      <c r="DO1054" s="71"/>
      <c r="DP1054" s="71"/>
      <c r="DQ1054" s="71"/>
      <c r="DR1054" s="71"/>
      <c r="DS1054" s="71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  <c r="IJ1054" s="71"/>
      <c r="IK1054" s="71"/>
      <c r="IL1054" s="71"/>
      <c r="IM1054" s="71"/>
      <c r="IN1054" s="71"/>
      <c r="IO1054" s="71"/>
      <c r="IP1054" s="71"/>
      <c r="IQ1054" s="71"/>
      <c r="IR1054" s="71"/>
      <c r="IS1054" s="71"/>
      <c r="IT1054" s="71"/>
      <c r="IU1054" s="71"/>
      <c r="IV1054" s="71"/>
      <c r="IW1054" s="71"/>
    </row>
    <row r="1055" customFormat="false" ht="12.75" hidden="false" customHeight="false" outlineLevel="0" collapsed="false"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71"/>
      <c r="P1055" s="71"/>
      <c r="Q1055" s="71"/>
      <c r="R1055" s="71"/>
      <c r="S1055" s="71"/>
      <c r="T1055" s="71"/>
      <c r="U1055" s="71"/>
      <c r="V1055" s="71"/>
      <c r="W1055" s="71"/>
      <c r="X1055" s="71"/>
      <c r="Y1055" s="71"/>
      <c r="Z1055" s="71"/>
      <c r="AA1055" s="71"/>
      <c r="AB1055" s="71"/>
      <c r="AC1055" s="71"/>
      <c r="AD1055" s="71"/>
      <c r="AE1055" s="71"/>
      <c r="AF1055" s="71"/>
      <c r="AG1055" s="71"/>
      <c r="AH1055" s="71"/>
      <c r="AI1055" s="71"/>
      <c r="AJ1055" s="71"/>
      <c r="AK1055" s="71"/>
      <c r="AL1055" s="71"/>
      <c r="AM1055" s="71"/>
      <c r="AN1055" s="71"/>
      <c r="AO1055" s="71"/>
      <c r="AP1055" s="71"/>
      <c r="AQ1055" s="71"/>
      <c r="AR1055" s="71"/>
      <c r="AS1055" s="71"/>
      <c r="AT1055" s="71"/>
      <c r="AU1055" s="71"/>
      <c r="AV1055" s="71"/>
      <c r="AW1055" s="71"/>
      <c r="AX1055" s="71"/>
      <c r="AY1055" s="71"/>
      <c r="AZ1055" s="71"/>
      <c r="BA1055" s="71"/>
      <c r="BB1055" s="71"/>
      <c r="BC1055" s="71"/>
      <c r="BD1055" s="71"/>
      <c r="BE1055" s="71"/>
      <c r="BF1055" s="71"/>
      <c r="BG1055" s="71"/>
      <c r="BH1055" s="71"/>
      <c r="BI1055" s="71"/>
      <c r="BJ1055" s="71"/>
      <c r="BK1055" s="71"/>
      <c r="BL1055" s="71"/>
      <c r="BM1055" s="71"/>
      <c r="BN1055" s="71"/>
      <c r="BO1055" s="71"/>
      <c r="BP1055" s="71"/>
      <c r="BQ1055" s="71"/>
      <c r="BR1055" s="71"/>
      <c r="BS1055" s="71"/>
      <c r="BT1055" s="71"/>
      <c r="BU1055" s="71"/>
      <c r="BV1055" s="71"/>
      <c r="BW1055" s="71"/>
      <c r="BX1055" s="71"/>
      <c r="BY1055" s="71"/>
      <c r="BZ1055" s="71"/>
      <c r="CA1055" s="71"/>
      <c r="CB1055" s="71"/>
      <c r="CC1055" s="71"/>
      <c r="CD1055" s="71"/>
      <c r="CE1055" s="71"/>
      <c r="CF1055" s="71"/>
      <c r="CG1055" s="71"/>
      <c r="CH1055" s="71"/>
      <c r="CI1055" s="71"/>
      <c r="CJ1055" s="71"/>
      <c r="CK1055" s="71"/>
      <c r="CL1055" s="71"/>
      <c r="CM1055" s="71"/>
      <c r="CN1055" s="71"/>
      <c r="CO1055" s="71"/>
      <c r="CP1055" s="71"/>
      <c r="CQ1055" s="71"/>
      <c r="CR1055" s="71"/>
      <c r="CS1055" s="71"/>
      <c r="CT1055" s="71"/>
      <c r="CU1055" s="71"/>
      <c r="CV1055" s="71"/>
      <c r="CW1055" s="71"/>
      <c r="CX1055" s="71"/>
      <c r="CY1055" s="71"/>
      <c r="CZ1055" s="71"/>
      <c r="DA1055" s="71"/>
      <c r="DB1055" s="71"/>
      <c r="DC1055" s="71"/>
      <c r="DD1055" s="71"/>
      <c r="DE1055" s="71"/>
      <c r="DF1055" s="71"/>
      <c r="DG1055" s="71"/>
      <c r="DH1055" s="71"/>
      <c r="DI1055" s="71"/>
      <c r="DJ1055" s="71"/>
      <c r="DK1055" s="71"/>
      <c r="DL1055" s="71"/>
      <c r="DM1055" s="71"/>
      <c r="DN1055" s="71"/>
      <c r="DO1055" s="71"/>
      <c r="DP1055" s="71"/>
      <c r="DQ1055" s="71"/>
      <c r="DR1055" s="71"/>
      <c r="DS1055" s="71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  <c r="IJ1055" s="71"/>
      <c r="IK1055" s="71"/>
      <c r="IL1055" s="71"/>
      <c r="IM1055" s="71"/>
      <c r="IN1055" s="71"/>
      <c r="IO1055" s="71"/>
      <c r="IP1055" s="71"/>
      <c r="IQ1055" s="71"/>
      <c r="IR1055" s="71"/>
      <c r="IS1055" s="71"/>
      <c r="IT1055" s="71"/>
      <c r="IU1055" s="71"/>
      <c r="IV1055" s="71"/>
      <c r="IW1055" s="71"/>
    </row>
    <row r="1056" customFormat="false" ht="12.75" hidden="false" customHeight="false" outlineLevel="0" collapsed="false"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71"/>
      <c r="P1056" s="71"/>
      <c r="Q1056" s="71"/>
      <c r="R1056" s="71"/>
      <c r="S1056" s="71"/>
      <c r="T1056" s="71"/>
      <c r="U1056" s="71"/>
      <c r="V1056" s="71"/>
      <c r="W1056" s="71"/>
      <c r="X1056" s="71"/>
      <c r="Y1056" s="71"/>
      <c r="Z1056" s="71"/>
      <c r="AA1056" s="71"/>
      <c r="AB1056" s="71"/>
      <c r="AC1056" s="71"/>
      <c r="AD1056" s="71"/>
      <c r="AE1056" s="71"/>
      <c r="AF1056" s="71"/>
      <c r="AG1056" s="71"/>
      <c r="AH1056" s="71"/>
      <c r="AI1056" s="71"/>
      <c r="AJ1056" s="71"/>
      <c r="AK1056" s="71"/>
      <c r="AL1056" s="71"/>
      <c r="AM1056" s="71"/>
      <c r="AN1056" s="71"/>
      <c r="AO1056" s="71"/>
      <c r="AP1056" s="71"/>
      <c r="AQ1056" s="71"/>
      <c r="AR1056" s="71"/>
      <c r="AS1056" s="71"/>
      <c r="AT1056" s="71"/>
      <c r="AU1056" s="71"/>
      <c r="AV1056" s="71"/>
      <c r="AW1056" s="71"/>
      <c r="AX1056" s="71"/>
      <c r="AY1056" s="71"/>
      <c r="AZ1056" s="71"/>
      <c r="BA1056" s="71"/>
      <c r="BB1056" s="71"/>
      <c r="BC1056" s="71"/>
      <c r="BD1056" s="71"/>
      <c r="BE1056" s="71"/>
      <c r="BF1056" s="71"/>
      <c r="BG1056" s="71"/>
      <c r="BH1056" s="71"/>
      <c r="BI1056" s="71"/>
      <c r="BJ1056" s="71"/>
      <c r="BK1056" s="71"/>
      <c r="BL1056" s="71"/>
      <c r="BM1056" s="71"/>
      <c r="BN1056" s="71"/>
      <c r="BO1056" s="71"/>
      <c r="BP1056" s="71"/>
      <c r="BQ1056" s="71"/>
      <c r="BR1056" s="71"/>
      <c r="BS1056" s="71"/>
      <c r="BT1056" s="71"/>
      <c r="BU1056" s="71"/>
      <c r="BV1056" s="71"/>
      <c r="BW1056" s="71"/>
      <c r="BX1056" s="71"/>
      <c r="BY1056" s="71"/>
      <c r="BZ1056" s="71"/>
      <c r="CA1056" s="71"/>
      <c r="CB1056" s="71"/>
      <c r="CC1056" s="71"/>
      <c r="CD1056" s="71"/>
      <c r="CE1056" s="71"/>
      <c r="CF1056" s="71"/>
      <c r="CG1056" s="71"/>
      <c r="CH1056" s="71"/>
      <c r="CI1056" s="71"/>
      <c r="CJ1056" s="71"/>
      <c r="CK1056" s="71"/>
      <c r="CL1056" s="71"/>
      <c r="CM1056" s="71"/>
      <c r="CN1056" s="71"/>
      <c r="CO1056" s="71"/>
      <c r="CP1056" s="71"/>
      <c r="CQ1056" s="71"/>
      <c r="CR1056" s="71"/>
      <c r="CS1056" s="71"/>
      <c r="CT1056" s="71"/>
      <c r="CU1056" s="71"/>
      <c r="CV1056" s="71"/>
      <c r="CW1056" s="71"/>
      <c r="CX1056" s="71"/>
      <c r="CY1056" s="71"/>
      <c r="CZ1056" s="71"/>
      <c r="DA1056" s="71"/>
      <c r="DB1056" s="71"/>
      <c r="DC1056" s="71"/>
      <c r="DD1056" s="71"/>
      <c r="DE1056" s="71"/>
      <c r="DF1056" s="71"/>
      <c r="DG1056" s="71"/>
      <c r="DH1056" s="71"/>
      <c r="DI1056" s="71"/>
      <c r="DJ1056" s="71"/>
      <c r="DK1056" s="71"/>
      <c r="DL1056" s="71"/>
      <c r="DM1056" s="71"/>
      <c r="DN1056" s="71"/>
      <c r="DO1056" s="71"/>
      <c r="DP1056" s="71"/>
      <c r="DQ1056" s="71"/>
      <c r="DR1056" s="71"/>
      <c r="DS1056" s="71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  <c r="IJ1056" s="71"/>
      <c r="IK1056" s="71"/>
      <c r="IL1056" s="71"/>
      <c r="IM1056" s="71"/>
      <c r="IN1056" s="71"/>
      <c r="IO1056" s="71"/>
      <c r="IP1056" s="71"/>
      <c r="IQ1056" s="71"/>
      <c r="IR1056" s="71"/>
      <c r="IS1056" s="71"/>
      <c r="IT1056" s="71"/>
      <c r="IU1056" s="71"/>
      <c r="IV1056" s="71"/>
      <c r="IW1056" s="71"/>
    </row>
  </sheetData>
  <mergeCells count="3">
    <mergeCell ref="A1:I2"/>
    <mergeCell ref="A3:I3"/>
    <mergeCell ref="J28:K28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K348"/>
  <sheetViews>
    <sheetView showFormulas="false" showGridLines="false" showRowColHeaders="true" showZeros="true" rightToLeft="false" tabSelected="false" showOutlineSymbols="true" defaultGridColor="true" view="normal" topLeftCell="A8" colorId="64" zoomScale="85" zoomScaleNormal="85" zoomScalePageLayoutView="100" workbookViewId="0">
      <selection pane="topLeft" activeCell="C50" activeCellId="0" sqref="C5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68" width="7.14"/>
    <col collapsed="false" customWidth="true" hidden="false" outlineLevel="0" max="2" min="2" style="68" width="39.28"/>
    <col collapsed="false" customWidth="true" hidden="false" outlineLevel="0" max="3" min="3" style="68" width="18.7"/>
    <col collapsed="false" customWidth="true" hidden="false" outlineLevel="0" max="4" min="4" style="68" width="11.99"/>
    <col collapsed="false" customWidth="false" hidden="false" outlineLevel="0" max="5" min="5" style="68" width="9.14"/>
    <col collapsed="false" customWidth="false" hidden="false" outlineLevel="0" max="257" min="6" style="69" width="9.14"/>
  </cols>
  <sheetData>
    <row r="1" customFormat="false" ht="18" hidden="false" customHeight="true" outlineLevel="0" collapsed="false">
      <c r="A1" s="117" t="str">
        <f aca="false">Scope!$A$1</f>
        <v>AES Corp, Dallas, TX (640 MW)</v>
      </c>
      <c r="B1" s="117"/>
      <c r="C1" s="117"/>
      <c r="D1" s="117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</row>
    <row r="2" customFormat="false" ht="18" hidden="false" customHeight="true" outlineLevel="0" collapsed="false">
      <c r="A2" s="117"/>
      <c r="B2" s="117"/>
      <c r="C2" s="117"/>
      <c r="D2" s="117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</row>
    <row r="3" customFormat="false" ht="15.75" hidden="false" customHeight="false" outlineLevel="0" collapsed="false">
      <c r="A3" s="3" t="s">
        <v>9</v>
      </c>
      <c r="B3" s="3"/>
      <c r="C3" s="3"/>
      <c r="D3" s="3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</row>
    <row r="4" customFormat="false" ht="13.5" hidden="false" customHeight="false" outlineLevel="0" collapsed="false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</row>
    <row r="5" customFormat="false" ht="13.5" hidden="false" customHeight="false" outlineLevel="0" collapsed="false">
      <c r="A5" s="118"/>
      <c r="B5" s="119"/>
      <c r="C5" s="120"/>
      <c r="D5" s="121" t="s">
        <v>139</v>
      </c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</row>
    <row r="6" customFormat="false" ht="12.75" hidden="false" customHeight="false" outlineLevel="0" collapsed="false">
      <c r="A6" s="0"/>
      <c r="B6" s="78"/>
      <c r="C6" s="122"/>
      <c r="D6" s="80"/>
      <c r="E6" s="2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</row>
    <row r="7" customFormat="false" ht="12.75" hidden="false" customHeight="false" outlineLevel="0" collapsed="false">
      <c r="A7" s="77" t="s">
        <v>177</v>
      </c>
      <c r="B7" s="78"/>
      <c r="C7" s="122"/>
      <c r="D7" s="81" t="n">
        <f aca="false">Mob_Backup!H15</f>
        <v>33679</v>
      </c>
      <c r="E7" s="2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</row>
    <row r="8" customFormat="false" ht="12.75" hidden="false" customHeight="false" outlineLevel="0" collapsed="false">
      <c r="A8" s="77"/>
      <c r="B8" s="78"/>
      <c r="C8" s="122"/>
      <c r="D8" s="123"/>
      <c r="E8" s="2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</row>
    <row r="9" customFormat="false" ht="12.75" hidden="false" customHeight="false" outlineLevel="0" collapsed="false">
      <c r="A9" s="82" t="s">
        <v>178</v>
      </c>
      <c r="B9" s="78"/>
      <c r="C9" s="122"/>
      <c r="D9" s="81" t="n">
        <f aca="false">Mob_Backup!H21</f>
        <v>517680.9145</v>
      </c>
      <c r="E9" s="2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</row>
    <row r="10" customFormat="false" ht="12.75" hidden="false" customHeight="false" outlineLevel="0" collapsed="false">
      <c r="A10" s="77"/>
      <c r="B10" s="78"/>
      <c r="C10" s="122"/>
      <c r="D10" s="123"/>
      <c r="E10" s="2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</row>
    <row r="11" customFormat="false" ht="12.75" hidden="false" customHeight="false" outlineLevel="0" collapsed="false">
      <c r="A11" s="77" t="s">
        <v>143</v>
      </c>
      <c r="B11" s="78"/>
      <c r="C11" s="122"/>
      <c r="D11" s="123"/>
      <c r="E11" s="2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</row>
    <row r="12" customFormat="false" ht="12.75" hidden="false" customHeight="false" outlineLevel="0" collapsed="false">
      <c r="A12" s="2"/>
      <c r="B12" s="78" t="s">
        <v>179</v>
      </c>
      <c r="C12" s="124"/>
      <c r="D12" s="81" t="n">
        <f aca="false">Mob_Backup!H27</f>
        <v>6000</v>
      </c>
      <c r="E12" s="2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</row>
    <row r="13" customFormat="false" ht="12.75" hidden="false" customHeight="false" outlineLevel="0" collapsed="false">
      <c r="A13" s="2"/>
      <c r="B13" s="78" t="s">
        <v>180</v>
      </c>
      <c r="C13" s="124"/>
      <c r="D13" s="81" t="n">
        <f aca="false">Mob_Backup!H34</f>
        <v>10500</v>
      </c>
      <c r="E13" s="2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</row>
    <row r="14" customFormat="false" ht="12.75" hidden="false" customHeight="false" outlineLevel="0" collapsed="false">
      <c r="A14" s="2"/>
      <c r="B14" s="78" t="s">
        <v>181</v>
      </c>
      <c r="C14" s="124"/>
      <c r="D14" s="81" t="n">
        <f aca="false">Mob_Backup!H42</f>
        <v>21750</v>
      </c>
      <c r="E14" s="2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</row>
    <row r="15" customFormat="false" ht="12.75" hidden="false" customHeight="false" outlineLevel="0" collapsed="false">
      <c r="A15" s="2"/>
      <c r="B15" s="78" t="s">
        <v>182</v>
      </c>
      <c r="C15" s="124"/>
      <c r="D15" s="81" t="n">
        <f aca="false">Mob_Backup!H67</f>
        <v>47250</v>
      </c>
      <c r="E15" s="2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</row>
    <row r="16" customFormat="false" ht="12.75" hidden="false" customHeight="false" outlineLevel="0" collapsed="false">
      <c r="A16" s="2"/>
      <c r="B16" s="78" t="s">
        <v>183</v>
      </c>
      <c r="C16" s="124"/>
      <c r="D16" s="81" t="n">
        <f aca="false">Mob_Backup!H78</f>
        <v>8635.71428571429</v>
      </c>
      <c r="E16" s="2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</row>
    <row r="17" customFormat="false" ht="12.75" hidden="false" customHeight="false" outlineLevel="0" collapsed="false">
      <c r="A17" s="2"/>
      <c r="B17" s="78" t="s">
        <v>184</v>
      </c>
      <c r="C17" s="124"/>
      <c r="D17" s="81" t="n">
        <f aca="false">Mob_Backup!H84</f>
        <v>6300</v>
      </c>
      <c r="E17" s="2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</row>
    <row r="18" customFormat="false" ht="12.75" hidden="false" customHeight="false" outlineLevel="0" collapsed="false">
      <c r="A18" s="2"/>
      <c r="B18" s="78" t="s">
        <v>185</v>
      </c>
      <c r="C18" s="124"/>
      <c r="D18" s="81" t="n">
        <f aca="false">Mob_Backup!H92</f>
        <v>2800</v>
      </c>
      <c r="E18" s="2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</row>
    <row r="19" customFormat="false" ht="12.75" hidden="false" customHeight="false" outlineLevel="0" collapsed="false">
      <c r="A19" s="2"/>
      <c r="B19" s="78" t="s">
        <v>186</v>
      </c>
      <c r="C19" s="124"/>
      <c r="D19" s="81" t="n">
        <f aca="false">Mob_Backup!H109</f>
        <v>156580</v>
      </c>
      <c r="E19" s="2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</row>
    <row r="20" customFormat="false" ht="12.75" hidden="false" customHeight="false" outlineLevel="0" collapsed="false">
      <c r="A20" s="2"/>
      <c r="B20" s="78" t="s">
        <v>187</v>
      </c>
      <c r="C20" s="124"/>
      <c r="D20" s="81" t="n">
        <f aca="false">Mob_Backup!H129</f>
        <v>61150</v>
      </c>
      <c r="E20" s="2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</row>
    <row r="21" customFormat="false" ht="12.75" hidden="false" customHeight="false" outlineLevel="0" collapsed="false">
      <c r="A21" s="2"/>
      <c r="B21" s="78" t="s">
        <v>188</v>
      </c>
      <c r="C21" s="124"/>
      <c r="D21" s="81" t="n">
        <f aca="false">Mob_Backup!H132</f>
        <v>0</v>
      </c>
      <c r="E21" s="2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</row>
    <row r="22" customFormat="false" ht="12.75" hidden="false" customHeight="false" outlineLevel="0" collapsed="false">
      <c r="A22" s="2"/>
      <c r="B22" s="44" t="s">
        <v>189</v>
      </c>
      <c r="C22" s="124"/>
      <c r="D22" s="81" t="n">
        <f aca="false">Mob_Backup!H136</f>
        <v>5000</v>
      </c>
      <c r="E22" s="2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</row>
    <row r="23" customFormat="false" ht="12.75" hidden="false" customHeight="false" outlineLevel="0" collapsed="false">
      <c r="A23" s="2"/>
      <c r="B23" s="44" t="s">
        <v>190</v>
      </c>
      <c r="C23" s="124"/>
      <c r="D23" s="81" t="n">
        <f aca="false">Mob_Backup!H143</f>
        <v>15250</v>
      </c>
      <c r="E23" s="2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</row>
    <row r="24" customFormat="false" ht="12.75" hidden="false" customHeight="false" outlineLevel="0" collapsed="false">
      <c r="A24" s="2"/>
      <c r="B24" s="78"/>
      <c r="C24" s="124"/>
      <c r="D24" s="123"/>
      <c r="E24" s="2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</row>
    <row r="25" customFormat="false" ht="12.75" hidden="false" customHeight="false" outlineLevel="0" collapsed="false">
      <c r="A25" s="2"/>
      <c r="B25" s="82" t="s">
        <v>191</v>
      </c>
      <c r="C25" s="125"/>
      <c r="D25" s="81" t="n">
        <f aca="false">SUBTOTAL(9,D12:D24)</f>
        <v>341215.714285714</v>
      </c>
      <c r="E25" s="2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</row>
    <row r="26" customFormat="false" ht="12.75" hidden="false" customHeight="false" outlineLevel="0" collapsed="false">
      <c r="A26" s="2"/>
      <c r="B26" s="78"/>
      <c r="C26" s="124"/>
      <c r="D26" s="123"/>
      <c r="E26" s="2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</row>
    <row r="27" customFormat="false" ht="12.75" hidden="false" customHeight="false" outlineLevel="0" collapsed="false">
      <c r="A27" s="2"/>
      <c r="B27" s="78"/>
      <c r="C27" s="124"/>
      <c r="D27" s="123"/>
      <c r="E27" s="2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</row>
    <row r="28" customFormat="false" ht="12.75" hidden="false" customHeight="false" outlineLevel="0" collapsed="false">
      <c r="A28" s="77" t="s">
        <v>144</v>
      </c>
      <c r="B28" s="78"/>
      <c r="C28" s="124"/>
      <c r="D28" s="123"/>
      <c r="E28" s="2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</row>
    <row r="29" customFormat="false" ht="12.75" hidden="false" customHeight="false" outlineLevel="0" collapsed="false">
      <c r="A29" s="2"/>
      <c r="B29" s="78" t="s">
        <v>192</v>
      </c>
      <c r="C29" s="124"/>
      <c r="D29" s="81" t="n">
        <f aca="false">Mob_Backup!H179</f>
        <v>89092.5</v>
      </c>
      <c r="E29" s="2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</row>
    <row r="30" customFormat="false" ht="12.75" hidden="false" customHeight="false" outlineLevel="0" collapsed="false">
      <c r="A30" s="2"/>
      <c r="B30" s="78" t="s">
        <v>193</v>
      </c>
      <c r="C30" s="124"/>
      <c r="D30" s="81" t="n">
        <f aca="false">Mob_Backup!H193</f>
        <v>21420</v>
      </c>
      <c r="E30" s="2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</row>
    <row r="31" customFormat="false" ht="12.75" hidden="false" customHeight="false" outlineLevel="0" collapsed="false">
      <c r="A31" s="2"/>
      <c r="B31" s="78" t="s">
        <v>194</v>
      </c>
      <c r="C31" s="124"/>
      <c r="D31" s="81" t="n">
        <f aca="false">Mob_Backup!H213</f>
        <v>13210</v>
      </c>
      <c r="E31" s="2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</row>
    <row r="32" customFormat="false" ht="12.75" hidden="false" customHeight="false" outlineLevel="0" collapsed="false">
      <c r="A32" s="2"/>
      <c r="B32" s="78" t="s">
        <v>195</v>
      </c>
      <c r="C32" s="124"/>
      <c r="D32" s="81" t="n">
        <f aca="false">Mob_Backup!H221</f>
        <v>12075</v>
      </c>
      <c r="E32" s="2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</row>
    <row r="33" customFormat="false" ht="12.75" hidden="false" customHeight="false" outlineLevel="0" collapsed="false">
      <c r="A33" s="2"/>
      <c r="B33" s="78" t="s">
        <v>196</v>
      </c>
      <c r="C33" s="124"/>
      <c r="D33" s="81" t="n">
        <f aca="false">Mob_Backup!H229</f>
        <v>6300</v>
      </c>
      <c r="E33" s="2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</row>
    <row r="34" customFormat="false" ht="12.75" hidden="false" customHeight="false" outlineLevel="0" collapsed="false">
      <c r="A34" s="2"/>
      <c r="B34" s="78" t="s">
        <v>197</v>
      </c>
      <c r="C34" s="124"/>
      <c r="D34" s="81" t="n">
        <f aca="false">Mob_Backup!H279</f>
        <v>68097.75</v>
      </c>
      <c r="E34" s="2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</row>
    <row r="35" customFormat="false" ht="12.75" hidden="false" customHeight="false" outlineLevel="0" collapsed="false">
      <c r="A35" s="2"/>
      <c r="B35" s="78" t="s">
        <v>198</v>
      </c>
      <c r="C35" s="124"/>
      <c r="D35" s="81" t="n">
        <f aca="false">Mob_Backup!H285</f>
        <v>50359.9729195631</v>
      </c>
      <c r="E35" s="2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</row>
    <row r="36" customFormat="false" ht="12.75" hidden="false" customHeight="false" outlineLevel="0" collapsed="false">
      <c r="A36" s="2"/>
      <c r="B36" s="78"/>
      <c r="C36" s="124"/>
      <c r="D36" s="123"/>
      <c r="E36" s="2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</row>
    <row r="37" customFormat="false" ht="12.75" hidden="false" customHeight="false" outlineLevel="0" collapsed="false">
      <c r="A37" s="2"/>
      <c r="B37" s="82" t="s">
        <v>199</v>
      </c>
      <c r="C37" s="125"/>
      <c r="D37" s="81" t="n">
        <f aca="false">SUBTOTAL(9,D28:D36)</f>
        <v>260555.222919563</v>
      </c>
      <c r="E37" s="2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</row>
    <row r="38" customFormat="false" ht="12.75" hidden="false" customHeight="false" outlineLevel="0" collapsed="false">
      <c r="A38" s="2"/>
      <c r="B38" s="78"/>
      <c r="C38" s="124"/>
      <c r="D38" s="123"/>
      <c r="E38" s="2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</row>
    <row r="39" customFormat="false" ht="13.5" hidden="false" customHeight="false" outlineLevel="0" collapsed="false">
      <c r="A39" s="77" t="s">
        <v>145</v>
      </c>
      <c r="B39" s="78"/>
      <c r="C39" s="124"/>
      <c r="D39" s="83" t="n">
        <f aca="false">D37+D25+D9+D7</f>
        <v>1153130.85170528</v>
      </c>
      <c r="E39" s="2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</row>
    <row r="40" customFormat="false" ht="12.75" hidden="false" customHeight="false" outlineLevel="0" collapsed="false">
      <c r="A40" s="77"/>
      <c r="B40" s="78"/>
      <c r="C40" s="122"/>
      <c r="D40" s="74"/>
      <c r="E40" s="2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</row>
    <row r="41" customFormat="false" ht="12.75" hidden="false" customHeight="false" outlineLevel="0" collapsed="false">
      <c r="A41" s="69"/>
      <c r="B41" s="69"/>
      <c r="C41" s="69"/>
      <c r="D41" s="69"/>
      <c r="E41" s="2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</row>
    <row r="42" customFormat="false" ht="12.75" hidden="false" customHeight="false" outlineLevel="0" collapsed="false">
      <c r="A42" s="109"/>
      <c r="B42" s="2"/>
      <c r="C42" s="2"/>
      <c r="D42" s="74"/>
      <c r="E42" s="2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</row>
    <row r="43" customFormat="false" ht="13.5" hidden="false" customHeight="false" outlineLevel="0" collapsed="false">
      <c r="A43" s="2"/>
      <c r="B43" s="2"/>
      <c r="C43" s="2"/>
      <c r="D43" s="2"/>
      <c r="E43" s="2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</row>
    <row r="44" customFormat="false" ht="13.5" hidden="false" customHeight="false" outlineLevel="0" collapsed="false">
      <c r="A44" s="77" t="s">
        <v>12</v>
      </c>
      <c r="B44" s="2"/>
      <c r="C44" s="124"/>
      <c r="D44" s="89" t="n">
        <f aca="false">Mob_Backup!H311</f>
        <v>9657148.05</v>
      </c>
      <c r="E44" s="2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</row>
    <row r="45" customFormat="false" ht="12.75" hidden="false" customHeight="false" outlineLevel="0" collapsed="false">
      <c r="A45" s="77"/>
      <c r="B45" s="2"/>
      <c r="C45" s="122"/>
      <c r="D45" s="74"/>
      <c r="E45" s="2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</row>
    <row r="46" customFormat="false" ht="13.5" hidden="false" customHeight="false" outlineLevel="0" collapsed="false">
      <c r="A46" s="2"/>
      <c r="B46" s="2"/>
      <c r="C46" s="2"/>
      <c r="D46" s="2"/>
      <c r="E46" s="2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</row>
    <row r="47" customFormat="false" ht="13.5" hidden="false" customHeight="false" outlineLevel="0" collapsed="false">
      <c r="A47" s="77" t="s">
        <v>200</v>
      </c>
      <c r="B47" s="2"/>
      <c r="C47" s="2"/>
      <c r="D47" s="90" t="n">
        <f aca="false">ROUND(Mob_Backup!H291*(Mob_Estimate!D39),-4)</f>
        <v>120000</v>
      </c>
      <c r="E47" s="2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</row>
    <row r="48" customFormat="false" ht="13.5" hidden="true" customHeight="false" outlineLevel="0" collapsed="false">
      <c r="A48" s="82" t="s">
        <v>150</v>
      </c>
      <c r="B48" s="2"/>
      <c r="C48" s="2"/>
      <c r="D48" s="86" t="n">
        <f aca="false">ROUND(Mob_Backup!H297*Mob_Estimate!D9,-4)</f>
        <v>0</v>
      </c>
      <c r="E48" s="2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</row>
    <row r="49" customFormat="false" ht="12.75" hidden="false" customHeight="false" outlineLevel="0" collapsed="false">
      <c r="A49" s="2"/>
      <c r="B49" s="2"/>
      <c r="C49" s="2"/>
      <c r="D49" s="2"/>
      <c r="E49" s="2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</row>
    <row r="50" customFormat="false" ht="12.75" hidden="false" customHeight="false" outlineLevel="0" collapsed="false">
      <c r="A50" s="2"/>
      <c r="B50" s="2"/>
      <c r="C50" s="2"/>
      <c r="D50" s="2"/>
      <c r="E50" s="2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</row>
    <row r="51" customFormat="false" ht="12.75" hidden="false" customHeight="false" outlineLevel="0" collapsed="false">
      <c r="A51" s="2"/>
      <c r="B51" s="2"/>
      <c r="C51" s="2"/>
      <c r="D51" s="2"/>
      <c r="E51" s="2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</row>
    <row r="52" customFormat="false" ht="12.75" hidden="false" customHeight="false" outlineLevel="0" collapsed="false">
      <c r="A52" s="2"/>
      <c r="B52" s="2"/>
      <c r="C52" s="2"/>
      <c r="D52" s="2"/>
      <c r="E52" s="2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</row>
    <row r="53" customFormat="false" ht="12.75" hidden="false" customHeight="false" outlineLevel="0" collapsed="false">
      <c r="A53" s="2"/>
      <c r="B53" s="2"/>
      <c r="C53" s="2"/>
      <c r="D53" s="2"/>
      <c r="E53" s="2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</row>
    <row r="54" customFormat="false" ht="12.75" hidden="false" customHeight="false" outlineLevel="0" collapsed="false">
      <c r="A54" s="2"/>
      <c r="B54" s="2"/>
      <c r="C54" s="2"/>
      <c r="D54" s="2"/>
      <c r="E54" s="2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</row>
    <row r="55" customFormat="false" ht="12.75" hidden="false" customHeight="false" outlineLevel="0" collapsed="false">
      <c r="A55" s="2"/>
      <c r="B55" s="2"/>
      <c r="C55" s="2"/>
      <c r="D55" s="2"/>
      <c r="E55" s="2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</row>
    <row r="56" customFormat="false" ht="12.75" hidden="false" customHeight="false" outlineLevel="0" collapsed="false">
      <c r="A56" s="2"/>
      <c r="B56" s="2"/>
      <c r="C56" s="2"/>
      <c r="D56" s="2"/>
      <c r="E56" s="2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</row>
    <row r="57" customFormat="false" ht="12.75" hidden="false" customHeight="false" outlineLevel="0" collapsed="false">
      <c r="A57" s="2"/>
      <c r="B57" s="2"/>
      <c r="C57" s="2"/>
      <c r="D57" s="2"/>
      <c r="E57" s="2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</row>
    <row r="58" customFormat="false" ht="12.75" hidden="false" customHeight="false" outlineLevel="0" collapsed="false">
      <c r="A58" s="2"/>
      <c r="B58" s="2"/>
      <c r="C58" s="2"/>
      <c r="D58" s="2"/>
      <c r="E58" s="2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</row>
    <row r="59" customFormat="false" ht="12.75" hidden="false" customHeight="false" outlineLevel="0" collapsed="false">
      <c r="A59" s="2"/>
      <c r="B59" s="2"/>
      <c r="C59" s="2"/>
      <c r="D59" s="2"/>
      <c r="E59" s="2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</row>
    <row r="60" customFormat="false" ht="12.75" hidden="false" customHeight="false" outlineLevel="0" collapsed="false">
      <c r="A60" s="2"/>
      <c r="B60" s="2"/>
      <c r="C60" s="2"/>
      <c r="D60" s="2"/>
      <c r="E60" s="2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</row>
    <row r="61" customFormat="false" ht="12.75" hidden="false" customHeight="false" outlineLevel="0" collapsed="false">
      <c r="A61" s="2"/>
      <c r="B61" s="2"/>
      <c r="C61" s="2"/>
      <c r="D61" s="2"/>
      <c r="E61" s="2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</row>
    <row r="62" customFormat="false" ht="12.75" hidden="false" customHeight="false" outlineLevel="0" collapsed="false">
      <c r="A62" s="2"/>
      <c r="B62" s="2"/>
      <c r="C62" s="2"/>
      <c r="D62" s="2"/>
      <c r="E62" s="2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</row>
    <row r="63" customFormat="false" ht="12.75" hidden="false" customHeight="false" outlineLevel="0" collapsed="false">
      <c r="A63" s="2"/>
      <c r="B63" s="2"/>
      <c r="C63" s="2"/>
      <c r="D63" s="2"/>
      <c r="E63" s="2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</row>
    <row r="64" customFormat="false" ht="12.75" hidden="false" customHeight="false" outlineLevel="0" collapsed="false">
      <c r="A64" s="2"/>
      <c r="B64" s="2"/>
      <c r="C64" s="2"/>
      <c r="D64" s="2"/>
      <c r="E64" s="2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</row>
  </sheetData>
  <mergeCells count="2">
    <mergeCell ref="A1:D2"/>
    <mergeCell ref="A3:D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&amp;LRichard Bickings
&amp;D&amp;CPage &amp;P&amp;R&amp;F
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Z375"/>
  <sheetViews>
    <sheetView showFormulas="false" showGridLines="fals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G40" activeCellId="0" sqref="G40"/>
    </sheetView>
  </sheetViews>
  <sheetFormatPr defaultColWidth="9.0546875" defaultRowHeight="12.75" customHeight="true" zeroHeight="false" outlineLevelRow="0" outlineLevelCol="1"/>
  <cols>
    <col collapsed="false" customWidth="true" hidden="false" outlineLevel="0" max="1" min="1" style="20" width="39.41"/>
    <col collapsed="false" customWidth="true" hidden="false" outlineLevel="0" max="2" min="2" style="126" width="16.28"/>
    <col collapsed="false" customWidth="true" hidden="false" outlineLevel="0" max="3" min="3" style="126" width="16.7"/>
    <col collapsed="false" customWidth="true" hidden="false" outlineLevel="0" max="4" min="4" style="126" width="14.56"/>
    <col collapsed="false" customWidth="true" hidden="false" outlineLevel="1" max="11" min="5" style="0" width="8.7"/>
    <col collapsed="false" customWidth="true" hidden="false" outlineLevel="0" max="24" min="12" style="0" width="8.7"/>
    <col collapsed="false" customWidth="true" hidden="false" outlineLevel="0" max="28" min="28" style="0" width="9.28"/>
  </cols>
  <sheetData>
    <row r="1" customFormat="false" ht="27" hidden="false" customHeight="true" outlineLevel="0" collapsed="false">
      <c r="A1" s="127" t="str">
        <f aca="false">Summary!$A$1</f>
        <v>AES Corp, Dallas, TX (640 MW)</v>
      </c>
      <c r="B1" s="128"/>
      <c r="C1" s="128"/>
      <c r="D1" s="128"/>
      <c r="E1" s="128"/>
      <c r="F1" s="128"/>
      <c r="G1" s="128"/>
      <c r="H1" s="129"/>
      <c r="I1" s="129"/>
      <c r="J1" s="129"/>
      <c r="K1" s="129"/>
      <c r="L1" s="129"/>
      <c r="M1" s="129"/>
      <c r="N1" s="129"/>
      <c r="O1" s="129"/>
      <c r="P1" s="130"/>
      <c r="Q1" s="129"/>
      <c r="R1" s="129"/>
      <c r="S1" s="129"/>
      <c r="T1" s="129"/>
      <c r="U1" s="129"/>
      <c r="V1" s="129"/>
      <c r="W1" s="129"/>
      <c r="X1" s="129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  <c r="AX1" s="131"/>
      <c r="AY1" s="131"/>
      <c r="AZ1" s="131"/>
    </row>
    <row r="2" customFormat="false" ht="29.25" hidden="false" customHeight="true" outlineLevel="0" collapsed="false">
      <c r="A2" s="132" t="s">
        <v>201</v>
      </c>
      <c r="B2" s="133"/>
      <c r="C2" s="133"/>
      <c r="D2" s="133"/>
      <c r="E2" s="133"/>
      <c r="F2" s="133"/>
      <c r="G2" s="133"/>
      <c r="H2" s="129"/>
      <c r="I2" s="129"/>
      <c r="J2" s="129"/>
      <c r="K2" s="129"/>
      <c r="L2" s="129"/>
      <c r="M2" s="129"/>
      <c r="O2" s="130"/>
      <c r="P2" s="130"/>
      <c r="Q2" s="129"/>
      <c r="R2" s="129"/>
      <c r="S2" s="129"/>
      <c r="T2" s="129"/>
      <c r="U2" s="129"/>
      <c r="V2" s="129"/>
      <c r="W2" s="129"/>
      <c r="X2" s="129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  <c r="AX2" s="131"/>
      <c r="AY2" s="131"/>
      <c r="AZ2" s="131"/>
    </row>
    <row r="3" customFormat="false" ht="15" hidden="false" customHeight="false" outlineLevel="0" collapsed="false">
      <c r="A3" s="134"/>
      <c r="B3" s="135"/>
      <c r="C3" s="135"/>
      <c r="D3" s="135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78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customFormat="false" ht="26.25" hidden="false" customHeight="true" outlineLevel="0" collapsed="false">
      <c r="A4" s="136"/>
      <c r="B4" s="137"/>
      <c r="C4" s="137"/>
      <c r="D4" s="137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8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customFormat="false" ht="58.5" hidden="false" customHeight="true" outlineLevel="0" collapsed="false">
      <c r="A5" s="139" t="s">
        <v>202</v>
      </c>
      <c r="B5" s="140" t="s">
        <v>203</v>
      </c>
      <c r="C5" s="140" t="str">
        <f aca="false">Mob_Staffing!F5</f>
        <v>Month on Site Prior to COD</v>
      </c>
      <c r="D5" s="140" t="s">
        <v>204</v>
      </c>
      <c r="E5" s="141" t="n">
        <f aca="false">F5-1</f>
        <v>-19</v>
      </c>
      <c r="F5" s="141" t="n">
        <f aca="false">G5-1</f>
        <v>-18</v>
      </c>
      <c r="G5" s="141" t="n">
        <f aca="false">H5-1</f>
        <v>-17</v>
      </c>
      <c r="H5" s="141" t="n">
        <f aca="false">I5-1</f>
        <v>-16</v>
      </c>
      <c r="I5" s="141" t="n">
        <f aca="false">J5-1</f>
        <v>-15</v>
      </c>
      <c r="J5" s="141" t="n">
        <f aca="false">K5-1</f>
        <v>-14</v>
      </c>
      <c r="K5" s="141" t="n">
        <f aca="false">L5-1</f>
        <v>-13</v>
      </c>
      <c r="L5" s="141" t="n">
        <f aca="false">M5-1</f>
        <v>-12</v>
      </c>
      <c r="M5" s="141" t="n">
        <f aca="false">N5-1</f>
        <v>-11</v>
      </c>
      <c r="N5" s="141" t="n">
        <f aca="false">O5-1</f>
        <v>-10</v>
      </c>
      <c r="O5" s="141" t="n">
        <f aca="false">P5-1</f>
        <v>-9</v>
      </c>
      <c r="P5" s="141" t="n">
        <f aca="false">Q5-1</f>
        <v>-8</v>
      </c>
      <c r="Q5" s="141" t="n">
        <f aca="false">R5-1</f>
        <v>-7</v>
      </c>
      <c r="R5" s="141" t="n">
        <f aca="false">S5-1</f>
        <v>-6</v>
      </c>
      <c r="S5" s="141" t="n">
        <f aca="false">T5-1</f>
        <v>-5</v>
      </c>
      <c r="T5" s="141" t="n">
        <f aca="false">U5-1</f>
        <v>-4</v>
      </c>
      <c r="U5" s="141" t="n">
        <f aca="false">V5-1</f>
        <v>-3</v>
      </c>
      <c r="V5" s="141" t="n">
        <f aca="false">W5-1</f>
        <v>-2</v>
      </c>
      <c r="W5" s="142" t="n">
        <v>-1</v>
      </c>
      <c r="X5" s="143" t="s">
        <v>205</v>
      </c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customFormat="false" ht="30.75" hidden="false" customHeight="true" outlineLevel="0" collapsed="false">
      <c r="A6" s="144" t="s">
        <v>206</v>
      </c>
      <c r="B6" s="145" t="n">
        <f aca="false">SUM(B7:B29)</f>
        <v>3</v>
      </c>
      <c r="C6" s="146"/>
      <c r="D6" s="146"/>
      <c r="E6" s="147"/>
      <c r="F6" s="148"/>
      <c r="G6" s="148"/>
      <c r="H6" s="149"/>
      <c r="I6" s="150"/>
      <c r="J6" s="151"/>
      <c r="K6" s="151"/>
      <c r="L6" s="152" t="s">
        <v>207</v>
      </c>
      <c r="M6" s="151"/>
      <c r="N6" s="151"/>
      <c r="O6" s="153"/>
      <c r="P6" s="152" t="s">
        <v>208</v>
      </c>
      <c r="Q6" s="151"/>
      <c r="R6" s="151"/>
      <c r="S6" s="151"/>
      <c r="T6" s="152" t="s">
        <v>209</v>
      </c>
      <c r="U6" s="151"/>
      <c r="V6" s="151"/>
      <c r="W6" s="154"/>
      <c r="X6" s="155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</row>
    <row r="7" customFormat="false" ht="12" hidden="false" customHeight="true" outlineLevel="0" collapsed="false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8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customFormat="false" ht="17.25" hidden="false" customHeight="true" outlineLevel="0" collapsed="false">
      <c r="A8" s="144" t="s">
        <v>210</v>
      </c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8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customFormat="false" ht="14.25" hidden="false" customHeight="true" outlineLevel="0" collapsed="false">
      <c r="A9" s="159" t="str">
        <f aca="false">Mob_Staffing!B8</f>
        <v>Plant Manager</v>
      </c>
      <c r="B9" s="160" t="n">
        <f aca="false">Mob_Staffing!E8</f>
        <v>1</v>
      </c>
      <c r="C9" s="160" t="n">
        <f aca="false">Mob_Staffing!F8</f>
        <v>-12</v>
      </c>
      <c r="D9" s="160" t="n">
        <f aca="false">Mob_Staffing!G8</f>
        <v>12</v>
      </c>
      <c r="E9" s="161" t="str">
        <f aca="false">IF(AND($C9&lt;=E$5,$C9+$D9&gt;E$5),"XXXXX","")</f>
        <v/>
      </c>
      <c r="F9" s="161" t="str">
        <f aca="false">IF(AND($C9&lt;=F$5,$C9+$D9&gt;F$5),"XXXXX","")</f>
        <v/>
      </c>
      <c r="G9" s="161" t="str">
        <f aca="false">IF(AND($C9&lt;=G$5,$C9+$D9&gt;G$5),"XXXXX","")</f>
        <v/>
      </c>
      <c r="H9" s="161" t="str">
        <f aca="false">IF(AND($C9&lt;=H$5,$C9+$D9&gt;H$5),"XXXXX","")</f>
        <v/>
      </c>
      <c r="I9" s="161" t="str">
        <f aca="false">IF(AND($C9&lt;=I$5,$C9+$D9&gt;I$5),"XXXXX","")</f>
        <v/>
      </c>
      <c r="J9" s="161" t="str">
        <f aca="false">IF(AND($C9&lt;=J$5,$C9+$D9&gt;J$5),"XXXXX","")</f>
        <v/>
      </c>
      <c r="K9" s="161" t="str">
        <f aca="false">IF(AND($C9&lt;=K$5,$C9+$D9&gt;K$5),"XXXXX","")</f>
        <v/>
      </c>
      <c r="L9" s="161" t="str">
        <f aca="false">IF(AND($C9&lt;=L$5,$C9+$D9&gt;L$5),"XXXXX","")</f>
        <v>XXXXX</v>
      </c>
      <c r="M9" s="161" t="str">
        <f aca="false">IF(AND($C9&lt;=M$5,$C9+$D9&gt;M$5),"XXXXX","")</f>
        <v>XXXXX</v>
      </c>
      <c r="N9" s="161" t="str">
        <f aca="false">IF(AND($C9&lt;=N$5,$C9+$D9&gt;N$5),"XXXXX","")</f>
        <v>XXXXX</v>
      </c>
      <c r="O9" s="161" t="str">
        <f aca="false">IF(AND($C9&lt;=O$5,$C9+$D9&gt;O$5),"XXXXX","")</f>
        <v>XXXXX</v>
      </c>
      <c r="P9" s="161" t="str">
        <f aca="false">IF(AND($C9&lt;=P$5,$C9+$D9&gt;P$5),"XXXXX","")</f>
        <v>XXXXX</v>
      </c>
      <c r="Q9" s="161" t="str">
        <f aca="false">IF(AND($C9&lt;=Q$5,$C9+$D9&gt;Q$5),"XXXXX","")</f>
        <v>XXXXX</v>
      </c>
      <c r="R9" s="161" t="str">
        <f aca="false">IF(AND($C9&lt;=R$5,$C9+$D9&gt;R$5),"XXXXX","")</f>
        <v>XXXXX</v>
      </c>
      <c r="S9" s="161" t="str">
        <f aca="false">IF(AND($C9&lt;=S$5,$C9+$D9&gt;S$5),"XXXXX","")</f>
        <v>XXXXX</v>
      </c>
      <c r="T9" s="161" t="str">
        <f aca="false">IF(AND($C9&lt;=T$5,$C9+$D9&gt;T$5),"XXXXX","")</f>
        <v>XXXXX</v>
      </c>
      <c r="U9" s="161" t="str">
        <f aca="false">IF(AND($C9&lt;=U$5,$C9+$D9&gt;U$5),"XXXXX","")</f>
        <v>XXXXX</v>
      </c>
      <c r="V9" s="161" t="str">
        <f aca="false">IF(AND($C9&lt;=V$5,$C9+$D9&gt;V$5),"XXXXX","")</f>
        <v>XXXXX</v>
      </c>
      <c r="W9" s="161" t="str">
        <f aca="false">IF(AND($C9&lt;=W$5,$C9+$D9&gt;W$5),"XXXXX","")</f>
        <v>XXXXX</v>
      </c>
      <c r="X9" s="16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customFormat="false" ht="14.25" hidden="false" customHeight="true" outlineLevel="0" collapsed="false">
      <c r="A10" s="159" t="str">
        <f aca="false">Mob_Staffing!B9</f>
        <v>Assistant Plant Manager</v>
      </c>
      <c r="B10" s="160" t="n">
        <f aca="false">Mob_Staffing!E9</f>
        <v>0</v>
      </c>
      <c r="C10" s="160" t="n">
        <f aca="false">Mob_Staffing!F9</f>
        <v>0</v>
      </c>
      <c r="D10" s="160" t="n">
        <f aca="false">Mob_Staffing!G9</f>
        <v>-0</v>
      </c>
      <c r="E10" s="161" t="str">
        <f aca="false">IF(AND($C10&lt;=E$5,$C10+$D10&gt;E$5),"XXXXX","")</f>
        <v/>
      </c>
      <c r="F10" s="161" t="str">
        <f aca="false">IF(AND($C10&lt;=F$5,$C10+$D10&gt;F$5),"XXXXX","")</f>
        <v/>
      </c>
      <c r="G10" s="161" t="str">
        <f aca="false">IF(AND($C10&lt;=G$5,$C10+$D10&gt;G$5),"XXXXX","")</f>
        <v/>
      </c>
      <c r="H10" s="161" t="str">
        <f aca="false">IF(AND($C10&lt;=H$5,$C10+$D10&gt;H$5),"XXXXX","")</f>
        <v/>
      </c>
      <c r="I10" s="161" t="str">
        <f aca="false">IF(AND($C10&lt;=I$5,$C10+$D10&gt;I$5),"XXXXX","")</f>
        <v/>
      </c>
      <c r="J10" s="161" t="str">
        <f aca="false">IF(AND($C10&lt;=J$5,$C10+$D10&gt;J$5),"XXXXX","")</f>
        <v/>
      </c>
      <c r="K10" s="161" t="str">
        <f aca="false">IF(AND($C10&lt;=K$5,$C10+$D10&gt;K$5),"XXXXX","")</f>
        <v/>
      </c>
      <c r="L10" s="161" t="str">
        <f aca="false">IF(AND($C10&lt;=L$5,$C10+$D10&gt;L$5),"XXXXX","")</f>
        <v/>
      </c>
      <c r="M10" s="161" t="str">
        <f aca="false">IF(AND($C10&lt;=M$5,$C10+$D10&gt;M$5),"XXXXX","")</f>
        <v/>
      </c>
      <c r="N10" s="161" t="str">
        <f aca="false">IF(AND($C10&lt;=N$5,$C10+$D10&gt;N$5),"XXXXX","")</f>
        <v/>
      </c>
      <c r="O10" s="161" t="str">
        <f aca="false">IF(AND($C10&lt;=O$5,$C10+$D10&gt;O$5),"XXXXX","")</f>
        <v/>
      </c>
      <c r="P10" s="161" t="str">
        <f aca="false">IF(AND($C10&lt;=P$5,$C10+$D10&gt;P$5),"XXXXX","")</f>
        <v/>
      </c>
      <c r="Q10" s="161" t="str">
        <f aca="false">IF(AND($C10&lt;=Q$5,$C10+$D10&gt;Q$5),"XXXXX","")</f>
        <v/>
      </c>
      <c r="R10" s="161" t="str">
        <f aca="false">IF(AND($C10&lt;=R$5,$C10+$D10&gt;R$5),"XXXXX","")</f>
        <v/>
      </c>
      <c r="S10" s="161" t="str">
        <f aca="false">IF(AND($C10&lt;=S$5,$C10+$D10&gt;S$5),"XXXXX","")</f>
        <v/>
      </c>
      <c r="T10" s="161" t="str">
        <f aca="false">IF(AND($C10&lt;=T$5,$C10+$D10&gt;T$5),"XXXXX","")</f>
        <v/>
      </c>
      <c r="U10" s="161" t="str">
        <f aca="false">IF(AND($C10&lt;=U$5,$C10+$D10&gt;U$5),"XXXXX","")</f>
        <v/>
      </c>
      <c r="V10" s="161" t="str">
        <f aca="false">IF(AND($C10&lt;=V$5,$C10+$D10&gt;V$5),"XXXXX","")</f>
        <v/>
      </c>
      <c r="W10" s="161" t="str">
        <f aca="false">IF(AND($C10&lt;=W$5,$C10+$D10&gt;W$5),"XXXXX","")</f>
        <v/>
      </c>
      <c r="X10" s="16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customFormat="false" ht="14.25" hidden="false" customHeight="true" outlineLevel="0" collapsed="false">
      <c r="A11" s="159" t="str">
        <f aca="false">Mob_Staffing!B10</f>
        <v>Plant Engineer</v>
      </c>
      <c r="B11" s="160" t="n">
        <f aca="false">Mob_Staffing!E10</f>
        <v>0</v>
      </c>
      <c r="C11" s="160" t="n">
        <f aca="false">Mob_Staffing!F10</f>
        <v>0</v>
      </c>
      <c r="D11" s="160" t="n">
        <f aca="false">Mob_Staffing!G10</f>
        <v>-0</v>
      </c>
      <c r="E11" s="161" t="str">
        <f aca="false">IF(AND($C11&lt;=E$5,$C11+$D11&gt;E$5),"XXXXX","")</f>
        <v/>
      </c>
      <c r="F11" s="161" t="str">
        <f aca="false">IF(AND($C11&lt;=F$5,$C11+$D11&gt;F$5),"XXXXX","")</f>
        <v/>
      </c>
      <c r="G11" s="161" t="str">
        <f aca="false">IF(AND($C11&lt;=G$5,$C11+$D11&gt;G$5),"XXXXX","")</f>
        <v/>
      </c>
      <c r="H11" s="161" t="str">
        <f aca="false">IF(AND($C11&lt;=H$5,$C11+$D11&gt;H$5),"XXXXX","")</f>
        <v/>
      </c>
      <c r="I11" s="161" t="str">
        <f aca="false">IF(AND($C11&lt;=I$5,$C11+$D11&gt;I$5),"XXXXX","")</f>
        <v/>
      </c>
      <c r="J11" s="161" t="str">
        <f aca="false">IF(AND($C11&lt;=J$5,$C11+$D11&gt;J$5),"XXXXX","")</f>
        <v/>
      </c>
      <c r="K11" s="161" t="str">
        <f aca="false">IF(AND($C11&lt;=K$5,$C11+$D11&gt;K$5),"XXXXX","")</f>
        <v/>
      </c>
      <c r="L11" s="161" t="str">
        <f aca="false">IF(AND($C11&lt;=L$5,$C11+$D11&gt;L$5),"XXXXX","")</f>
        <v/>
      </c>
      <c r="M11" s="161" t="str">
        <f aca="false">IF(AND($C11&lt;=M$5,$C11+$D11&gt;M$5),"XXXXX","")</f>
        <v/>
      </c>
      <c r="N11" s="161" t="str">
        <f aca="false">IF(AND($C11&lt;=N$5,$C11+$D11&gt;N$5),"XXXXX","")</f>
        <v/>
      </c>
      <c r="O11" s="161" t="str">
        <f aca="false">IF(AND($C11&lt;=O$5,$C11+$D11&gt;O$5),"XXXXX","")</f>
        <v/>
      </c>
      <c r="P11" s="161" t="str">
        <f aca="false">IF(AND($C11&lt;=P$5,$C11+$D11&gt;P$5),"XXXXX","")</f>
        <v/>
      </c>
      <c r="Q11" s="161" t="str">
        <f aca="false">IF(AND($C11&lt;=Q$5,$C11+$D11&gt;Q$5),"XXXXX","")</f>
        <v/>
      </c>
      <c r="R11" s="161" t="str">
        <f aca="false">IF(AND($C11&lt;=R$5,$C11+$D11&gt;R$5),"XXXXX","")</f>
        <v/>
      </c>
      <c r="S11" s="161" t="str">
        <f aca="false">IF(AND($C11&lt;=S$5,$C11+$D11&gt;S$5),"XXXXX","")</f>
        <v/>
      </c>
      <c r="T11" s="161" t="str">
        <f aca="false">IF(AND($C11&lt;=T$5,$C11+$D11&gt;T$5),"XXXXX","")</f>
        <v/>
      </c>
      <c r="U11" s="161" t="str">
        <f aca="false">IF(AND($C11&lt;=U$5,$C11+$D11&gt;U$5),"XXXXX","")</f>
        <v/>
      </c>
      <c r="V11" s="161" t="str">
        <f aca="false">IF(AND($C11&lt;=V$5,$C11+$D11&gt;V$5),"XXXXX","")</f>
        <v/>
      </c>
      <c r="W11" s="161" t="str">
        <f aca="false">IF(AND($C11&lt;=W$5,$C11+$D11&gt;W$5),"XXXXX","")</f>
        <v/>
      </c>
      <c r="X11" s="16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customFormat="false" ht="14.25" hidden="false" customHeight="true" outlineLevel="0" collapsed="false">
      <c r="A12" s="159" t="str">
        <f aca="false">Mob_Staffing!B11</f>
        <v>Administration Manager</v>
      </c>
      <c r="B12" s="160" t="n">
        <f aca="false">Mob_Staffing!E11</f>
        <v>0</v>
      </c>
      <c r="C12" s="160" t="n">
        <f aca="false">Mob_Staffing!F11</f>
        <v>0</v>
      </c>
      <c r="D12" s="160" t="n">
        <f aca="false">Mob_Staffing!G11</f>
        <v>-0</v>
      </c>
      <c r="E12" s="161" t="str">
        <f aca="false">IF(AND($C12&lt;=E$5,$C12+$D12&gt;E$5),"XXXXX","")</f>
        <v/>
      </c>
      <c r="F12" s="161" t="str">
        <f aca="false">IF(AND($C12&lt;=F$5,$C12+$D12&gt;F$5),"XXXXX","")</f>
        <v/>
      </c>
      <c r="G12" s="161" t="str">
        <f aca="false">IF(AND($C12&lt;=G$5,$C12+$D12&gt;G$5),"XXXXX","")</f>
        <v/>
      </c>
      <c r="H12" s="161" t="str">
        <f aca="false">IF(AND($C12&lt;=H$5,$C12+$D12&gt;H$5),"XXXXX","")</f>
        <v/>
      </c>
      <c r="I12" s="161" t="str">
        <f aca="false">IF(AND($C12&lt;=I$5,$C12+$D12&gt;I$5),"XXXXX","")</f>
        <v/>
      </c>
      <c r="J12" s="161" t="str">
        <f aca="false">IF(AND($C12&lt;=J$5,$C12+$D12&gt;J$5),"XXXXX","")</f>
        <v/>
      </c>
      <c r="K12" s="161" t="str">
        <f aca="false">IF(AND($C12&lt;=K$5,$C12+$D12&gt;K$5),"XXXXX","")</f>
        <v/>
      </c>
      <c r="L12" s="161" t="str">
        <f aca="false">IF(AND($C12&lt;=L$5,$C12+$D12&gt;L$5),"XXXXX","")</f>
        <v/>
      </c>
      <c r="M12" s="161" t="str">
        <f aca="false">IF(AND($C12&lt;=M$5,$C12+$D12&gt;M$5),"XXXXX","")</f>
        <v/>
      </c>
      <c r="N12" s="161" t="str">
        <f aca="false">IF(AND($C12&lt;=N$5,$C12+$D12&gt;N$5),"XXXXX","")</f>
        <v/>
      </c>
      <c r="O12" s="161" t="str">
        <f aca="false">IF(AND($C12&lt;=O$5,$C12+$D12&gt;O$5),"XXXXX","")</f>
        <v/>
      </c>
      <c r="P12" s="161" t="str">
        <f aca="false">IF(AND($C12&lt;=P$5,$C12+$D12&gt;P$5),"XXXXX","")</f>
        <v/>
      </c>
      <c r="Q12" s="161" t="str">
        <f aca="false">IF(AND($C12&lt;=Q$5,$C12+$D12&gt;Q$5),"XXXXX","")</f>
        <v/>
      </c>
      <c r="R12" s="161" t="str">
        <f aca="false">IF(AND($C12&lt;=R$5,$C12+$D12&gt;R$5),"XXXXX","")</f>
        <v/>
      </c>
      <c r="S12" s="161" t="str">
        <f aca="false">IF(AND($C12&lt;=S$5,$C12+$D12&gt;S$5),"XXXXX","")</f>
        <v/>
      </c>
      <c r="T12" s="161" t="str">
        <f aca="false">IF(AND($C12&lt;=T$5,$C12+$D12&gt;T$5),"XXXXX","")</f>
        <v/>
      </c>
      <c r="U12" s="161" t="str">
        <f aca="false">IF(AND($C12&lt;=U$5,$C12+$D12&gt;U$5),"XXXXX","")</f>
        <v/>
      </c>
      <c r="V12" s="161" t="str">
        <f aca="false">IF(AND($C12&lt;=V$5,$C12+$D12&gt;V$5),"XXXXX","")</f>
        <v/>
      </c>
      <c r="W12" s="161" t="str">
        <f aca="false">IF(AND($C12&lt;=W$5,$C12+$D12&gt;W$5),"XXXXX","")</f>
        <v/>
      </c>
      <c r="X12" s="16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customFormat="false" ht="14.25" hidden="false" customHeight="true" outlineLevel="0" collapsed="false">
      <c r="A13" s="159" t="str">
        <f aca="false">Mob_Staffing!B12</f>
        <v>Controller</v>
      </c>
      <c r="B13" s="160" t="n">
        <f aca="false">Mob_Staffing!E12</f>
        <v>0</v>
      </c>
      <c r="C13" s="160" t="n">
        <f aca="false">Mob_Staffing!F12</f>
        <v>0</v>
      </c>
      <c r="D13" s="160" t="n">
        <f aca="false">Mob_Staffing!G12</f>
        <v>-0</v>
      </c>
      <c r="E13" s="161" t="str">
        <f aca="false">IF(AND($C13&lt;=E$5,$C13+$D13&gt;E$5),"XXXXX","")</f>
        <v/>
      </c>
      <c r="F13" s="161" t="str">
        <f aca="false">IF(AND($C13&lt;=F$5,$C13+$D13&gt;F$5),"XXXXX","")</f>
        <v/>
      </c>
      <c r="G13" s="161" t="str">
        <f aca="false">IF(AND($C13&lt;=G$5,$C13+$D13&gt;G$5),"XXXXX","")</f>
        <v/>
      </c>
      <c r="H13" s="161" t="str">
        <f aca="false">IF(AND($C13&lt;=H$5,$C13+$D13&gt;H$5),"XXXXX","")</f>
        <v/>
      </c>
      <c r="I13" s="161" t="str">
        <f aca="false">IF(AND($C13&lt;=I$5,$C13+$D13&gt;I$5),"XXXXX","")</f>
        <v/>
      </c>
      <c r="J13" s="161" t="str">
        <f aca="false">IF(AND($C13&lt;=J$5,$C13+$D13&gt;J$5),"XXXXX","")</f>
        <v/>
      </c>
      <c r="K13" s="161" t="str">
        <f aca="false">IF(AND($C13&lt;=K$5,$C13+$D13&gt;K$5),"XXXXX","")</f>
        <v/>
      </c>
      <c r="L13" s="161" t="str">
        <f aca="false">IF(AND($C13&lt;=L$5,$C13+$D13&gt;L$5),"XXXXX","")</f>
        <v/>
      </c>
      <c r="M13" s="161" t="str">
        <f aca="false">IF(AND($C13&lt;=M$5,$C13+$D13&gt;M$5),"XXXXX","")</f>
        <v/>
      </c>
      <c r="N13" s="161" t="str">
        <f aca="false">IF(AND($C13&lt;=N$5,$C13+$D13&gt;N$5),"XXXXX","")</f>
        <v/>
      </c>
      <c r="O13" s="161" t="str">
        <f aca="false">IF(AND($C13&lt;=O$5,$C13+$D13&gt;O$5),"XXXXX","")</f>
        <v/>
      </c>
      <c r="P13" s="161" t="str">
        <f aca="false">IF(AND($C13&lt;=P$5,$C13+$D13&gt;P$5),"XXXXX","")</f>
        <v/>
      </c>
      <c r="Q13" s="161" t="str">
        <f aca="false">IF(AND($C13&lt;=Q$5,$C13+$D13&gt;Q$5),"XXXXX","")</f>
        <v/>
      </c>
      <c r="R13" s="161" t="str">
        <f aca="false">IF(AND($C13&lt;=R$5,$C13+$D13&gt;R$5),"XXXXX","")</f>
        <v/>
      </c>
      <c r="S13" s="161" t="str">
        <f aca="false">IF(AND($C13&lt;=S$5,$C13+$D13&gt;S$5),"XXXXX","")</f>
        <v/>
      </c>
      <c r="T13" s="161" t="str">
        <f aca="false">IF(AND($C13&lt;=T$5,$C13+$D13&gt;T$5),"XXXXX","")</f>
        <v/>
      </c>
      <c r="U13" s="161" t="str">
        <f aca="false">IF(AND($C13&lt;=U$5,$C13+$D13&gt;U$5),"XXXXX","")</f>
        <v/>
      </c>
      <c r="V13" s="161" t="str">
        <f aca="false">IF(AND($C13&lt;=V$5,$C13+$D13&gt;V$5),"XXXXX","")</f>
        <v/>
      </c>
      <c r="W13" s="161" t="str">
        <f aca="false">IF(AND($C13&lt;=W$5,$C13+$D13&gt;W$5),"XXXXX","")</f>
        <v/>
      </c>
      <c r="X13" s="16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customFormat="false" ht="14.25" hidden="false" customHeight="true" outlineLevel="0" collapsed="false">
      <c r="A14" s="159" t="str">
        <f aca="false">Mob_Staffing!B13</f>
        <v>Accountant</v>
      </c>
      <c r="B14" s="160" t="n">
        <f aca="false">Mob_Staffing!E13</f>
        <v>0</v>
      </c>
      <c r="C14" s="160" t="n">
        <f aca="false">Mob_Staffing!F13</f>
        <v>0</v>
      </c>
      <c r="D14" s="160" t="n">
        <f aca="false">Mob_Staffing!G13</f>
        <v>-0</v>
      </c>
      <c r="E14" s="161" t="str">
        <f aca="false">IF(AND($C14&lt;=E$5,$C14+$D14&gt;E$5),"XXXXX","")</f>
        <v/>
      </c>
      <c r="F14" s="161" t="str">
        <f aca="false">IF(AND($C14&lt;=F$5,$C14+$D14&gt;F$5),"XXXXX","")</f>
        <v/>
      </c>
      <c r="G14" s="161" t="str">
        <f aca="false">IF(AND($C14&lt;=G$5,$C14+$D14&gt;G$5),"XXXXX","")</f>
        <v/>
      </c>
      <c r="H14" s="161" t="str">
        <f aca="false">IF(AND($C14&lt;=H$5,$C14+$D14&gt;H$5),"XXXXX","")</f>
        <v/>
      </c>
      <c r="I14" s="161" t="str">
        <f aca="false">IF(AND($C14&lt;=I$5,$C14+$D14&gt;I$5),"XXXXX","")</f>
        <v/>
      </c>
      <c r="J14" s="161" t="str">
        <f aca="false">IF(AND($C14&lt;=J$5,$C14+$D14&gt;J$5),"XXXXX","")</f>
        <v/>
      </c>
      <c r="K14" s="161" t="str">
        <f aca="false">IF(AND($C14&lt;=K$5,$C14+$D14&gt;K$5),"XXXXX","")</f>
        <v/>
      </c>
      <c r="L14" s="161" t="str">
        <f aca="false">IF(AND($C14&lt;=L$5,$C14+$D14&gt;L$5),"XXXXX","")</f>
        <v/>
      </c>
      <c r="M14" s="161" t="str">
        <f aca="false">IF(AND($C14&lt;=M$5,$C14+$D14&gt;M$5),"XXXXX","")</f>
        <v/>
      </c>
      <c r="N14" s="161" t="str">
        <f aca="false">IF(AND($C14&lt;=N$5,$C14+$D14&gt;N$5),"XXXXX","")</f>
        <v/>
      </c>
      <c r="O14" s="161" t="str">
        <f aca="false">IF(AND($C14&lt;=O$5,$C14+$D14&gt;O$5),"XXXXX","")</f>
        <v/>
      </c>
      <c r="P14" s="161" t="str">
        <f aca="false">IF(AND($C14&lt;=P$5,$C14+$D14&gt;P$5),"XXXXX","")</f>
        <v/>
      </c>
      <c r="Q14" s="161" t="str">
        <f aca="false">IF(AND($C14&lt;=Q$5,$C14+$D14&gt;Q$5),"XXXXX","")</f>
        <v/>
      </c>
      <c r="R14" s="161" t="str">
        <f aca="false">IF(AND($C14&lt;=R$5,$C14+$D14&gt;R$5),"XXXXX","")</f>
        <v/>
      </c>
      <c r="S14" s="161" t="str">
        <f aca="false">IF(AND($C14&lt;=S$5,$C14+$D14&gt;S$5),"XXXXX","")</f>
        <v/>
      </c>
      <c r="T14" s="161" t="str">
        <f aca="false">IF(AND($C14&lt;=T$5,$C14+$D14&gt;T$5),"XXXXX","")</f>
        <v/>
      </c>
      <c r="U14" s="161" t="str">
        <f aca="false">IF(AND($C14&lt;=U$5,$C14+$D14&gt;U$5),"XXXXX","")</f>
        <v/>
      </c>
      <c r="V14" s="161" t="str">
        <f aca="false">IF(AND($C14&lt;=V$5,$C14+$D14&gt;V$5),"XXXXX","")</f>
        <v/>
      </c>
      <c r="W14" s="161" t="str">
        <f aca="false">IF(AND($C14&lt;=W$5,$C14+$D14&gt;W$5),"XXXXX","")</f>
        <v/>
      </c>
      <c r="X14" s="16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customFormat="false" ht="14.25" hidden="false" customHeight="true" outlineLevel="0" collapsed="false">
      <c r="A15" s="159" t="str">
        <f aca="false">Mob_Staffing!B14</f>
        <v>Administrative Assistant</v>
      </c>
      <c r="B15" s="160" t="n">
        <f aca="false">Mob_Staffing!E14</f>
        <v>1</v>
      </c>
      <c r="C15" s="160" t="n">
        <f aca="false">Mob_Staffing!F14</f>
        <v>7</v>
      </c>
      <c r="D15" s="160" t="n">
        <f aca="false">Mob_Staffing!G14</f>
        <v>-7</v>
      </c>
      <c r="E15" s="161" t="str">
        <f aca="false">IF(AND($C15&lt;=E$5,$C15+$D15&gt;E$5),"XXXXX","")</f>
        <v/>
      </c>
      <c r="F15" s="161" t="str">
        <f aca="false">IF(AND($C15&lt;=F$5,$C15+$D15&gt;F$5),"XXXXX","")</f>
        <v/>
      </c>
      <c r="G15" s="161" t="str">
        <f aca="false">IF(AND($C15&lt;=G$5,$C15+$D15&gt;G$5),"XXXXX","")</f>
        <v/>
      </c>
      <c r="H15" s="161" t="str">
        <f aca="false">IF(AND($C15&lt;=H$5,$C15+$D15&gt;H$5),"XXXXX","")</f>
        <v/>
      </c>
      <c r="I15" s="161" t="str">
        <f aca="false">IF(AND($C15&lt;=I$5,$C15+$D15&gt;I$5),"XXXXX","")</f>
        <v/>
      </c>
      <c r="J15" s="161" t="str">
        <f aca="false">IF(AND($C15&lt;=J$5,$C15+$D15&gt;J$5),"XXXXX","")</f>
        <v/>
      </c>
      <c r="K15" s="161" t="str">
        <f aca="false">IF(AND($C15&lt;=K$5,$C15+$D15&gt;K$5),"XXXXX","")</f>
        <v/>
      </c>
      <c r="L15" s="161" t="str">
        <f aca="false">IF(AND($C15&lt;=L$5,$C15+$D15&gt;L$5),"XXXXX","")</f>
        <v/>
      </c>
      <c r="M15" s="161" t="str">
        <f aca="false">IF(AND($C15&lt;=M$5,$C15+$D15&gt;M$5),"XXXXX","")</f>
        <v/>
      </c>
      <c r="N15" s="161" t="str">
        <f aca="false">IF(AND($C15&lt;=N$5,$C15+$D15&gt;N$5),"XXXXX","")</f>
        <v/>
      </c>
      <c r="O15" s="161" t="str">
        <f aca="false">IF(AND($C15&lt;=O$5,$C15+$D15&gt;O$5),"XXXXX","")</f>
        <v/>
      </c>
      <c r="P15" s="161" t="str">
        <f aca="false">IF(AND($C15&lt;=P$5,$C15+$D15&gt;P$5),"XXXXX","")</f>
        <v/>
      </c>
      <c r="Q15" s="161" t="str">
        <f aca="false">IF(AND($C15&lt;=Q$5,$C15+$D15&gt;Q$5),"XXXXX","")</f>
        <v/>
      </c>
      <c r="R15" s="161" t="str">
        <f aca="false">IF(AND($C15&lt;=R$5,$C15+$D15&gt;R$5),"XXXXX","")</f>
        <v/>
      </c>
      <c r="S15" s="161" t="str">
        <f aca="false">IF(AND($C15&lt;=S$5,$C15+$D15&gt;S$5),"XXXXX","")</f>
        <v/>
      </c>
      <c r="T15" s="161" t="str">
        <f aca="false">IF(AND($C15&lt;=T$5,$C15+$D15&gt;T$5),"XXXXX","")</f>
        <v/>
      </c>
      <c r="U15" s="161" t="str">
        <f aca="false">IF(AND($C15&lt;=U$5,$C15+$D15&gt;U$5),"XXXXX","")</f>
        <v/>
      </c>
      <c r="V15" s="161" t="str">
        <f aca="false">IF(AND($C15&lt;=V$5,$C15+$D15&gt;V$5),"XXXXX","")</f>
        <v/>
      </c>
      <c r="W15" s="161" t="str">
        <f aca="false">IF(AND($C15&lt;=W$5,$C15+$D15&gt;W$5),"XXXXX","")</f>
        <v/>
      </c>
      <c r="X15" s="16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customFormat="false" ht="14.25" hidden="false" customHeight="true" outlineLevel="0" collapsed="false">
      <c r="A16" s="159" t="str">
        <f aca="false">Mob_Staffing!B15</f>
        <v>Warehouse Supervisor</v>
      </c>
      <c r="B16" s="160" t="n">
        <f aca="false">Mob_Staffing!E15</f>
        <v>0</v>
      </c>
      <c r="C16" s="160" t="n">
        <f aca="false">Mob_Staffing!F15</f>
        <v>0</v>
      </c>
      <c r="D16" s="160" t="n">
        <f aca="false">Mob_Staffing!G15</f>
        <v>-0</v>
      </c>
      <c r="E16" s="161" t="str">
        <f aca="false">IF(AND($C16&lt;=E$5,$C16+$D16&gt;E$5),"XXXXX","")</f>
        <v/>
      </c>
      <c r="F16" s="161" t="str">
        <f aca="false">IF(AND($C16&lt;=F$5,$C16+$D16&gt;F$5),"XXXXX","")</f>
        <v/>
      </c>
      <c r="G16" s="161" t="str">
        <f aca="false">IF(AND($C16&lt;=G$5,$C16+$D16&gt;G$5),"XXXXX","")</f>
        <v/>
      </c>
      <c r="H16" s="161" t="str">
        <f aca="false">IF(AND($C16&lt;=H$5,$C16+$D16&gt;H$5),"XXXXX","")</f>
        <v/>
      </c>
      <c r="I16" s="161" t="str">
        <f aca="false">IF(AND($C16&lt;=I$5,$C16+$D16&gt;I$5),"XXXXX","")</f>
        <v/>
      </c>
      <c r="J16" s="161" t="str">
        <f aca="false">IF(AND($C16&lt;=J$5,$C16+$D16&gt;J$5),"XXXXX","")</f>
        <v/>
      </c>
      <c r="K16" s="161" t="str">
        <f aca="false">IF(AND($C16&lt;=K$5,$C16+$D16&gt;K$5),"XXXXX","")</f>
        <v/>
      </c>
      <c r="L16" s="161" t="str">
        <f aca="false">IF(AND($C16&lt;=L$5,$C16+$D16&gt;L$5),"XXXXX","")</f>
        <v/>
      </c>
      <c r="M16" s="161" t="str">
        <f aca="false">IF(AND($C16&lt;=M$5,$C16+$D16&gt;M$5),"XXXXX","")</f>
        <v/>
      </c>
      <c r="N16" s="161" t="str">
        <f aca="false">IF(AND($C16&lt;=N$5,$C16+$D16&gt;N$5),"XXXXX","")</f>
        <v/>
      </c>
      <c r="O16" s="161" t="str">
        <f aca="false">IF(AND($C16&lt;=O$5,$C16+$D16&gt;O$5),"XXXXX","")</f>
        <v/>
      </c>
      <c r="P16" s="161" t="str">
        <f aca="false">IF(AND($C16&lt;=P$5,$C16+$D16&gt;P$5),"XXXXX","")</f>
        <v/>
      </c>
      <c r="Q16" s="161" t="str">
        <f aca="false">IF(AND($C16&lt;=Q$5,$C16+$D16&gt;Q$5),"XXXXX","")</f>
        <v/>
      </c>
      <c r="R16" s="161" t="str">
        <f aca="false">IF(AND($C16&lt;=R$5,$C16+$D16&gt;R$5),"XXXXX","")</f>
        <v/>
      </c>
      <c r="S16" s="161" t="str">
        <f aca="false">IF(AND($C16&lt;=S$5,$C16+$D16&gt;S$5),"XXXXX","")</f>
        <v/>
      </c>
      <c r="T16" s="161" t="str">
        <f aca="false">IF(AND($C16&lt;=T$5,$C16+$D16&gt;T$5),"XXXXX","")</f>
        <v/>
      </c>
      <c r="U16" s="161" t="str">
        <f aca="false">IF(AND($C16&lt;=U$5,$C16+$D16&gt;U$5),"XXXXX","")</f>
        <v/>
      </c>
      <c r="V16" s="161" t="str">
        <f aca="false">IF(AND($C16&lt;=V$5,$C16+$D16&gt;V$5),"XXXXX","")</f>
        <v/>
      </c>
      <c r="W16" s="161" t="str">
        <f aca="false">IF(AND($C16&lt;=W$5,$C16+$D16&gt;W$5),"XXXXX","")</f>
        <v/>
      </c>
      <c r="X16" s="16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customFormat="false" ht="14.25" hidden="false" customHeight="true" outlineLevel="0" collapsed="false">
      <c r="A17" s="159" t="str">
        <f aca="false">Mob_Staffing!B16</f>
        <v>Other</v>
      </c>
      <c r="B17" s="160" t="n">
        <f aca="false">Mob_Staffing!E16</f>
        <v>0</v>
      </c>
      <c r="C17" s="160" t="n">
        <f aca="false">Mob_Staffing!F16</f>
        <v>0</v>
      </c>
      <c r="D17" s="160" t="n">
        <f aca="false">Mob_Staffing!G16</f>
        <v>-0</v>
      </c>
      <c r="E17" s="161" t="str">
        <f aca="false">IF(AND($C17&lt;=E$5,$C17+$D17&gt;E$5),"XXXXX","")</f>
        <v/>
      </c>
      <c r="F17" s="161" t="str">
        <f aca="false">IF(AND($C17&lt;=F$5,$C17+$D17&gt;F$5),"XXXXX","")</f>
        <v/>
      </c>
      <c r="G17" s="161" t="str">
        <f aca="false">IF(AND($C17&lt;=G$5,$C17+$D17&gt;G$5),"XXXXX","")</f>
        <v/>
      </c>
      <c r="H17" s="161" t="str">
        <f aca="false">IF(AND($C17&lt;=H$5,$C17+$D17&gt;H$5),"XXXXX","")</f>
        <v/>
      </c>
      <c r="I17" s="161" t="str">
        <f aca="false">IF(AND($C17&lt;=I$5,$C17+$D17&gt;I$5),"XXXXX","")</f>
        <v/>
      </c>
      <c r="J17" s="161" t="str">
        <f aca="false">IF(AND($C17&lt;=J$5,$C17+$D17&gt;J$5),"XXXXX","")</f>
        <v/>
      </c>
      <c r="K17" s="161" t="str">
        <f aca="false">IF(AND($C17&lt;=K$5,$C17+$D17&gt;K$5),"XXXXX","")</f>
        <v/>
      </c>
      <c r="L17" s="161" t="str">
        <f aca="false">IF(AND($C17&lt;=L$5,$C17+$D17&gt;L$5),"XXXXX","")</f>
        <v/>
      </c>
      <c r="M17" s="161" t="str">
        <f aca="false">IF(AND($C17&lt;=M$5,$C17+$D17&gt;M$5),"XXXXX","")</f>
        <v/>
      </c>
      <c r="N17" s="161" t="str">
        <f aca="false">IF(AND($C17&lt;=N$5,$C17+$D17&gt;N$5),"XXXXX","")</f>
        <v/>
      </c>
      <c r="O17" s="161" t="str">
        <f aca="false">IF(AND($C17&lt;=O$5,$C17+$D17&gt;O$5),"XXXXX","")</f>
        <v/>
      </c>
      <c r="P17" s="161" t="str">
        <f aca="false">IF(AND($C17&lt;=P$5,$C17+$D17&gt;P$5),"XXXXX","")</f>
        <v/>
      </c>
      <c r="Q17" s="161" t="str">
        <f aca="false">IF(AND($C17&lt;=Q$5,$C17+$D17&gt;Q$5),"XXXXX","")</f>
        <v/>
      </c>
      <c r="R17" s="161" t="str">
        <f aca="false">IF(AND($C17&lt;=R$5,$C17+$D17&gt;R$5),"XXXXX","")</f>
        <v/>
      </c>
      <c r="S17" s="161" t="str">
        <f aca="false">IF(AND($C17&lt;=S$5,$C17+$D17&gt;S$5),"XXXXX","")</f>
        <v/>
      </c>
      <c r="T17" s="161" t="str">
        <f aca="false">IF(AND($C17&lt;=T$5,$C17+$D17&gt;T$5),"XXXXX","")</f>
        <v/>
      </c>
      <c r="U17" s="161" t="str">
        <f aca="false">IF(AND($C17&lt;=U$5,$C17+$D17&gt;U$5),"XXXXX","")</f>
        <v/>
      </c>
      <c r="V17" s="161" t="str">
        <f aca="false">IF(AND($C17&lt;=V$5,$C17+$D17&gt;V$5),"XXXXX","")</f>
        <v/>
      </c>
      <c r="W17" s="161" t="str">
        <f aca="false">IF(AND($C17&lt;=W$5,$C17+$D17&gt;W$5),"XXXXX","")</f>
        <v/>
      </c>
      <c r="X17" s="16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customFormat="false" ht="14.25" hidden="false" customHeight="true" outlineLevel="0" collapsed="false">
      <c r="A18" s="159" t="str">
        <f aca="false">Mob_Staffing!B17</f>
        <v>Other</v>
      </c>
      <c r="B18" s="160" t="n">
        <f aca="false">Mob_Staffing!E17</f>
        <v>0</v>
      </c>
      <c r="C18" s="160" t="n">
        <f aca="false">Mob_Staffing!F17</f>
        <v>0</v>
      </c>
      <c r="D18" s="160" t="n">
        <f aca="false">Mob_Staffing!G17</f>
        <v>-0</v>
      </c>
      <c r="E18" s="161" t="str">
        <f aca="false">IF(AND($C18&lt;=E$5,$C18+$D18&gt;E$5),"XXXXX","")</f>
        <v/>
      </c>
      <c r="F18" s="161" t="str">
        <f aca="false">IF(AND($C18&lt;=F$5,$C18+$D18&gt;F$5),"XXXXX","")</f>
        <v/>
      </c>
      <c r="G18" s="161" t="str">
        <f aca="false">IF(AND($C18&lt;=G$5,$C18+$D18&gt;G$5),"XXXXX","")</f>
        <v/>
      </c>
      <c r="H18" s="161" t="str">
        <f aca="false">IF(AND($C18&lt;=H$5,$C18+$D18&gt;H$5),"XXXXX","")</f>
        <v/>
      </c>
      <c r="I18" s="161" t="str">
        <f aca="false">IF(AND($C18&lt;=I$5,$C18+$D18&gt;I$5),"XXXXX","")</f>
        <v/>
      </c>
      <c r="J18" s="161" t="str">
        <f aca="false">IF(AND($C18&lt;=J$5,$C18+$D18&gt;J$5),"XXXXX","")</f>
        <v/>
      </c>
      <c r="K18" s="161" t="str">
        <f aca="false">IF(AND($C18&lt;=K$5,$C18+$D18&gt;K$5),"XXXXX","")</f>
        <v/>
      </c>
      <c r="L18" s="161" t="str">
        <f aca="false">IF(AND($C18&lt;=L$5,$C18+$D18&gt;L$5),"XXXXX","")</f>
        <v/>
      </c>
      <c r="M18" s="161" t="str">
        <f aca="false">IF(AND($C18&lt;=M$5,$C18+$D18&gt;M$5),"XXXXX","")</f>
        <v/>
      </c>
      <c r="N18" s="161" t="str">
        <f aca="false">IF(AND($C18&lt;=N$5,$C18+$D18&gt;N$5),"XXXXX","")</f>
        <v/>
      </c>
      <c r="O18" s="161" t="str">
        <f aca="false">IF(AND($C18&lt;=O$5,$C18+$D18&gt;O$5),"XXXXX","")</f>
        <v/>
      </c>
      <c r="P18" s="161" t="str">
        <f aca="false">IF(AND($C18&lt;=P$5,$C18+$D18&gt;P$5),"XXXXX","")</f>
        <v/>
      </c>
      <c r="Q18" s="161" t="str">
        <f aca="false">IF(AND($C18&lt;=Q$5,$C18+$D18&gt;Q$5),"XXXXX","")</f>
        <v/>
      </c>
      <c r="R18" s="161" t="str">
        <f aca="false">IF(AND($C18&lt;=R$5,$C18+$D18&gt;R$5),"XXXXX","")</f>
        <v/>
      </c>
      <c r="S18" s="161" t="str">
        <f aca="false">IF(AND($C18&lt;=S$5,$C18+$D18&gt;S$5),"XXXXX","")</f>
        <v/>
      </c>
      <c r="T18" s="161" t="str">
        <f aca="false">IF(AND($C18&lt;=T$5,$C18+$D18&gt;T$5),"XXXXX","")</f>
        <v/>
      </c>
      <c r="U18" s="161" t="str">
        <f aca="false">IF(AND($C18&lt;=U$5,$C18+$D18&gt;U$5),"XXXXX","")</f>
        <v/>
      </c>
      <c r="V18" s="161" t="str">
        <f aca="false">IF(AND($C18&lt;=V$5,$C18+$D18&gt;V$5),"XXXXX","")</f>
        <v/>
      </c>
      <c r="W18" s="161" t="str">
        <f aca="false">IF(AND($C18&lt;=W$5,$C18+$D18&gt;W$5),"XXXXX","")</f>
        <v/>
      </c>
      <c r="X18" s="16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customFormat="false" ht="14.25" hidden="false" customHeight="true" outlineLevel="0" collapsed="false">
      <c r="A19" s="159" t="str">
        <f aca="false">Mob_Staffing!B18</f>
        <v>Other</v>
      </c>
      <c r="B19" s="160" t="n">
        <f aca="false">Mob_Staffing!E18</f>
        <v>0</v>
      </c>
      <c r="C19" s="160" t="n">
        <f aca="false">Mob_Staffing!F18</f>
        <v>0</v>
      </c>
      <c r="D19" s="160" t="n">
        <f aca="false">Mob_Staffing!G18</f>
        <v>-0</v>
      </c>
      <c r="E19" s="161" t="str">
        <f aca="false">IF(AND($C19&lt;=E$5,$C19+$D19&gt;E$5),"XXXXX","")</f>
        <v/>
      </c>
      <c r="F19" s="161" t="str">
        <f aca="false">IF(AND($C19&lt;=F$5,$C19+$D19&gt;F$5),"XXXXX","")</f>
        <v/>
      </c>
      <c r="G19" s="161" t="str">
        <f aca="false">IF(AND($C19&lt;=G$5,$C19+$D19&gt;G$5),"XXXXX","")</f>
        <v/>
      </c>
      <c r="H19" s="161" t="str">
        <f aca="false">IF(AND($C19&lt;=H$5,$C19+$D19&gt;H$5),"XXXXX","")</f>
        <v/>
      </c>
      <c r="I19" s="161" t="str">
        <f aca="false">IF(AND($C19&lt;=I$5,$C19+$D19&gt;I$5),"XXXXX","")</f>
        <v/>
      </c>
      <c r="J19" s="161" t="str">
        <f aca="false">IF(AND($C19&lt;=J$5,$C19+$D19&gt;J$5),"XXXXX","")</f>
        <v/>
      </c>
      <c r="K19" s="161" t="str">
        <f aca="false">IF(AND($C19&lt;=K$5,$C19+$D19&gt;K$5),"XXXXX","")</f>
        <v/>
      </c>
      <c r="L19" s="161" t="str">
        <f aca="false">IF(AND($C19&lt;=L$5,$C19+$D19&gt;L$5),"XXXXX","")</f>
        <v/>
      </c>
      <c r="M19" s="161" t="str">
        <f aca="false">IF(AND($C19&lt;=M$5,$C19+$D19&gt;M$5),"XXXXX","")</f>
        <v/>
      </c>
      <c r="N19" s="161" t="str">
        <f aca="false">IF(AND($C19&lt;=N$5,$C19+$D19&gt;N$5),"XXXXX","")</f>
        <v/>
      </c>
      <c r="O19" s="161" t="str">
        <f aca="false">IF(AND($C19&lt;=O$5,$C19+$D19&gt;O$5),"XXXXX","")</f>
        <v/>
      </c>
      <c r="P19" s="161" t="str">
        <f aca="false">IF(AND($C19&lt;=P$5,$C19+$D19&gt;P$5),"XXXXX","")</f>
        <v/>
      </c>
      <c r="Q19" s="161" t="str">
        <f aca="false">IF(AND($C19&lt;=Q$5,$C19+$D19&gt;Q$5),"XXXXX","")</f>
        <v/>
      </c>
      <c r="R19" s="161" t="str">
        <f aca="false">IF(AND($C19&lt;=R$5,$C19+$D19&gt;R$5),"XXXXX","")</f>
        <v/>
      </c>
      <c r="S19" s="161" t="str">
        <f aca="false">IF(AND($C19&lt;=S$5,$C19+$D19&gt;S$5),"XXXXX","")</f>
        <v/>
      </c>
      <c r="T19" s="161" t="str">
        <f aca="false">IF(AND($C19&lt;=T$5,$C19+$D19&gt;T$5),"XXXXX","")</f>
        <v/>
      </c>
      <c r="U19" s="161" t="str">
        <f aca="false">IF(AND($C19&lt;=U$5,$C19+$D19&gt;U$5),"XXXXX","")</f>
        <v/>
      </c>
      <c r="V19" s="161" t="str">
        <f aca="false">IF(AND($C19&lt;=V$5,$C19+$D19&gt;V$5),"XXXXX","")</f>
        <v/>
      </c>
      <c r="W19" s="161" t="str">
        <f aca="false">IF(AND($C19&lt;=W$5,$C19+$D19&gt;W$5),"XXXXX","")</f>
        <v/>
      </c>
      <c r="X19" s="16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customFormat="false" ht="14.25" hidden="false" customHeight="true" outlineLevel="0" collapsed="false">
      <c r="A20" s="159"/>
      <c r="B20" s="157"/>
      <c r="C20" s="0"/>
      <c r="D20" s="0"/>
      <c r="E20" s="163"/>
      <c r="F20" s="163"/>
      <c r="G20" s="163"/>
      <c r="H20" s="163"/>
      <c r="I20" s="163"/>
      <c r="J20" s="163"/>
      <c r="K20" s="163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58"/>
    </row>
    <row r="21" customFormat="false" ht="14.25" hidden="false" customHeight="true" outlineLevel="0" collapsed="false">
      <c r="A21" s="165" t="s">
        <v>211</v>
      </c>
      <c r="B21" s="157"/>
      <c r="C21" s="0"/>
      <c r="D21" s="0"/>
      <c r="E21" s="163"/>
      <c r="F21" s="163"/>
      <c r="G21" s="163"/>
      <c r="H21" s="163"/>
      <c r="I21" s="163"/>
      <c r="J21" s="163"/>
      <c r="K21" s="163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58"/>
    </row>
    <row r="22" customFormat="false" ht="14.25" hidden="false" customHeight="true" outlineLevel="0" collapsed="false">
      <c r="A22" s="159" t="str">
        <f aca="false">Mob_Staffing!B21</f>
        <v>Operations Manager</v>
      </c>
      <c r="B22" s="160" t="n">
        <f aca="false">Mob_Staffing!E21</f>
        <v>1</v>
      </c>
      <c r="C22" s="160" t="n">
        <f aca="false">Mob_Staffing!F21</f>
        <v>-9</v>
      </c>
      <c r="D22" s="160" t="n">
        <f aca="false">Mob_Staffing!G21</f>
        <v>9</v>
      </c>
      <c r="E22" s="161" t="str">
        <f aca="false">IF(AND($C22&lt;=E$5,$C22+$D22&gt;E$5),"XXXXX","")</f>
        <v/>
      </c>
      <c r="F22" s="161" t="str">
        <f aca="false">IF(AND($C22&lt;=F$5,$C22+$D22&gt;F$5),"XXXXX","")</f>
        <v/>
      </c>
      <c r="G22" s="161" t="str">
        <f aca="false">IF(AND($C22&lt;=G$5,$C22+$D22&gt;G$5),"XXXXX","")</f>
        <v/>
      </c>
      <c r="H22" s="161" t="str">
        <f aca="false">IF(AND($C22&lt;=H$5,$C22+$D22&gt;H$5),"XXXXX","")</f>
        <v/>
      </c>
      <c r="I22" s="161" t="str">
        <f aca="false">IF(AND($C22&lt;=I$5,$C22+$D22&gt;I$5),"XXXXX","")</f>
        <v/>
      </c>
      <c r="J22" s="161" t="str">
        <f aca="false">IF(AND($C22&lt;=J$5,$C22+$D22&gt;J$5),"XXXXX","")</f>
        <v/>
      </c>
      <c r="K22" s="161" t="str">
        <f aca="false">IF(AND($C22&lt;=K$5,$C22+$D22&gt;K$5),"XXXXX","")</f>
        <v/>
      </c>
      <c r="L22" s="161" t="str">
        <f aca="false">IF(AND($C22&lt;=L$5,$C22+$D22&gt;L$5),"XXXXX","")</f>
        <v/>
      </c>
      <c r="M22" s="161" t="str">
        <f aca="false">IF(AND($C22&lt;=M$5,$C22+$D22&gt;M$5),"XXXXX","")</f>
        <v/>
      </c>
      <c r="N22" s="161" t="str">
        <f aca="false">IF(AND($C22&lt;=N$5,$C22+$D22&gt;N$5),"XXXXX","")</f>
        <v/>
      </c>
      <c r="O22" s="161" t="str">
        <f aca="false">IF(AND($C22&lt;=O$5,$C22+$D22&gt;O$5),"XXXXX","")</f>
        <v>XXXXX</v>
      </c>
      <c r="P22" s="161" t="str">
        <f aca="false">IF(AND($C22&lt;=P$5,$C22+$D22&gt;P$5),"XXXXX","")</f>
        <v>XXXXX</v>
      </c>
      <c r="Q22" s="161" t="str">
        <f aca="false">IF(AND($C22&lt;=Q$5,$C22+$D22&gt;Q$5),"XXXXX","")</f>
        <v>XXXXX</v>
      </c>
      <c r="R22" s="161" t="str">
        <f aca="false">IF(AND($C22&lt;=R$5,$C22+$D22&gt;R$5),"XXXXX","")</f>
        <v>XXXXX</v>
      </c>
      <c r="S22" s="161" t="str">
        <f aca="false">IF(AND($C22&lt;=S$5,$C22+$D22&gt;S$5),"XXXXX","")</f>
        <v>XXXXX</v>
      </c>
      <c r="T22" s="161" t="str">
        <f aca="false">IF(AND($C22&lt;=T$5,$C22+$D22&gt;T$5),"XXXXX","")</f>
        <v>XXXXX</v>
      </c>
      <c r="U22" s="161" t="str">
        <f aca="false">IF(AND($C22&lt;=U$5,$C22+$D22&gt;U$5),"XXXXX","")</f>
        <v>XXXXX</v>
      </c>
      <c r="V22" s="161" t="str">
        <f aca="false">IF(AND($C22&lt;=V$5,$C22+$D22&gt;V$5),"XXXXX","")</f>
        <v>XXXXX</v>
      </c>
      <c r="W22" s="161" t="str">
        <f aca="false">IF(AND($C22&lt;=W$5,$C22+$D22&gt;W$5),"XXXXX","")</f>
        <v>XXXXX</v>
      </c>
      <c r="X22" s="16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customFormat="false" ht="14.25" hidden="false" customHeight="true" outlineLevel="0" collapsed="false">
      <c r="A23" s="159" t="str">
        <f aca="false">Mob_Staffing!B22</f>
        <v>Operations Shift Supervisors</v>
      </c>
      <c r="B23" s="160" t="n">
        <f aca="false">Mob_Staffing!E22</f>
        <v>0</v>
      </c>
      <c r="C23" s="160" t="n">
        <f aca="false">Mob_Staffing!F22</f>
        <v>0</v>
      </c>
      <c r="D23" s="160" t="n">
        <f aca="false">Mob_Staffing!G22</f>
        <v>-0</v>
      </c>
      <c r="E23" s="161" t="str">
        <f aca="false">IF(AND($C23&lt;=E$5,$C23+$D23&gt;E$5),"XXXXX","")</f>
        <v/>
      </c>
      <c r="F23" s="161" t="str">
        <f aca="false">IF(AND($C23&lt;=F$5,$C23+$D23&gt;F$5),"XXXXX","")</f>
        <v/>
      </c>
      <c r="G23" s="161" t="str">
        <f aca="false">IF(AND($C23&lt;=G$5,$C23+$D23&gt;G$5),"XXXXX","")</f>
        <v/>
      </c>
      <c r="H23" s="161" t="str">
        <f aca="false">IF(AND($C23&lt;=H$5,$C23+$D23&gt;H$5),"XXXXX","")</f>
        <v/>
      </c>
      <c r="I23" s="161" t="str">
        <f aca="false">IF(AND($C23&lt;=I$5,$C23+$D23&gt;I$5),"XXXXX","")</f>
        <v/>
      </c>
      <c r="J23" s="161" t="str">
        <f aca="false">IF(AND($C23&lt;=J$5,$C23+$D23&gt;J$5),"XXXXX","")</f>
        <v/>
      </c>
      <c r="K23" s="161" t="str">
        <f aca="false">IF(AND($C23&lt;=K$5,$C23+$D23&gt;K$5),"XXXXX","")</f>
        <v/>
      </c>
      <c r="L23" s="161" t="str">
        <f aca="false">IF(AND($C23&lt;=L$5,$C23+$D23&gt;L$5),"XXXXX","")</f>
        <v/>
      </c>
      <c r="M23" s="161" t="str">
        <f aca="false">IF(AND($C23&lt;=M$5,$C23+$D23&gt;M$5),"XXXXX","")</f>
        <v/>
      </c>
      <c r="N23" s="161" t="str">
        <f aca="false">IF(AND($C23&lt;=N$5,$C23+$D23&gt;N$5),"XXXXX","")</f>
        <v/>
      </c>
      <c r="O23" s="161" t="str">
        <f aca="false">IF(AND($C23&lt;=O$5,$C23+$D23&gt;O$5),"XXXXX","")</f>
        <v/>
      </c>
      <c r="P23" s="161" t="str">
        <f aca="false">IF(AND($C23&lt;=P$5,$C23+$D23&gt;P$5),"XXXXX","")</f>
        <v/>
      </c>
      <c r="Q23" s="161" t="str">
        <f aca="false">IF(AND($C23&lt;=Q$5,$C23+$D23&gt;Q$5),"XXXXX","")</f>
        <v/>
      </c>
      <c r="R23" s="161" t="str">
        <f aca="false">IF(AND($C23&lt;=R$5,$C23+$D23&gt;R$5),"XXXXX","")</f>
        <v/>
      </c>
      <c r="S23" s="161" t="str">
        <f aca="false">IF(AND($C23&lt;=S$5,$C23+$D23&gt;S$5),"XXXXX","")</f>
        <v/>
      </c>
      <c r="T23" s="161" t="str">
        <f aca="false">IF(AND($C23&lt;=T$5,$C23+$D23&gt;T$5),"XXXXX","")</f>
        <v/>
      </c>
      <c r="U23" s="161" t="str">
        <f aca="false">IF(AND($C23&lt;=U$5,$C23+$D23&gt;U$5),"XXXXX","")</f>
        <v/>
      </c>
      <c r="V23" s="161" t="str">
        <f aca="false">IF(AND($C23&lt;=V$5,$C23+$D23&gt;V$5),"XXXXX","")</f>
        <v/>
      </c>
      <c r="W23" s="161" t="str">
        <f aca="false">IF(AND($C23&lt;=W$5,$C23+$D23&gt;W$5),"XXXXX","")</f>
        <v/>
      </c>
      <c r="X23" s="16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customFormat="false" ht="14.25" hidden="false" customHeight="true" outlineLevel="0" collapsed="false">
      <c r="A24" s="159" t="str">
        <f aca="false">Mob_Staffing!B23</f>
        <v>Control Room Operators</v>
      </c>
      <c r="B24" s="160" t="n">
        <f aca="false">Mob_Staffing!E23</f>
        <v>0</v>
      </c>
      <c r="C24" s="160" t="n">
        <f aca="false">Mob_Staffing!F23</f>
        <v>0</v>
      </c>
      <c r="D24" s="160" t="n">
        <f aca="false">Mob_Staffing!G23</f>
        <v>-0</v>
      </c>
      <c r="E24" s="161" t="str">
        <f aca="false">IF(AND($C24&lt;=E$5,$C24+$D24&gt;E$5),"XXXXX","")</f>
        <v/>
      </c>
      <c r="F24" s="161" t="str">
        <f aca="false">IF(AND($C24&lt;=F$5,$C24+$D24&gt;F$5),"XXXXX","")</f>
        <v/>
      </c>
      <c r="G24" s="161" t="str">
        <f aca="false">IF(AND($C24&lt;=G$5,$C24+$D24&gt;G$5),"XXXXX","")</f>
        <v/>
      </c>
      <c r="H24" s="161" t="str">
        <f aca="false">IF(AND($C24&lt;=H$5,$C24+$D24&gt;H$5),"XXXXX","")</f>
        <v/>
      </c>
      <c r="I24" s="161" t="str">
        <f aca="false">IF(AND($C24&lt;=I$5,$C24+$D24&gt;I$5),"XXXXX","")</f>
        <v/>
      </c>
      <c r="J24" s="161" t="str">
        <f aca="false">IF(AND($C24&lt;=J$5,$C24+$D24&gt;J$5),"XXXXX","")</f>
        <v/>
      </c>
      <c r="K24" s="161" t="str">
        <f aca="false">IF(AND($C24&lt;=K$5,$C24+$D24&gt;K$5),"XXXXX","")</f>
        <v/>
      </c>
      <c r="L24" s="161" t="str">
        <f aca="false">IF(AND($C24&lt;=L$5,$C24+$D24&gt;L$5),"XXXXX","")</f>
        <v/>
      </c>
      <c r="M24" s="161" t="str">
        <f aca="false">IF(AND($C24&lt;=M$5,$C24+$D24&gt;M$5),"XXXXX","")</f>
        <v/>
      </c>
      <c r="N24" s="161" t="str">
        <f aca="false">IF(AND($C24&lt;=N$5,$C24+$D24&gt;N$5),"XXXXX","")</f>
        <v/>
      </c>
      <c r="O24" s="161" t="str">
        <f aca="false">IF(AND($C24&lt;=O$5,$C24+$D24&gt;O$5),"XXXXX","")</f>
        <v/>
      </c>
      <c r="P24" s="161" t="str">
        <f aca="false">IF(AND($C24&lt;=P$5,$C24+$D24&gt;P$5),"XXXXX","")</f>
        <v/>
      </c>
      <c r="Q24" s="161" t="str">
        <f aca="false">IF(AND($C24&lt;=Q$5,$C24+$D24&gt;Q$5),"XXXXX","")</f>
        <v/>
      </c>
      <c r="R24" s="161" t="str">
        <f aca="false">IF(AND($C24&lt;=R$5,$C24+$D24&gt;R$5),"XXXXX","")</f>
        <v/>
      </c>
      <c r="S24" s="161" t="str">
        <f aca="false">IF(AND($C24&lt;=S$5,$C24+$D24&gt;S$5),"XXXXX","")</f>
        <v/>
      </c>
      <c r="T24" s="161" t="str">
        <f aca="false">IF(AND($C24&lt;=T$5,$C24+$D24&gt;T$5),"XXXXX","")</f>
        <v/>
      </c>
      <c r="U24" s="161" t="str">
        <f aca="false">IF(AND($C24&lt;=U$5,$C24+$D24&gt;U$5),"XXXXX","")</f>
        <v/>
      </c>
      <c r="V24" s="161" t="str">
        <f aca="false">IF(AND($C24&lt;=V$5,$C24+$D24&gt;V$5),"XXXXX","")</f>
        <v/>
      </c>
      <c r="W24" s="161" t="str">
        <f aca="false">IF(AND($C24&lt;=W$5,$C24+$D24&gt;W$5),"XXXXX","")</f>
        <v/>
      </c>
      <c r="X24" s="16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customFormat="false" ht="14.25" hidden="false" customHeight="true" outlineLevel="0" collapsed="false">
      <c r="A25" s="159" t="str">
        <f aca="false">Mob_Staffing!B24</f>
        <v>Turbine Operators</v>
      </c>
      <c r="B25" s="160" t="n">
        <f aca="false">Mob_Staffing!E24</f>
        <v>0</v>
      </c>
      <c r="C25" s="160" t="n">
        <f aca="false">Mob_Staffing!F24</f>
        <v>0</v>
      </c>
      <c r="D25" s="160" t="n">
        <f aca="false">Mob_Staffing!G24</f>
        <v>-0</v>
      </c>
      <c r="E25" s="161" t="str">
        <f aca="false">IF(AND($C25&lt;=E$5,$C25+$D25&gt;E$5),"XXXXX","")</f>
        <v/>
      </c>
      <c r="F25" s="161" t="str">
        <f aca="false">IF(AND($C25&lt;=F$5,$C25+$D25&gt;F$5),"XXXXX","")</f>
        <v/>
      </c>
      <c r="G25" s="161" t="str">
        <f aca="false">IF(AND($C25&lt;=G$5,$C25+$D25&gt;G$5),"XXXXX","")</f>
        <v/>
      </c>
      <c r="H25" s="161" t="str">
        <f aca="false">IF(AND($C25&lt;=H$5,$C25+$D25&gt;H$5),"XXXXX","")</f>
        <v/>
      </c>
      <c r="I25" s="161" t="str">
        <f aca="false">IF(AND($C25&lt;=I$5,$C25+$D25&gt;I$5),"XXXXX","")</f>
        <v/>
      </c>
      <c r="J25" s="161" t="str">
        <f aca="false">IF(AND($C25&lt;=J$5,$C25+$D25&gt;J$5),"XXXXX","")</f>
        <v/>
      </c>
      <c r="K25" s="161" t="str">
        <f aca="false">IF(AND($C25&lt;=K$5,$C25+$D25&gt;K$5),"XXXXX","")</f>
        <v/>
      </c>
      <c r="L25" s="161" t="str">
        <f aca="false">IF(AND($C25&lt;=L$5,$C25+$D25&gt;L$5),"XXXXX","")</f>
        <v/>
      </c>
      <c r="M25" s="161" t="str">
        <f aca="false">IF(AND($C25&lt;=M$5,$C25+$D25&gt;M$5),"XXXXX","")</f>
        <v/>
      </c>
      <c r="N25" s="161" t="str">
        <f aca="false">IF(AND($C25&lt;=N$5,$C25+$D25&gt;N$5),"XXXXX","")</f>
        <v/>
      </c>
      <c r="O25" s="161" t="str">
        <f aca="false">IF(AND($C25&lt;=O$5,$C25+$D25&gt;O$5),"XXXXX","")</f>
        <v/>
      </c>
      <c r="P25" s="161" t="str">
        <f aca="false">IF(AND($C25&lt;=P$5,$C25+$D25&gt;P$5),"XXXXX","")</f>
        <v/>
      </c>
      <c r="Q25" s="161" t="str">
        <f aca="false">IF(AND($C25&lt;=Q$5,$C25+$D25&gt;Q$5),"XXXXX","")</f>
        <v/>
      </c>
      <c r="R25" s="161" t="str">
        <f aca="false">IF(AND($C25&lt;=R$5,$C25+$D25&gt;R$5),"XXXXX","")</f>
        <v/>
      </c>
      <c r="S25" s="161" t="str">
        <f aca="false">IF(AND($C25&lt;=S$5,$C25+$D25&gt;S$5),"XXXXX","")</f>
        <v/>
      </c>
      <c r="T25" s="161" t="str">
        <f aca="false">IF(AND($C25&lt;=T$5,$C25+$D25&gt;T$5),"XXXXX","")</f>
        <v/>
      </c>
      <c r="U25" s="161" t="str">
        <f aca="false">IF(AND($C25&lt;=U$5,$C25+$D25&gt;U$5),"XXXXX","")</f>
        <v/>
      </c>
      <c r="V25" s="161" t="str">
        <f aca="false">IF(AND($C25&lt;=V$5,$C25+$D25&gt;V$5),"XXXXX","")</f>
        <v/>
      </c>
      <c r="W25" s="161" t="str">
        <f aca="false">IF(AND($C25&lt;=W$5,$C25+$D25&gt;W$5),"XXXXX","")</f>
        <v/>
      </c>
      <c r="X25" s="16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customFormat="false" ht="14.25" hidden="false" customHeight="true" outlineLevel="0" collapsed="false">
      <c r="A26" s="159" t="str">
        <f aca="false">Mob_Staffing!B25</f>
        <v>Water System Opertors</v>
      </c>
      <c r="B26" s="160" t="n">
        <f aca="false">Mob_Staffing!E25</f>
        <v>0</v>
      </c>
      <c r="C26" s="160" t="n">
        <f aca="false">Mob_Staffing!F25</f>
        <v>0</v>
      </c>
      <c r="D26" s="160" t="n">
        <f aca="false">Mob_Staffing!G25</f>
        <v>-0</v>
      </c>
      <c r="E26" s="161" t="str">
        <f aca="false">IF(AND($C26&lt;=E$5,$C26+$D26&gt;E$5),"XXXXX","")</f>
        <v/>
      </c>
      <c r="F26" s="161" t="str">
        <f aca="false">IF(AND($C26&lt;=F$5,$C26+$D26&gt;F$5),"XXXXX","")</f>
        <v/>
      </c>
      <c r="G26" s="161" t="str">
        <f aca="false">IF(AND($C26&lt;=G$5,$C26+$D26&gt;G$5),"XXXXX","")</f>
        <v/>
      </c>
      <c r="H26" s="161" t="str">
        <f aca="false">IF(AND($C26&lt;=H$5,$C26+$D26&gt;H$5),"XXXXX","")</f>
        <v/>
      </c>
      <c r="I26" s="161" t="str">
        <f aca="false">IF(AND($C26&lt;=I$5,$C26+$D26&gt;I$5),"XXXXX","")</f>
        <v/>
      </c>
      <c r="J26" s="161" t="str">
        <f aca="false">IF(AND($C26&lt;=J$5,$C26+$D26&gt;J$5),"XXXXX","")</f>
        <v/>
      </c>
      <c r="K26" s="161" t="str">
        <f aca="false">IF(AND($C26&lt;=K$5,$C26+$D26&gt;K$5),"XXXXX","")</f>
        <v/>
      </c>
      <c r="L26" s="161" t="str">
        <f aca="false">IF(AND($C26&lt;=L$5,$C26+$D26&gt;L$5),"XXXXX","")</f>
        <v/>
      </c>
      <c r="M26" s="161" t="str">
        <f aca="false">IF(AND($C26&lt;=M$5,$C26+$D26&gt;M$5),"XXXXX","")</f>
        <v/>
      </c>
      <c r="N26" s="161" t="str">
        <f aca="false">IF(AND($C26&lt;=N$5,$C26+$D26&gt;N$5),"XXXXX","")</f>
        <v/>
      </c>
      <c r="O26" s="161" t="str">
        <f aca="false">IF(AND($C26&lt;=O$5,$C26+$D26&gt;O$5),"XXXXX","")</f>
        <v/>
      </c>
      <c r="P26" s="161" t="str">
        <f aca="false">IF(AND($C26&lt;=P$5,$C26+$D26&gt;P$5),"XXXXX","")</f>
        <v/>
      </c>
      <c r="Q26" s="161" t="str">
        <f aca="false">IF(AND($C26&lt;=Q$5,$C26+$D26&gt;Q$5),"XXXXX","")</f>
        <v/>
      </c>
      <c r="R26" s="161" t="str">
        <f aca="false">IF(AND($C26&lt;=R$5,$C26+$D26&gt;R$5),"XXXXX","")</f>
        <v/>
      </c>
      <c r="S26" s="161" t="str">
        <f aca="false">IF(AND($C26&lt;=S$5,$C26+$D26&gt;S$5),"XXXXX","")</f>
        <v/>
      </c>
      <c r="T26" s="161" t="str">
        <f aca="false">IF(AND($C26&lt;=T$5,$C26+$D26&gt;T$5),"XXXXX","")</f>
        <v/>
      </c>
      <c r="U26" s="161" t="str">
        <f aca="false">IF(AND($C26&lt;=U$5,$C26+$D26&gt;U$5),"XXXXX","")</f>
        <v/>
      </c>
      <c r="V26" s="161" t="str">
        <f aca="false">IF(AND($C26&lt;=V$5,$C26+$D26&gt;V$5),"XXXXX","")</f>
        <v/>
      </c>
      <c r="W26" s="161" t="str">
        <f aca="false">IF(AND($C26&lt;=W$5,$C26+$D26&gt;W$5),"XXXXX","")</f>
        <v/>
      </c>
      <c r="X26" s="16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customFormat="false" ht="14.25" hidden="false" customHeight="true" outlineLevel="0" collapsed="false">
      <c r="A27" s="159" t="str">
        <f aca="false">Mob_Staffing!B26</f>
        <v>Fuel Storage/Handling Operators</v>
      </c>
      <c r="B27" s="160" t="n">
        <f aca="false">Mob_Staffing!E26</f>
        <v>0</v>
      </c>
      <c r="C27" s="160" t="n">
        <f aca="false">Mob_Staffing!F26</f>
        <v>0</v>
      </c>
      <c r="D27" s="160" t="n">
        <f aca="false">Mob_Staffing!G26</f>
        <v>-0</v>
      </c>
      <c r="E27" s="161" t="str">
        <f aca="false">IF(AND($C27&lt;=E$5,$C27+$D27&gt;E$5),"XXXXX","")</f>
        <v/>
      </c>
      <c r="F27" s="161" t="str">
        <f aca="false">IF(AND($C27&lt;=F$5,$C27+$D27&gt;F$5),"XXXXX","")</f>
        <v/>
      </c>
      <c r="G27" s="161" t="str">
        <f aca="false">IF(AND($C27&lt;=G$5,$C27+$D27&gt;G$5),"XXXXX","")</f>
        <v/>
      </c>
      <c r="H27" s="161" t="str">
        <f aca="false">IF(AND($C27&lt;=H$5,$C27+$D27&gt;H$5),"XXXXX","")</f>
        <v/>
      </c>
      <c r="I27" s="161" t="str">
        <f aca="false">IF(AND($C27&lt;=I$5,$C27+$D27&gt;I$5),"XXXXX","")</f>
        <v/>
      </c>
      <c r="J27" s="161" t="str">
        <f aca="false">IF(AND($C27&lt;=J$5,$C27+$D27&gt;J$5),"XXXXX","")</f>
        <v/>
      </c>
      <c r="K27" s="161" t="str">
        <f aca="false">IF(AND($C27&lt;=K$5,$C27+$D27&gt;K$5),"XXXXX","")</f>
        <v/>
      </c>
      <c r="L27" s="161" t="str">
        <f aca="false">IF(AND($C27&lt;=L$5,$C27+$D27&gt;L$5),"XXXXX","")</f>
        <v/>
      </c>
      <c r="M27" s="161" t="str">
        <f aca="false">IF(AND($C27&lt;=M$5,$C27+$D27&gt;M$5),"XXXXX","")</f>
        <v/>
      </c>
      <c r="N27" s="161" t="str">
        <f aca="false">IF(AND($C27&lt;=N$5,$C27+$D27&gt;N$5),"XXXXX","")</f>
        <v/>
      </c>
      <c r="O27" s="161" t="str">
        <f aca="false">IF(AND($C27&lt;=O$5,$C27+$D27&gt;O$5),"XXXXX","")</f>
        <v/>
      </c>
      <c r="P27" s="161" t="str">
        <f aca="false">IF(AND($C27&lt;=P$5,$C27+$D27&gt;P$5),"XXXXX","")</f>
        <v/>
      </c>
      <c r="Q27" s="161" t="str">
        <f aca="false">IF(AND($C27&lt;=Q$5,$C27+$D27&gt;Q$5),"XXXXX","")</f>
        <v/>
      </c>
      <c r="R27" s="161" t="str">
        <f aca="false">IF(AND($C27&lt;=R$5,$C27+$D27&gt;R$5),"XXXXX","")</f>
        <v/>
      </c>
      <c r="S27" s="161" t="str">
        <f aca="false">IF(AND($C27&lt;=S$5,$C27+$D27&gt;S$5),"XXXXX","")</f>
        <v/>
      </c>
      <c r="T27" s="161" t="str">
        <f aca="false">IF(AND($C27&lt;=T$5,$C27+$D27&gt;T$5),"XXXXX","")</f>
        <v/>
      </c>
      <c r="U27" s="161" t="str">
        <f aca="false">IF(AND($C27&lt;=U$5,$C27+$D27&gt;U$5),"XXXXX","")</f>
        <v/>
      </c>
      <c r="V27" s="161" t="str">
        <f aca="false">IF(AND($C27&lt;=V$5,$C27+$D27&gt;V$5),"XXXXX","")</f>
        <v/>
      </c>
      <c r="W27" s="161" t="str">
        <f aca="false">IF(AND($C27&lt;=W$5,$C27+$D27&gt;W$5),"XXXXX","")</f>
        <v/>
      </c>
      <c r="X27" s="16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customFormat="false" ht="14.25" hidden="false" customHeight="true" outlineLevel="0" collapsed="false">
      <c r="A28" s="159" t="str">
        <f aca="false">Mob_Staffing!B27</f>
        <v>Utility Operators</v>
      </c>
      <c r="B28" s="160" t="n">
        <f aca="false">Mob_Staffing!E27</f>
        <v>0</v>
      </c>
      <c r="C28" s="160" t="n">
        <f aca="false">Mob_Staffing!F27</f>
        <v>0</v>
      </c>
      <c r="D28" s="160" t="n">
        <f aca="false">Mob_Staffing!G27</f>
        <v>-0</v>
      </c>
      <c r="E28" s="161" t="str">
        <f aca="false">IF(AND($C28&lt;=E$5,$C28+$D28&gt;E$5),"XXXXX","")</f>
        <v/>
      </c>
      <c r="F28" s="161" t="str">
        <f aca="false">IF(AND($C28&lt;=F$5,$C28+$D28&gt;F$5),"XXXXX","")</f>
        <v/>
      </c>
      <c r="G28" s="161" t="str">
        <f aca="false">IF(AND($C28&lt;=G$5,$C28+$D28&gt;G$5),"XXXXX","")</f>
        <v/>
      </c>
      <c r="H28" s="161" t="str">
        <f aca="false">IF(AND($C28&lt;=H$5,$C28+$D28&gt;H$5),"XXXXX","")</f>
        <v/>
      </c>
      <c r="I28" s="161" t="str">
        <f aca="false">IF(AND($C28&lt;=I$5,$C28+$D28&gt;I$5),"XXXXX","")</f>
        <v/>
      </c>
      <c r="J28" s="161" t="str">
        <f aca="false">IF(AND($C28&lt;=J$5,$C28+$D28&gt;J$5),"XXXXX","")</f>
        <v/>
      </c>
      <c r="K28" s="161" t="str">
        <f aca="false">IF(AND($C28&lt;=K$5,$C28+$D28&gt;K$5),"XXXXX","")</f>
        <v/>
      </c>
      <c r="L28" s="161" t="str">
        <f aca="false">IF(AND($C28&lt;=L$5,$C28+$D28&gt;L$5),"XXXXX","")</f>
        <v/>
      </c>
      <c r="M28" s="161" t="str">
        <f aca="false">IF(AND($C28&lt;=M$5,$C28+$D28&gt;M$5),"XXXXX","")</f>
        <v/>
      </c>
      <c r="N28" s="161" t="str">
        <f aca="false">IF(AND($C28&lt;=N$5,$C28+$D28&gt;N$5),"XXXXX","")</f>
        <v/>
      </c>
      <c r="O28" s="161" t="str">
        <f aca="false">IF(AND($C28&lt;=O$5,$C28+$D28&gt;O$5),"XXXXX","")</f>
        <v/>
      </c>
      <c r="P28" s="161" t="str">
        <f aca="false">IF(AND($C28&lt;=P$5,$C28+$D28&gt;P$5),"XXXXX","")</f>
        <v/>
      </c>
      <c r="Q28" s="161" t="str">
        <f aca="false">IF(AND($C28&lt;=Q$5,$C28+$D28&gt;Q$5),"XXXXX","")</f>
        <v/>
      </c>
      <c r="R28" s="161" t="str">
        <f aca="false">IF(AND($C28&lt;=R$5,$C28+$D28&gt;R$5),"XXXXX","")</f>
        <v/>
      </c>
      <c r="S28" s="161" t="str">
        <f aca="false">IF(AND($C28&lt;=S$5,$C28+$D28&gt;S$5),"XXXXX","")</f>
        <v/>
      </c>
      <c r="T28" s="161" t="str">
        <f aca="false">IF(AND($C28&lt;=T$5,$C28+$D28&gt;T$5),"XXXXX","")</f>
        <v/>
      </c>
      <c r="U28" s="161" t="str">
        <f aca="false">IF(AND($C28&lt;=U$5,$C28+$D28&gt;U$5),"XXXXX","")</f>
        <v/>
      </c>
      <c r="V28" s="161" t="str">
        <f aca="false">IF(AND($C28&lt;=V$5,$C28+$D28&gt;V$5),"XXXXX","")</f>
        <v/>
      </c>
      <c r="W28" s="161" t="str">
        <f aca="false">IF(AND($C28&lt;=W$5,$C28+$D28&gt;W$5),"XXXXX","")</f>
        <v/>
      </c>
      <c r="X28" s="16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customFormat="false" ht="14.25" hidden="false" customHeight="true" outlineLevel="0" collapsed="false">
      <c r="A29" s="159" t="str">
        <f aca="false">Mob_Staffing!B28</f>
        <v>Chemist</v>
      </c>
      <c r="B29" s="160" t="n">
        <f aca="false">Mob_Staffing!E28</f>
        <v>0</v>
      </c>
      <c r="C29" s="160" t="n">
        <f aca="false">Mob_Staffing!F28</f>
        <v>0</v>
      </c>
      <c r="D29" s="160" t="n">
        <f aca="false">Mob_Staffing!G28</f>
        <v>-0</v>
      </c>
      <c r="E29" s="161" t="str">
        <f aca="false">IF(AND($C29&lt;=E$5,$C29+$D29&gt;E$5),"XXXXX","")</f>
        <v/>
      </c>
      <c r="F29" s="161" t="str">
        <f aca="false">IF(AND($C29&lt;=F$5,$C29+$D29&gt;F$5),"XXXXX","")</f>
        <v/>
      </c>
      <c r="G29" s="161" t="str">
        <f aca="false">IF(AND($C29&lt;=G$5,$C29+$D29&gt;G$5),"XXXXX","")</f>
        <v/>
      </c>
      <c r="H29" s="161" t="str">
        <f aca="false">IF(AND($C29&lt;=H$5,$C29+$D29&gt;H$5),"XXXXX","")</f>
        <v/>
      </c>
      <c r="I29" s="161" t="str">
        <f aca="false">IF(AND($C29&lt;=I$5,$C29+$D29&gt;I$5),"XXXXX","")</f>
        <v/>
      </c>
      <c r="J29" s="161" t="str">
        <f aca="false">IF(AND($C29&lt;=J$5,$C29+$D29&gt;J$5),"XXXXX","")</f>
        <v/>
      </c>
      <c r="K29" s="161" t="str">
        <f aca="false">IF(AND($C29&lt;=K$5,$C29+$D29&gt;K$5),"XXXXX","")</f>
        <v/>
      </c>
      <c r="L29" s="161" t="str">
        <f aca="false">IF(AND($C29&lt;=L$5,$C29+$D29&gt;L$5),"XXXXX","")</f>
        <v/>
      </c>
      <c r="M29" s="161" t="str">
        <f aca="false">IF(AND($C29&lt;=M$5,$C29+$D29&gt;M$5),"XXXXX","")</f>
        <v/>
      </c>
      <c r="N29" s="161" t="str">
        <f aca="false">IF(AND($C29&lt;=N$5,$C29+$D29&gt;N$5),"XXXXX","")</f>
        <v/>
      </c>
      <c r="O29" s="161" t="str">
        <f aca="false">IF(AND($C29&lt;=O$5,$C29+$D29&gt;O$5),"XXXXX","")</f>
        <v/>
      </c>
      <c r="P29" s="161" t="str">
        <f aca="false">IF(AND($C29&lt;=P$5,$C29+$D29&gt;P$5),"XXXXX","")</f>
        <v/>
      </c>
      <c r="Q29" s="161" t="str">
        <f aca="false">IF(AND($C29&lt;=Q$5,$C29+$D29&gt;Q$5),"XXXXX","")</f>
        <v/>
      </c>
      <c r="R29" s="161" t="str">
        <f aca="false">IF(AND($C29&lt;=R$5,$C29+$D29&gt;R$5),"XXXXX","")</f>
        <v/>
      </c>
      <c r="S29" s="161" t="str">
        <f aca="false">IF(AND($C29&lt;=S$5,$C29+$D29&gt;S$5),"XXXXX","")</f>
        <v/>
      </c>
      <c r="T29" s="161" t="str">
        <f aca="false">IF(AND($C29&lt;=T$5,$C29+$D29&gt;T$5),"XXXXX","")</f>
        <v/>
      </c>
      <c r="U29" s="161" t="str">
        <f aca="false">IF(AND($C29&lt;=U$5,$C29+$D29&gt;U$5),"XXXXX","")</f>
        <v/>
      </c>
      <c r="V29" s="161" t="str">
        <f aca="false">IF(AND($C29&lt;=V$5,$C29+$D29&gt;V$5),"XXXXX","")</f>
        <v/>
      </c>
      <c r="W29" s="161" t="str">
        <f aca="false">IF(AND($C29&lt;=W$5,$C29+$D29&gt;W$5),"XXXXX","")</f>
        <v/>
      </c>
      <c r="X29" s="16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customFormat="false" ht="14.25" hidden="false" customHeight="true" outlineLevel="0" collapsed="false">
      <c r="A30" s="159" t="str">
        <f aca="false">Mob_Staffing!B29</f>
        <v>Tech III</v>
      </c>
      <c r="B30" s="160" t="n">
        <f aca="false">Mob_Staffing!E29</f>
        <v>4</v>
      </c>
      <c r="C30" s="160" t="n">
        <f aca="false">Mob_Staffing!F29</f>
        <v>-6</v>
      </c>
      <c r="D30" s="160" t="n">
        <f aca="false">Mob_Staffing!G29</f>
        <v>6</v>
      </c>
      <c r="E30" s="161" t="str">
        <f aca="false">IF(AND($C30&lt;=E$5,$C30+$D30&gt;E$5),"XXXXX","")</f>
        <v/>
      </c>
      <c r="F30" s="161" t="str">
        <f aca="false">IF(AND($C30&lt;=F$5,$C30+$D30&gt;F$5),"XXXXX","")</f>
        <v/>
      </c>
      <c r="G30" s="161" t="str">
        <f aca="false">IF(AND($C30&lt;=G$5,$C30+$D30&gt;G$5),"XXXXX","")</f>
        <v/>
      </c>
      <c r="H30" s="161" t="str">
        <f aca="false">IF(AND($C30&lt;=H$5,$C30+$D30&gt;H$5),"XXXXX","")</f>
        <v/>
      </c>
      <c r="I30" s="161" t="str">
        <f aca="false">IF(AND($C30&lt;=I$5,$C30+$D30&gt;I$5),"XXXXX","")</f>
        <v/>
      </c>
      <c r="J30" s="161" t="str">
        <f aca="false">IF(AND($C30&lt;=J$5,$C30+$D30&gt;J$5),"XXXXX","")</f>
        <v/>
      </c>
      <c r="K30" s="161" t="str">
        <f aca="false">IF(AND($C30&lt;=K$5,$C30+$D30&gt;K$5),"XXXXX","")</f>
        <v/>
      </c>
      <c r="L30" s="161" t="str">
        <f aca="false">IF(AND($C30&lt;=L$5,$C30+$D30&gt;L$5),"XXXXX","")</f>
        <v/>
      </c>
      <c r="M30" s="161" t="str">
        <f aca="false">IF(AND($C30&lt;=M$5,$C30+$D30&gt;M$5),"XXXXX","")</f>
        <v/>
      </c>
      <c r="N30" s="161" t="str">
        <f aca="false">IF(AND($C30&lt;=N$5,$C30+$D30&gt;N$5),"XXXXX","")</f>
        <v/>
      </c>
      <c r="O30" s="161" t="str">
        <f aca="false">IF(AND($C30&lt;=O$5,$C30+$D30&gt;O$5),"XXXXX","")</f>
        <v/>
      </c>
      <c r="P30" s="161" t="str">
        <f aca="false">IF(AND($C30&lt;=P$5,$C30+$D30&gt;P$5),"XXXXX","")</f>
        <v/>
      </c>
      <c r="Q30" s="161" t="str">
        <f aca="false">IF(AND($C30&lt;=Q$5,$C30+$D30&gt;Q$5),"XXXXX","")</f>
        <v/>
      </c>
      <c r="R30" s="161" t="str">
        <f aca="false">IF(AND($C30&lt;=R$5,$C30+$D30&gt;R$5),"XXXXX","")</f>
        <v>XXXXX</v>
      </c>
      <c r="S30" s="161" t="str">
        <f aca="false">IF(AND($C30&lt;=S$5,$C30+$D30&gt;S$5),"XXXXX","")</f>
        <v>XXXXX</v>
      </c>
      <c r="T30" s="161" t="str">
        <f aca="false">IF(AND($C30&lt;=T$5,$C30+$D30&gt;T$5),"XXXXX","")</f>
        <v>XXXXX</v>
      </c>
      <c r="U30" s="161" t="str">
        <f aca="false">IF(AND($C30&lt;=U$5,$C30+$D30&gt;U$5),"XXXXX","")</f>
        <v>XXXXX</v>
      </c>
      <c r="V30" s="161" t="str">
        <f aca="false">IF(AND($C30&lt;=V$5,$C30+$D30&gt;V$5),"XXXXX","")</f>
        <v>XXXXX</v>
      </c>
      <c r="W30" s="161" t="str">
        <f aca="false">IF(AND($C30&lt;=W$5,$C30+$D30&gt;W$5),"XXXXX","")</f>
        <v>XXXXX</v>
      </c>
      <c r="X30" s="16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customFormat="false" ht="14.25" hidden="false" customHeight="true" outlineLevel="0" collapsed="false">
      <c r="A31" s="159" t="str">
        <f aca="false">Mob_Staffing!B30</f>
        <v>Tech II</v>
      </c>
      <c r="B31" s="160" t="n">
        <f aca="false">Mob_Staffing!E30</f>
        <v>4</v>
      </c>
      <c r="C31" s="160" t="n">
        <f aca="false">Mob_Staffing!F30</f>
        <v>-6</v>
      </c>
      <c r="D31" s="160" t="n">
        <f aca="false">Mob_Staffing!G30</f>
        <v>6</v>
      </c>
      <c r="E31" s="161" t="str">
        <f aca="false">IF(AND($C31&lt;=E$5,$C31+$D31&gt;E$5),"XXXXX","")</f>
        <v/>
      </c>
      <c r="F31" s="161" t="str">
        <f aca="false">IF(AND($C31&lt;=F$5,$C31+$D31&gt;F$5),"XXXXX","")</f>
        <v/>
      </c>
      <c r="G31" s="161" t="str">
        <f aca="false">IF(AND($C31&lt;=G$5,$C31+$D31&gt;G$5),"XXXXX","")</f>
        <v/>
      </c>
      <c r="H31" s="161" t="str">
        <f aca="false">IF(AND($C31&lt;=H$5,$C31+$D31&gt;H$5),"XXXXX","")</f>
        <v/>
      </c>
      <c r="I31" s="161" t="str">
        <f aca="false">IF(AND($C31&lt;=I$5,$C31+$D31&gt;I$5),"XXXXX","")</f>
        <v/>
      </c>
      <c r="J31" s="161" t="str">
        <f aca="false">IF(AND($C31&lt;=J$5,$C31+$D31&gt;J$5),"XXXXX","")</f>
        <v/>
      </c>
      <c r="K31" s="161" t="str">
        <f aca="false">IF(AND($C31&lt;=K$5,$C31+$D31&gt;K$5),"XXXXX","")</f>
        <v/>
      </c>
      <c r="L31" s="161" t="str">
        <f aca="false">IF(AND($C31&lt;=L$5,$C31+$D31&gt;L$5),"XXXXX","")</f>
        <v/>
      </c>
      <c r="M31" s="161" t="str">
        <f aca="false">IF(AND($C31&lt;=M$5,$C31+$D31&gt;M$5),"XXXXX","")</f>
        <v/>
      </c>
      <c r="N31" s="161" t="str">
        <f aca="false">IF(AND($C31&lt;=N$5,$C31+$D31&gt;N$5),"XXXXX","")</f>
        <v/>
      </c>
      <c r="O31" s="161" t="str">
        <f aca="false">IF(AND($C31&lt;=O$5,$C31+$D31&gt;O$5),"XXXXX","")</f>
        <v/>
      </c>
      <c r="P31" s="161" t="str">
        <f aca="false">IF(AND($C31&lt;=P$5,$C31+$D31&gt;P$5),"XXXXX","")</f>
        <v/>
      </c>
      <c r="Q31" s="161" t="str">
        <f aca="false">IF(AND($C31&lt;=Q$5,$C31+$D31&gt;Q$5),"XXXXX","")</f>
        <v/>
      </c>
      <c r="R31" s="161" t="str">
        <f aca="false">IF(AND($C31&lt;=R$5,$C31+$D31&gt;R$5),"XXXXX","")</f>
        <v>XXXXX</v>
      </c>
      <c r="S31" s="161" t="str">
        <f aca="false">IF(AND($C31&lt;=S$5,$C31+$D31&gt;S$5),"XXXXX","")</f>
        <v>XXXXX</v>
      </c>
      <c r="T31" s="161" t="str">
        <f aca="false">IF(AND($C31&lt;=T$5,$C31+$D31&gt;T$5),"XXXXX","")</f>
        <v>XXXXX</v>
      </c>
      <c r="U31" s="161" t="str">
        <f aca="false">IF(AND($C31&lt;=U$5,$C31+$D31&gt;U$5),"XXXXX","")</f>
        <v>XXXXX</v>
      </c>
      <c r="V31" s="161" t="str">
        <f aca="false">IF(AND($C31&lt;=V$5,$C31+$D31&gt;V$5),"XXXXX","")</f>
        <v>XXXXX</v>
      </c>
      <c r="W31" s="161" t="str">
        <f aca="false">IF(AND($C31&lt;=W$5,$C31+$D31&gt;W$5),"XXXXX","")</f>
        <v>XXXXX</v>
      </c>
      <c r="X31" s="166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</row>
    <row r="32" customFormat="false" ht="14.25" hidden="false" customHeight="true" outlineLevel="0" collapsed="false">
      <c r="A32" s="159" t="str">
        <f aca="false">Mob_Staffing!B31</f>
        <v>Other</v>
      </c>
      <c r="B32" s="160" t="n">
        <f aca="false">Mob_Staffing!E31</f>
        <v>0</v>
      </c>
      <c r="C32" s="160" t="n">
        <f aca="false">Mob_Staffing!F31</f>
        <v>0</v>
      </c>
      <c r="D32" s="160" t="n">
        <f aca="false">Mob_Staffing!G31</f>
        <v>-0</v>
      </c>
      <c r="E32" s="161" t="str">
        <f aca="false">IF(AND($C32&lt;=E$5,$C32+$D32&gt;E$5),"XXXXX","")</f>
        <v/>
      </c>
      <c r="F32" s="161" t="str">
        <f aca="false">IF(AND($C32&lt;=F$5,$C32+$D32&gt;F$5),"XXXXX","")</f>
        <v/>
      </c>
      <c r="G32" s="161" t="str">
        <f aca="false">IF(AND($C32&lt;=G$5,$C32+$D32&gt;G$5),"XXXXX","")</f>
        <v/>
      </c>
      <c r="H32" s="161" t="str">
        <f aca="false">IF(AND($C32&lt;=H$5,$C32+$D32&gt;H$5),"XXXXX","")</f>
        <v/>
      </c>
      <c r="I32" s="161" t="str">
        <f aca="false">IF(AND($C32&lt;=I$5,$C32+$D32&gt;I$5),"XXXXX","")</f>
        <v/>
      </c>
      <c r="J32" s="161" t="str">
        <f aca="false">IF(AND($C32&lt;=J$5,$C32+$D32&gt;J$5),"XXXXX","")</f>
        <v/>
      </c>
      <c r="K32" s="161" t="str">
        <f aca="false">IF(AND($C32&lt;=K$5,$C32+$D32&gt;K$5),"XXXXX","")</f>
        <v/>
      </c>
      <c r="L32" s="161" t="str">
        <f aca="false">IF(AND($C32&lt;=L$5,$C32+$D32&gt;L$5),"XXXXX","")</f>
        <v/>
      </c>
      <c r="M32" s="161" t="str">
        <f aca="false">IF(AND($C32&lt;=M$5,$C32+$D32&gt;M$5),"XXXXX","")</f>
        <v/>
      </c>
      <c r="N32" s="161" t="str">
        <f aca="false">IF(AND($C32&lt;=N$5,$C32+$D32&gt;N$5),"XXXXX","")</f>
        <v/>
      </c>
      <c r="O32" s="161" t="str">
        <f aca="false">IF(AND($C32&lt;=O$5,$C32+$D32&gt;O$5),"XXXXX","")</f>
        <v/>
      </c>
      <c r="P32" s="161" t="str">
        <f aca="false">IF(AND($C32&lt;=P$5,$C32+$D32&gt;P$5),"XXXXX","")</f>
        <v/>
      </c>
      <c r="Q32" s="161" t="str">
        <f aca="false">IF(AND($C32&lt;=Q$5,$C32+$D32&gt;Q$5),"XXXXX","")</f>
        <v/>
      </c>
      <c r="R32" s="161" t="str">
        <f aca="false">IF(AND($C32&lt;=R$5,$C32+$D32&gt;R$5),"XXXXX","")</f>
        <v/>
      </c>
      <c r="S32" s="161" t="str">
        <f aca="false">IF(AND($C32&lt;=S$5,$C32+$D32&gt;S$5),"XXXXX","")</f>
        <v/>
      </c>
      <c r="T32" s="161" t="str">
        <f aca="false">IF(AND($C32&lt;=T$5,$C32+$D32&gt;T$5),"XXXXX","")</f>
        <v/>
      </c>
      <c r="U32" s="161" t="str">
        <f aca="false">IF(AND($C32&lt;=U$5,$C32+$D32&gt;U$5),"XXXXX","")</f>
        <v/>
      </c>
      <c r="V32" s="161" t="str">
        <f aca="false">IF(AND($C32&lt;=V$5,$C32+$D32&gt;V$5),"XXXXX","")</f>
        <v/>
      </c>
      <c r="W32" s="161" t="str">
        <f aca="false">IF(AND($C32&lt;=W$5,$C32+$D32&gt;W$5),"XXXXX","")</f>
        <v/>
      </c>
      <c r="X32" s="16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customFormat="false" ht="14.25" hidden="false" customHeight="true" outlineLevel="0" collapsed="false">
      <c r="A33" s="159"/>
      <c r="B33" s="157"/>
      <c r="C33" s="157"/>
      <c r="D33" s="0"/>
      <c r="E33" s="163"/>
      <c r="F33" s="163"/>
      <c r="G33" s="163"/>
      <c r="H33" s="163"/>
      <c r="I33" s="163"/>
      <c r="J33" s="163"/>
      <c r="K33" s="163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58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customFormat="false" ht="14.25" hidden="false" customHeight="true" outlineLevel="0" collapsed="false">
      <c r="A34" s="165" t="s">
        <v>212</v>
      </c>
      <c r="B34" s="157"/>
      <c r="C34" s="157"/>
      <c r="D34" s="0"/>
      <c r="E34" s="163"/>
      <c r="F34" s="163"/>
      <c r="G34" s="163"/>
      <c r="H34" s="163"/>
      <c r="I34" s="163"/>
      <c r="J34" s="163"/>
      <c r="K34" s="163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58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customFormat="false" ht="14.25" hidden="false" customHeight="true" outlineLevel="0" collapsed="false">
      <c r="A35" s="159" t="str">
        <f aca="false">Mob_Staffing!B34</f>
        <v>Maintenance Manager</v>
      </c>
      <c r="B35" s="160" t="n">
        <f aca="false">Mob_Staffing!E34</f>
        <v>1</v>
      </c>
      <c r="C35" s="160" t="n">
        <f aca="false">Mob_Staffing!F34</f>
        <v>-9</v>
      </c>
      <c r="D35" s="160" t="n">
        <f aca="false">Mob_Staffing!G34</f>
        <v>9</v>
      </c>
      <c r="E35" s="161" t="str">
        <f aca="false">IF(AND($C35&lt;=E$5,$C35+$D35&gt;E$5),"XXXXX","")</f>
        <v/>
      </c>
      <c r="F35" s="161" t="str">
        <f aca="false">IF(AND($C35&lt;=F$5,$C35+$D35&gt;F$5),"XXXXX","")</f>
        <v/>
      </c>
      <c r="G35" s="161" t="str">
        <f aca="false">IF(AND($C35&lt;=G$5,$C35+$D35&gt;G$5),"XXXXX","")</f>
        <v/>
      </c>
      <c r="H35" s="161" t="str">
        <f aca="false">IF(AND($C35&lt;=H$5,$C35+$D35&gt;H$5),"XXXXX","")</f>
        <v/>
      </c>
      <c r="I35" s="161" t="str">
        <f aca="false">IF(AND($C35&lt;=I$5,$C35+$D35&gt;I$5),"XXXXX","")</f>
        <v/>
      </c>
      <c r="J35" s="161" t="str">
        <f aca="false">IF(AND($C35&lt;=J$5,$C35+$D35&gt;J$5),"XXXXX","")</f>
        <v/>
      </c>
      <c r="K35" s="161" t="str">
        <f aca="false">IF(AND($C35&lt;=K$5,$C35+$D35&gt;K$5),"XXXXX","")</f>
        <v/>
      </c>
      <c r="L35" s="161" t="str">
        <f aca="false">IF(AND($C35&lt;=L$5,$C35+$D35&gt;L$5),"XXXXX","")</f>
        <v/>
      </c>
      <c r="M35" s="161" t="str">
        <f aca="false">IF(AND($C35&lt;=M$5,$C35+$D35&gt;M$5),"XXXXX","")</f>
        <v/>
      </c>
      <c r="N35" s="161" t="str">
        <f aca="false">IF(AND($C35&lt;=N$5,$C35+$D35&gt;N$5),"XXXXX","")</f>
        <v/>
      </c>
      <c r="O35" s="161" t="str">
        <f aca="false">IF(AND($C35&lt;=O$5,$C35+$D35&gt;O$5),"XXXXX","")</f>
        <v>XXXXX</v>
      </c>
      <c r="P35" s="161" t="str">
        <f aca="false">IF(AND($C35&lt;=P$5,$C35+$D35&gt;P$5),"XXXXX","")</f>
        <v>XXXXX</v>
      </c>
      <c r="Q35" s="161" t="str">
        <f aca="false">IF(AND($C35&lt;=Q$5,$C35+$D35&gt;Q$5),"XXXXX","")</f>
        <v>XXXXX</v>
      </c>
      <c r="R35" s="161" t="str">
        <f aca="false">IF(AND($C35&lt;=R$5,$C35+$D35&gt;R$5),"XXXXX","")</f>
        <v>XXXXX</v>
      </c>
      <c r="S35" s="161" t="str">
        <f aca="false">IF(AND($C35&lt;=S$5,$C35+$D35&gt;S$5),"XXXXX","")</f>
        <v>XXXXX</v>
      </c>
      <c r="T35" s="161" t="str">
        <f aca="false">IF(AND($C35&lt;=T$5,$C35+$D35&gt;T$5),"XXXXX","")</f>
        <v>XXXXX</v>
      </c>
      <c r="U35" s="161" t="str">
        <f aca="false">IF(AND($C35&lt;=U$5,$C35+$D35&gt;U$5),"XXXXX","")</f>
        <v>XXXXX</v>
      </c>
      <c r="V35" s="161" t="str">
        <f aca="false">IF(AND($C35&lt;=V$5,$C35+$D35&gt;V$5),"XXXXX","")</f>
        <v>XXXXX</v>
      </c>
      <c r="W35" s="161" t="str">
        <f aca="false">IF(AND($C35&lt;=W$5,$C35+$D35&gt;W$5),"XXXXX","")</f>
        <v>XXXXX</v>
      </c>
      <c r="X35" s="16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customFormat="false" ht="14.25" hidden="false" customHeight="true" outlineLevel="0" collapsed="false">
      <c r="A36" s="159" t="str">
        <f aca="false">Mob_Staffing!B35</f>
        <v>Mechanical Engineer</v>
      </c>
      <c r="B36" s="160" t="n">
        <f aca="false">Mob_Staffing!E35</f>
        <v>0</v>
      </c>
      <c r="C36" s="160" t="n">
        <f aca="false">Mob_Staffing!F35</f>
        <v>0</v>
      </c>
      <c r="D36" s="160" t="n">
        <f aca="false">Mob_Staffing!G35</f>
        <v>-0</v>
      </c>
      <c r="E36" s="161" t="str">
        <f aca="false">IF(AND($C36&lt;=E$5,$C36+$D36&gt;E$5),"XXXXX","")</f>
        <v/>
      </c>
      <c r="F36" s="161" t="str">
        <f aca="false">IF(AND($C36&lt;=F$5,$C36+$D36&gt;F$5),"XXXXX","")</f>
        <v/>
      </c>
      <c r="G36" s="161" t="str">
        <f aca="false">IF(AND($C36&lt;=G$5,$C36+$D36&gt;G$5),"XXXXX","")</f>
        <v/>
      </c>
      <c r="H36" s="161" t="str">
        <f aca="false">IF(AND($C36&lt;=H$5,$C36+$D36&gt;H$5),"XXXXX","")</f>
        <v/>
      </c>
      <c r="I36" s="161" t="str">
        <f aca="false">IF(AND($C36&lt;=I$5,$C36+$D36&gt;I$5),"XXXXX","")</f>
        <v/>
      </c>
      <c r="J36" s="161" t="str">
        <f aca="false">IF(AND($C36&lt;=J$5,$C36+$D36&gt;J$5),"XXXXX","")</f>
        <v/>
      </c>
      <c r="K36" s="161" t="str">
        <f aca="false">IF(AND($C36&lt;=K$5,$C36+$D36&gt;K$5),"XXXXX","")</f>
        <v/>
      </c>
      <c r="L36" s="161" t="str">
        <f aca="false">IF(AND($C36&lt;=L$5,$C36+$D36&gt;L$5),"XXXXX","")</f>
        <v/>
      </c>
      <c r="M36" s="161" t="str">
        <f aca="false">IF(AND($C36&lt;=M$5,$C36+$D36&gt;M$5),"XXXXX","")</f>
        <v/>
      </c>
      <c r="N36" s="161" t="str">
        <f aca="false">IF(AND($C36&lt;=N$5,$C36+$D36&gt;N$5),"XXXXX","")</f>
        <v/>
      </c>
      <c r="O36" s="161" t="str">
        <f aca="false">IF(AND($C36&lt;=O$5,$C36+$D36&gt;O$5),"XXXXX","")</f>
        <v/>
      </c>
      <c r="P36" s="161" t="str">
        <f aca="false">IF(AND($C36&lt;=P$5,$C36+$D36&gt;P$5),"XXXXX","")</f>
        <v/>
      </c>
      <c r="Q36" s="161" t="str">
        <f aca="false">IF(AND($C36&lt;=Q$5,$C36+$D36&gt;Q$5),"XXXXX","")</f>
        <v/>
      </c>
      <c r="R36" s="161" t="str">
        <f aca="false">IF(AND($C36&lt;=R$5,$C36+$D36&gt;R$5),"XXXXX","")</f>
        <v/>
      </c>
      <c r="S36" s="161" t="str">
        <f aca="false">IF(AND($C36&lt;=S$5,$C36+$D36&gt;S$5),"XXXXX","")</f>
        <v/>
      </c>
      <c r="T36" s="161" t="str">
        <f aca="false">IF(AND($C36&lt;=T$5,$C36+$D36&gt;T$5),"XXXXX","")</f>
        <v/>
      </c>
      <c r="U36" s="161" t="str">
        <f aca="false">IF(AND($C36&lt;=U$5,$C36+$D36&gt;U$5),"XXXXX","")</f>
        <v/>
      </c>
      <c r="V36" s="161" t="str">
        <f aca="false">IF(AND($C36&lt;=V$5,$C36+$D36&gt;V$5),"XXXXX","")</f>
        <v/>
      </c>
      <c r="W36" s="161" t="str">
        <f aca="false">IF(AND($C36&lt;=W$5,$C36+$D36&gt;W$5),"XXXXX","")</f>
        <v/>
      </c>
      <c r="X36" s="16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</row>
    <row r="37" customFormat="false" ht="14.25" hidden="false" customHeight="true" outlineLevel="0" collapsed="false">
      <c r="A37" s="159" t="str">
        <f aca="false">Mob_Staffing!B36</f>
        <v>Maintenance Planner</v>
      </c>
      <c r="B37" s="160" t="n">
        <f aca="false">Mob_Staffing!E36</f>
        <v>0</v>
      </c>
      <c r="C37" s="160" t="n">
        <f aca="false">Mob_Staffing!F36</f>
        <v>0</v>
      </c>
      <c r="D37" s="160" t="n">
        <f aca="false">Mob_Staffing!G36</f>
        <v>-0</v>
      </c>
      <c r="E37" s="161" t="str">
        <f aca="false">IF(AND($C37&lt;=E$5,$C37+$D37&gt;E$5),"XXXXX","")</f>
        <v/>
      </c>
      <c r="F37" s="161" t="str">
        <f aca="false">IF(AND($C37&lt;=F$5,$C37+$D37&gt;F$5),"XXXXX","")</f>
        <v/>
      </c>
      <c r="G37" s="161" t="str">
        <f aca="false">IF(AND($C37&lt;=G$5,$C37+$D37&gt;G$5),"XXXXX","")</f>
        <v/>
      </c>
      <c r="H37" s="161" t="str">
        <f aca="false">IF(AND($C37&lt;=H$5,$C37+$D37&gt;H$5),"XXXXX","")</f>
        <v/>
      </c>
      <c r="I37" s="161" t="str">
        <f aca="false">IF(AND($C37&lt;=I$5,$C37+$D37&gt;I$5),"XXXXX","")</f>
        <v/>
      </c>
      <c r="J37" s="161" t="str">
        <f aca="false">IF(AND($C37&lt;=J$5,$C37+$D37&gt;J$5),"XXXXX","")</f>
        <v/>
      </c>
      <c r="K37" s="161" t="str">
        <f aca="false">IF(AND($C37&lt;=K$5,$C37+$D37&gt;K$5),"XXXXX","")</f>
        <v/>
      </c>
      <c r="L37" s="161" t="str">
        <f aca="false">IF(AND($C37&lt;=L$5,$C37+$D37&gt;L$5),"XXXXX","")</f>
        <v/>
      </c>
      <c r="M37" s="161" t="str">
        <f aca="false">IF(AND($C37&lt;=M$5,$C37+$D37&gt;M$5),"XXXXX","")</f>
        <v/>
      </c>
      <c r="N37" s="161" t="str">
        <f aca="false">IF(AND($C37&lt;=N$5,$C37+$D37&gt;N$5),"XXXXX","")</f>
        <v/>
      </c>
      <c r="O37" s="161" t="str">
        <f aca="false">IF(AND($C37&lt;=O$5,$C37+$D37&gt;O$5),"XXXXX","")</f>
        <v/>
      </c>
      <c r="P37" s="161" t="str">
        <f aca="false">IF(AND($C37&lt;=P$5,$C37+$D37&gt;P$5),"XXXXX","")</f>
        <v/>
      </c>
      <c r="Q37" s="161" t="str">
        <f aca="false">IF(AND($C37&lt;=Q$5,$C37+$D37&gt;Q$5),"XXXXX","")</f>
        <v/>
      </c>
      <c r="R37" s="161" t="str">
        <f aca="false">IF(AND($C37&lt;=R$5,$C37+$D37&gt;R$5),"XXXXX","")</f>
        <v/>
      </c>
      <c r="S37" s="161" t="str">
        <f aca="false">IF(AND($C37&lt;=S$5,$C37+$D37&gt;S$5),"XXXXX","")</f>
        <v/>
      </c>
      <c r="T37" s="161" t="str">
        <f aca="false">IF(AND($C37&lt;=T$5,$C37+$D37&gt;T$5),"XXXXX","")</f>
        <v/>
      </c>
      <c r="U37" s="161" t="str">
        <f aca="false">IF(AND($C37&lt;=U$5,$C37+$D37&gt;U$5),"XXXXX","")</f>
        <v/>
      </c>
      <c r="V37" s="161" t="str">
        <f aca="false">IF(AND($C37&lt;=V$5,$C37+$D37&gt;V$5),"XXXXX","")</f>
        <v/>
      </c>
      <c r="W37" s="161" t="str">
        <f aca="false">IF(AND($C37&lt;=W$5,$C37+$D37&gt;W$5),"XXXXX","")</f>
        <v/>
      </c>
      <c r="X37" s="16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customFormat="false" ht="14.25" hidden="false" customHeight="true" outlineLevel="0" collapsed="false">
      <c r="A38" s="159" t="str">
        <f aca="false">Mob_Staffing!B37</f>
        <v>Mechanic</v>
      </c>
      <c r="B38" s="160" t="n">
        <f aca="false">Mob_Staffing!E37</f>
        <v>1</v>
      </c>
      <c r="C38" s="160" t="n">
        <f aca="false">Mob_Staffing!F37</f>
        <v>-6</v>
      </c>
      <c r="D38" s="160" t="n">
        <f aca="false">Mob_Staffing!G37</f>
        <v>6</v>
      </c>
      <c r="E38" s="161" t="str">
        <f aca="false">IF(AND($C38&lt;=E$5,$C38+$D38&gt;E$5),"XXXXX","")</f>
        <v/>
      </c>
      <c r="F38" s="161" t="str">
        <f aca="false">IF(AND($C38&lt;=F$5,$C38+$D38&gt;F$5),"XXXXX","")</f>
        <v/>
      </c>
      <c r="G38" s="161" t="str">
        <f aca="false">IF(AND($C38&lt;=G$5,$C38+$D38&gt;G$5),"XXXXX","")</f>
        <v/>
      </c>
      <c r="H38" s="161" t="str">
        <f aca="false">IF(AND($C38&lt;=H$5,$C38+$D38&gt;H$5),"XXXXX","")</f>
        <v/>
      </c>
      <c r="I38" s="161" t="str">
        <f aca="false">IF(AND($C38&lt;=I$5,$C38+$D38&gt;I$5),"XXXXX","")</f>
        <v/>
      </c>
      <c r="J38" s="161" t="str">
        <f aca="false">IF(AND($C38&lt;=J$5,$C38+$D38&gt;J$5),"XXXXX","")</f>
        <v/>
      </c>
      <c r="K38" s="161" t="str">
        <f aca="false">IF(AND($C38&lt;=K$5,$C38+$D38&gt;K$5),"XXXXX","")</f>
        <v/>
      </c>
      <c r="L38" s="161" t="str">
        <f aca="false">IF(AND($C38&lt;=L$5,$C38+$D38&gt;L$5),"XXXXX","")</f>
        <v/>
      </c>
      <c r="M38" s="161" t="str">
        <f aca="false">IF(AND($C38&lt;=M$5,$C38+$D38&gt;M$5),"XXXXX","")</f>
        <v/>
      </c>
      <c r="N38" s="161" t="str">
        <f aca="false">IF(AND($C38&lt;=N$5,$C38+$D38&gt;N$5),"XXXXX","")</f>
        <v/>
      </c>
      <c r="O38" s="161" t="str">
        <f aca="false">IF(AND($C38&lt;=O$5,$C38+$D38&gt;O$5),"XXXXX","")</f>
        <v/>
      </c>
      <c r="P38" s="161" t="str">
        <f aca="false">IF(AND($C38&lt;=P$5,$C38+$D38&gt;P$5),"XXXXX","")</f>
        <v/>
      </c>
      <c r="Q38" s="161" t="str">
        <f aca="false">IF(AND($C38&lt;=Q$5,$C38+$D38&gt;Q$5),"XXXXX","")</f>
        <v/>
      </c>
      <c r="R38" s="161" t="str">
        <f aca="false">IF(AND($C38&lt;=R$5,$C38+$D38&gt;R$5),"XXXXX","")</f>
        <v>XXXXX</v>
      </c>
      <c r="S38" s="161" t="str">
        <f aca="false">IF(AND($C38&lt;=S$5,$C38+$D38&gt;S$5),"XXXXX","")</f>
        <v>XXXXX</v>
      </c>
      <c r="T38" s="161" t="str">
        <f aca="false">IF(AND($C38&lt;=T$5,$C38+$D38&gt;T$5),"XXXXX","")</f>
        <v>XXXXX</v>
      </c>
      <c r="U38" s="161" t="str">
        <f aca="false">IF(AND($C38&lt;=U$5,$C38+$D38&gt;U$5),"XXXXX","")</f>
        <v>XXXXX</v>
      </c>
      <c r="V38" s="161" t="str">
        <f aca="false">IF(AND($C38&lt;=V$5,$C38+$D38&gt;V$5),"XXXXX","")</f>
        <v>XXXXX</v>
      </c>
      <c r="W38" s="161" t="str">
        <f aca="false">IF(AND($C38&lt;=W$5,$C38+$D38&gt;W$5),"XXXXX","")</f>
        <v>XXXXX</v>
      </c>
      <c r="X38" s="16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customFormat="false" ht="14.25" hidden="false" customHeight="true" outlineLevel="0" collapsed="false">
      <c r="A39" s="159" t="str">
        <f aca="false">Mob_Staffing!B38</f>
        <v>I&amp;C Engineer</v>
      </c>
      <c r="B39" s="160" t="n">
        <f aca="false">Mob_Staffing!E38</f>
        <v>0</v>
      </c>
      <c r="C39" s="160" t="n">
        <f aca="false">Mob_Staffing!F38</f>
        <v>0</v>
      </c>
      <c r="D39" s="160" t="n">
        <f aca="false">Mob_Staffing!G38</f>
        <v>-0</v>
      </c>
      <c r="E39" s="161" t="str">
        <f aca="false">IF(AND($C39&lt;=E$5,$C39+$D39&gt;E$5),"XXXXX","")</f>
        <v/>
      </c>
      <c r="F39" s="161" t="str">
        <f aca="false">IF(AND($C39&lt;=F$5,$C39+$D39&gt;F$5),"XXXXX","")</f>
        <v/>
      </c>
      <c r="G39" s="161" t="str">
        <f aca="false">IF(AND($C39&lt;=G$5,$C39+$D39&gt;G$5),"XXXXX","")</f>
        <v/>
      </c>
      <c r="H39" s="161" t="str">
        <f aca="false">IF(AND($C39&lt;=H$5,$C39+$D39&gt;H$5),"XXXXX","")</f>
        <v/>
      </c>
      <c r="I39" s="161" t="str">
        <f aca="false">IF(AND($C39&lt;=I$5,$C39+$D39&gt;I$5),"XXXXX","")</f>
        <v/>
      </c>
      <c r="J39" s="161" t="str">
        <f aca="false">IF(AND($C39&lt;=J$5,$C39+$D39&gt;J$5),"XXXXX","")</f>
        <v/>
      </c>
      <c r="K39" s="161" t="str">
        <f aca="false">IF(AND($C39&lt;=K$5,$C39+$D39&gt;K$5),"XXXXX","")</f>
        <v/>
      </c>
      <c r="L39" s="161" t="str">
        <f aca="false">IF(AND($C39&lt;=L$5,$C39+$D39&gt;L$5),"XXXXX","")</f>
        <v/>
      </c>
      <c r="M39" s="161" t="str">
        <f aca="false">IF(AND($C39&lt;=M$5,$C39+$D39&gt;M$5),"XXXXX","")</f>
        <v/>
      </c>
      <c r="N39" s="161" t="str">
        <f aca="false">IF(AND($C39&lt;=N$5,$C39+$D39&gt;N$5),"XXXXX","")</f>
        <v/>
      </c>
      <c r="O39" s="161" t="str">
        <f aca="false">IF(AND($C39&lt;=O$5,$C39+$D39&gt;O$5),"XXXXX","")</f>
        <v/>
      </c>
      <c r="P39" s="161" t="str">
        <f aca="false">IF(AND($C39&lt;=P$5,$C39+$D39&gt;P$5),"XXXXX","")</f>
        <v/>
      </c>
      <c r="Q39" s="161" t="str">
        <f aca="false">IF(AND($C39&lt;=Q$5,$C39+$D39&gt;Q$5),"XXXXX","")</f>
        <v/>
      </c>
      <c r="R39" s="161" t="str">
        <f aca="false">IF(AND($C39&lt;=R$5,$C39+$D39&gt;R$5),"XXXXX","")</f>
        <v/>
      </c>
      <c r="S39" s="161" t="str">
        <f aca="false">IF(AND($C39&lt;=S$5,$C39+$D39&gt;S$5),"XXXXX","")</f>
        <v/>
      </c>
      <c r="T39" s="161" t="str">
        <f aca="false">IF(AND($C39&lt;=T$5,$C39+$D39&gt;T$5),"XXXXX","")</f>
        <v/>
      </c>
      <c r="U39" s="161" t="str">
        <f aca="false">IF(AND($C39&lt;=U$5,$C39+$D39&gt;U$5),"XXXXX","")</f>
        <v/>
      </c>
      <c r="V39" s="161" t="str">
        <f aca="false">IF(AND($C39&lt;=V$5,$C39+$D39&gt;V$5),"XXXXX","")</f>
        <v/>
      </c>
      <c r="W39" s="161" t="str">
        <f aca="false">IF(AND($C39&lt;=W$5,$C39+$D39&gt;W$5),"XXXXX","")</f>
        <v/>
      </c>
      <c r="X39" s="16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customFormat="false" ht="14.25" hidden="false" customHeight="true" outlineLevel="0" collapsed="false">
      <c r="A40" s="159" t="str">
        <f aca="false">Mob_Staffing!B39</f>
        <v>I&amp;C Technician</v>
      </c>
      <c r="B40" s="160" t="n">
        <f aca="false">Mob_Staffing!E39</f>
        <v>1</v>
      </c>
      <c r="C40" s="160" t="n">
        <f aca="false">Mob_Staffing!F39</f>
        <v>-6</v>
      </c>
      <c r="D40" s="160" t="n">
        <f aca="false">Mob_Staffing!G39</f>
        <v>6</v>
      </c>
      <c r="E40" s="161" t="str">
        <f aca="false">IF(AND($C40&lt;=E$5,$C40+$D40&gt;E$5),"XXXXX","")</f>
        <v/>
      </c>
      <c r="F40" s="161" t="str">
        <f aca="false">IF(AND($C40&lt;=F$5,$C40+$D40&gt;F$5),"XXXXX","")</f>
        <v/>
      </c>
      <c r="G40" s="161" t="str">
        <f aca="false">IF(AND($C40&lt;=G$5,$C40+$D40&gt;G$5),"XXXXX","")</f>
        <v/>
      </c>
      <c r="H40" s="161" t="str">
        <f aca="false">IF(AND($C40&lt;=H$5,$C40+$D40&gt;H$5),"XXXXX","")</f>
        <v/>
      </c>
      <c r="I40" s="161" t="str">
        <f aca="false">IF(AND($C40&lt;=I$5,$C40+$D40&gt;I$5),"XXXXX","")</f>
        <v/>
      </c>
      <c r="J40" s="161" t="str">
        <f aca="false">IF(AND($C40&lt;=J$5,$C40+$D40&gt;J$5),"XXXXX","")</f>
        <v/>
      </c>
      <c r="K40" s="161" t="str">
        <f aca="false">IF(AND($C40&lt;=K$5,$C40+$D40&gt;K$5),"XXXXX","")</f>
        <v/>
      </c>
      <c r="L40" s="161" t="str">
        <f aca="false">IF(AND($C40&lt;=L$5,$C40+$D40&gt;L$5),"XXXXX","")</f>
        <v/>
      </c>
      <c r="M40" s="161" t="str">
        <f aca="false">IF(AND($C40&lt;=M$5,$C40+$D40&gt;M$5),"XXXXX","")</f>
        <v/>
      </c>
      <c r="N40" s="161" t="str">
        <f aca="false">IF(AND($C40&lt;=N$5,$C40+$D40&gt;N$5),"XXXXX","")</f>
        <v/>
      </c>
      <c r="O40" s="161" t="str">
        <f aca="false">IF(AND($C40&lt;=O$5,$C40+$D40&gt;O$5),"XXXXX","")</f>
        <v/>
      </c>
      <c r="P40" s="161" t="str">
        <f aca="false">IF(AND($C40&lt;=P$5,$C40+$D40&gt;P$5),"XXXXX","")</f>
        <v/>
      </c>
      <c r="Q40" s="161" t="str">
        <f aca="false">IF(AND($C40&lt;=Q$5,$C40+$D40&gt;Q$5),"XXXXX","")</f>
        <v/>
      </c>
      <c r="R40" s="161" t="str">
        <f aca="false">IF(AND($C40&lt;=R$5,$C40+$D40&gt;R$5),"XXXXX","")</f>
        <v>XXXXX</v>
      </c>
      <c r="S40" s="161" t="str">
        <f aca="false">IF(AND($C40&lt;=S$5,$C40+$D40&gt;S$5),"XXXXX","")</f>
        <v>XXXXX</v>
      </c>
      <c r="T40" s="161" t="str">
        <f aca="false">IF(AND($C40&lt;=T$5,$C40+$D40&gt;T$5),"XXXXX","")</f>
        <v>XXXXX</v>
      </c>
      <c r="U40" s="161" t="str">
        <f aca="false">IF(AND($C40&lt;=U$5,$C40+$D40&gt;U$5),"XXXXX","")</f>
        <v>XXXXX</v>
      </c>
      <c r="V40" s="161" t="str">
        <f aca="false">IF(AND($C40&lt;=V$5,$C40+$D40&gt;V$5),"XXXXX","")</f>
        <v>XXXXX</v>
      </c>
      <c r="W40" s="161" t="str">
        <f aca="false">IF(AND($C40&lt;=W$5,$C40+$D40&gt;W$5),"XXXXX","")</f>
        <v>XXXXX</v>
      </c>
      <c r="X40" s="16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customFormat="false" ht="14.25" hidden="false" customHeight="true" outlineLevel="0" collapsed="false">
      <c r="A41" s="159" t="str">
        <f aca="false">Mob_Staffing!B40</f>
        <v>Electrical Technician</v>
      </c>
      <c r="B41" s="160" t="n">
        <f aca="false">Mob_Staffing!E40</f>
        <v>1</v>
      </c>
      <c r="C41" s="160" t="n">
        <f aca="false">Mob_Staffing!F40</f>
        <v>-6</v>
      </c>
      <c r="D41" s="160" t="n">
        <f aca="false">Mob_Staffing!G40</f>
        <v>6</v>
      </c>
      <c r="E41" s="161" t="str">
        <f aca="false">IF(AND($C41&lt;=E$5,$C41+$D41&gt;E$5),"XXXXX","")</f>
        <v/>
      </c>
      <c r="F41" s="161" t="str">
        <f aca="false">IF(AND($C41&lt;=F$5,$C41+$D41&gt;F$5),"XXXXX","")</f>
        <v/>
      </c>
      <c r="G41" s="161" t="str">
        <f aca="false">IF(AND($C41&lt;=G$5,$C41+$D41&gt;G$5),"XXXXX","")</f>
        <v/>
      </c>
      <c r="H41" s="161" t="str">
        <f aca="false">IF(AND($C41&lt;=H$5,$C41+$D41&gt;H$5),"XXXXX","")</f>
        <v/>
      </c>
      <c r="I41" s="161" t="str">
        <f aca="false">IF(AND($C41&lt;=I$5,$C41+$D41&gt;I$5),"XXXXX","")</f>
        <v/>
      </c>
      <c r="J41" s="161" t="str">
        <f aca="false">IF(AND($C41&lt;=J$5,$C41+$D41&gt;J$5),"XXXXX","")</f>
        <v/>
      </c>
      <c r="K41" s="161" t="str">
        <f aca="false">IF(AND($C41&lt;=K$5,$C41+$D41&gt;K$5),"XXXXX","")</f>
        <v/>
      </c>
      <c r="L41" s="161" t="str">
        <f aca="false">IF(AND($C41&lt;=L$5,$C41+$D41&gt;L$5),"XXXXX","")</f>
        <v/>
      </c>
      <c r="M41" s="161" t="str">
        <f aca="false">IF(AND($C41&lt;=M$5,$C41+$D41&gt;M$5),"XXXXX","")</f>
        <v/>
      </c>
      <c r="N41" s="161" t="str">
        <f aca="false">IF(AND($C41&lt;=N$5,$C41+$D41&gt;N$5),"XXXXX","")</f>
        <v/>
      </c>
      <c r="O41" s="161" t="str">
        <f aca="false">IF(AND($C41&lt;=O$5,$C41+$D41&gt;O$5),"XXXXX","")</f>
        <v/>
      </c>
      <c r="P41" s="161" t="str">
        <f aca="false">IF(AND($C41&lt;=P$5,$C41+$D41&gt;P$5),"XXXXX","")</f>
        <v/>
      </c>
      <c r="Q41" s="161" t="str">
        <f aca="false">IF(AND($C41&lt;=Q$5,$C41+$D41&gt;Q$5),"XXXXX","")</f>
        <v/>
      </c>
      <c r="R41" s="161" t="str">
        <f aca="false">IF(AND($C41&lt;=R$5,$C41+$D41&gt;R$5),"XXXXX","")</f>
        <v>XXXXX</v>
      </c>
      <c r="S41" s="161" t="str">
        <f aca="false">IF(AND($C41&lt;=S$5,$C41+$D41&gt;S$5),"XXXXX","")</f>
        <v>XXXXX</v>
      </c>
      <c r="T41" s="161" t="str">
        <f aca="false">IF(AND($C41&lt;=T$5,$C41+$D41&gt;T$5),"XXXXX","")</f>
        <v>XXXXX</v>
      </c>
      <c r="U41" s="161" t="str">
        <f aca="false">IF(AND($C41&lt;=U$5,$C41+$D41&gt;U$5),"XXXXX","")</f>
        <v>XXXXX</v>
      </c>
      <c r="V41" s="161" t="str">
        <f aca="false">IF(AND($C41&lt;=V$5,$C41+$D41&gt;V$5),"XXXXX","")</f>
        <v>XXXXX</v>
      </c>
      <c r="W41" s="161" t="str">
        <f aca="false">IF(AND($C41&lt;=W$5,$C41+$D41&gt;W$5),"XXXXX","")</f>
        <v>XXXXX</v>
      </c>
      <c r="X41" s="16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customFormat="false" ht="14.25" hidden="false" customHeight="true" outlineLevel="0" collapsed="false">
      <c r="A42" s="159" t="str">
        <f aca="false">Mob_Staffing!B41</f>
        <v>Other</v>
      </c>
      <c r="B42" s="160" t="n">
        <f aca="false">Mob_Staffing!E41</f>
        <v>0</v>
      </c>
      <c r="C42" s="160" t="n">
        <f aca="false">Mob_Staffing!F41</f>
        <v>0</v>
      </c>
      <c r="D42" s="160" t="n">
        <f aca="false">Mob_Staffing!G41</f>
        <v>-0</v>
      </c>
      <c r="E42" s="161" t="str">
        <f aca="false">IF(AND($C42&lt;=E$5,$C42+$D42&gt;E$5),"XXXXX","")</f>
        <v/>
      </c>
      <c r="F42" s="161" t="str">
        <f aca="false">IF(AND($C42&lt;=F$5,$C42+$D42&gt;F$5),"XXXXX","")</f>
        <v/>
      </c>
      <c r="G42" s="161" t="str">
        <f aca="false">IF(AND($C42&lt;=G$5,$C42+$D42&gt;G$5),"XXXXX","")</f>
        <v/>
      </c>
      <c r="H42" s="161" t="str">
        <f aca="false">IF(AND($C42&lt;=H$5,$C42+$D42&gt;H$5),"XXXXX","")</f>
        <v/>
      </c>
      <c r="I42" s="161" t="str">
        <f aca="false">IF(AND($C42&lt;=I$5,$C42+$D42&gt;I$5),"XXXXX","")</f>
        <v/>
      </c>
      <c r="J42" s="161" t="str">
        <f aca="false">IF(AND($C42&lt;=J$5,$C42+$D42&gt;J$5),"XXXXX","")</f>
        <v/>
      </c>
      <c r="K42" s="161" t="str">
        <f aca="false">IF(AND($C42&lt;=K$5,$C42+$D42&gt;K$5),"XXXXX","")</f>
        <v/>
      </c>
      <c r="L42" s="161" t="str">
        <f aca="false">IF(AND($C42&lt;=L$5,$C42+$D42&gt;L$5),"XXXXX","")</f>
        <v/>
      </c>
      <c r="M42" s="161" t="str">
        <f aca="false">IF(AND($C42&lt;=M$5,$C42+$D42&gt;M$5),"XXXXX","")</f>
        <v/>
      </c>
      <c r="N42" s="161" t="str">
        <f aca="false">IF(AND($C42&lt;=N$5,$C42+$D42&gt;N$5),"XXXXX","")</f>
        <v/>
      </c>
      <c r="O42" s="161" t="str">
        <f aca="false">IF(AND($C42&lt;=O$5,$C42+$D42&gt;O$5),"XXXXX","")</f>
        <v/>
      </c>
      <c r="P42" s="161" t="str">
        <f aca="false">IF(AND($C42&lt;=P$5,$C42+$D42&gt;P$5),"XXXXX","")</f>
        <v/>
      </c>
      <c r="Q42" s="161" t="str">
        <f aca="false">IF(AND($C42&lt;=Q$5,$C42+$D42&gt;Q$5),"XXXXX","")</f>
        <v/>
      </c>
      <c r="R42" s="161" t="str">
        <f aca="false">IF(AND($C42&lt;=R$5,$C42+$D42&gt;R$5),"XXXXX","")</f>
        <v/>
      </c>
      <c r="S42" s="161" t="str">
        <f aca="false">IF(AND($C42&lt;=S$5,$C42+$D42&gt;S$5),"XXXXX","")</f>
        <v/>
      </c>
      <c r="T42" s="161" t="str">
        <f aca="false">IF(AND($C42&lt;=T$5,$C42+$D42&gt;T$5),"XXXXX","")</f>
        <v/>
      </c>
      <c r="U42" s="161" t="str">
        <f aca="false">IF(AND($C42&lt;=U$5,$C42+$D42&gt;U$5),"XXXXX","")</f>
        <v/>
      </c>
      <c r="V42" s="161" t="str">
        <f aca="false">IF(AND($C42&lt;=V$5,$C42+$D42&gt;V$5),"XXXXX","")</f>
        <v/>
      </c>
      <c r="W42" s="161" t="str">
        <f aca="false">IF(AND($C42&lt;=W$5,$C42+$D42&gt;W$5),"XXXXX","")</f>
        <v/>
      </c>
      <c r="X42" s="16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customFormat="false" ht="14.25" hidden="false" customHeight="true" outlineLevel="0" collapsed="false">
      <c r="A43" s="159" t="str">
        <f aca="false">Mob_Staffing!B42</f>
        <v>Other</v>
      </c>
      <c r="B43" s="160" t="n">
        <f aca="false">Mob_Staffing!E42</f>
        <v>0</v>
      </c>
      <c r="C43" s="160" t="n">
        <f aca="false">Mob_Staffing!F42</f>
        <v>0</v>
      </c>
      <c r="D43" s="160" t="n">
        <f aca="false">Mob_Staffing!G42</f>
        <v>-0</v>
      </c>
      <c r="E43" s="161" t="str">
        <f aca="false">IF(AND($C43&lt;=E$5,$C43+$D43&gt;E$5),"XXXXX","")</f>
        <v/>
      </c>
      <c r="F43" s="161" t="str">
        <f aca="false">IF(AND($C43&lt;=F$5,$C43+$D43&gt;F$5),"XXXXX","")</f>
        <v/>
      </c>
      <c r="G43" s="161" t="str">
        <f aca="false">IF(AND($C43&lt;=G$5,$C43+$D43&gt;G$5),"XXXXX","")</f>
        <v/>
      </c>
      <c r="H43" s="161" t="str">
        <f aca="false">IF(AND($C43&lt;=H$5,$C43+$D43&gt;H$5),"XXXXX","")</f>
        <v/>
      </c>
      <c r="I43" s="161" t="str">
        <f aca="false">IF(AND($C43&lt;=I$5,$C43+$D43&gt;I$5),"XXXXX","")</f>
        <v/>
      </c>
      <c r="J43" s="161" t="str">
        <f aca="false">IF(AND($C43&lt;=J$5,$C43+$D43&gt;J$5),"XXXXX","")</f>
        <v/>
      </c>
      <c r="K43" s="161" t="str">
        <f aca="false">IF(AND($C43&lt;=K$5,$C43+$D43&gt;K$5),"XXXXX","")</f>
        <v/>
      </c>
      <c r="L43" s="161" t="str">
        <f aca="false">IF(AND($C43&lt;=L$5,$C43+$D43&gt;L$5),"XXXXX","")</f>
        <v/>
      </c>
      <c r="M43" s="161" t="str">
        <f aca="false">IF(AND($C43&lt;=M$5,$C43+$D43&gt;M$5),"XXXXX","")</f>
        <v/>
      </c>
      <c r="N43" s="161" t="str">
        <f aca="false">IF(AND($C43&lt;=N$5,$C43+$D43&gt;N$5),"XXXXX","")</f>
        <v/>
      </c>
      <c r="O43" s="161" t="str">
        <f aca="false">IF(AND($C43&lt;=O$5,$C43+$D43&gt;O$5),"XXXXX","")</f>
        <v/>
      </c>
      <c r="P43" s="161" t="str">
        <f aca="false">IF(AND($C43&lt;=P$5,$C43+$D43&gt;P$5),"XXXXX","")</f>
        <v/>
      </c>
      <c r="Q43" s="161" t="str">
        <f aca="false">IF(AND($C43&lt;=Q$5,$C43+$D43&gt;Q$5),"XXXXX","")</f>
        <v/>
      </c>
      <c r="R43" s="161" t="str">
        <f aca="false">IF(AND($C43&lt;=R$5,$C43+$D43&gt;R$5),"XXXXX","")</f>
        <v/>
      </c>
      <c r="S43" s="161" t="str">
        <f aca="false">IF(AND($C43&lt;=S$5,$C43+$D43&gt;S$5),"XXXXX","")</f>
        <v/>
      </c>
      <c r="T43" s="161" t="str">
        <f aca="false">IF(AND($C43&lt;=T$5,$C43+$D43&gt;T$5),"XXXXX","")</f>
        <v/>
      </c>
      <c r="U43" s="161" t="str">
        <f aca="false">IF(AND($C43&lt;=U$5,$C43+$D43&gt;U$5),"XXXXX","")</f>
        <v/>
      </c>
      <c r="V43" s="161" t="str">
        <f aca="false">IF(AND($C43&lt;=V$5,$C43+$D43&gt;V$5),"XXXXX","")</f>
        <v/>
      </c>
      <c r="W43" s="161" t="str">
        <f aca="false">IF(AND($C43&lt;=W$5,$C43+$D43&gt;W$5),"XXXXX","")</f>
        <v/>
      </c>
      <c r="X43" s="16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customFormat="false" ht="14.25" hidden="false" customHeight="true" outlineLevel="0" collapsed="false">
      <c r="A44" s="159" t="str">
        <f aca="false">Mob_Staffing!B43</f>
        <v>Other</v>
      </c>
      <c r="B44" s="160" t="n">
        <f aca="false">Mob_Staffing!E43</f>
        <v>0</v>
      </c>
      <c r="C44" s="160" t="n">
        <f aca="false">Mob_Staffing!F43</f>
        <v>0</v>
      </c>
      <c r="D44" s="160" t="n">
        <f aca="false">Mob_Staffing!G43</f>
        <v>-0</v>
      </c>
      <c r="E44" s="161" t="str">
        <f aca="false">IF(AND($C44&lt;=E$5,$C44+$D44&gt;E$5),"XXXXX","")</f>
        <v/>
      </c>
      <c r="F44" s="161" t="str">
        <f aca="false">IF(AND($C44&lt;=F$5,$C44+$D44&gt;F$5),"XXXXX","")</f>
        <v/>
      </c>
      <c r="G44" s="161" t="str">
        <f aca="false">IF(AND($C44&lt;=G$5,$C44+$D44&gt;G$5),"XXXXX","")</f>
        <v/>
      </c>
      <c r="H44" s="161" t="str">
        <f aca="false">IF(AND($C44&lt;=H$5,$C44+$D44&gt;H$5),"XXXXX","")</f>
        <v/>
      </c>
      <c r="I44" s="161" t="str">
        <f aca="false">IF(AND($C44&lt;=I$5,$C44+$D44&gt;I$5),"XXXXX","")</f>
        <v/>
      </c>
      <c r="J44" s="161" t="str">
        <f aca="false">IF(AND($C44&lt;=J$5,$C44+$D44&gt;J$5),"XXXXX","")</f>
        <v/>
      </c>
      <c r="K44" s="161" t="str">
        <f aca="false">IF(AND($C44&lt;=K$5,$C44+$D44&gt;K$5),"XXXXX","")</f>
        <v/>
      </c>
      <c r="L44" s="161" t="str">
        <f aca="false">IF(AND($C44&lt;=L$5,$C44+$D44&gt;L$5),"XXXXX","")</f>
        <v/>
      </c>
      <c r="M44" s="161" t="str">
        <f aca="false">IF(AND($C44&lt;=M$5,$C44+$D44&gt;M$5),"XXXXX","")</f>
        <v/>
      </c>
      <c r="N44" s="161" t="str">
        <f aca="false">IF(AND($C44&lt;=N$5,$C44+$D44&gt;N$5),"XXXXX","")</f>
        <v/>
      </c>
      <c r="O44" s="161" t="str">
        <f aca="false">IF(AND($C44&lt;=O$5,$C44+$D44&gt;O$5),"XXXXX","")</f>
        <v/>
      </c>
      <c r="P44" s="161" t="str">
        <f aca="false">IF(AND($C44&lt;=P$5,$C44+$D44&gt;P$5),"XXXXX","")</f>
        <v/>
      </c>
      <c r="Q44" s="161" t="str">
        <f aca="false">IF(AND($C44&lt;=Q$5,$C44+$D44&gt;Q$5),"XXXXX","")</f>
        <v/>
      </c>
      <c r="R44" s="161" t="str">
        <f aca="false">IF(AND($C44&lt;=R$5,$C44+$D44&gt;R$5),"XXXXX","")</f>
        <v/>
      </c>
      <c r="S44" s="161" t="str">
        <f aca="false">IF(AND($C44&lt;=S$5,$C44+$D44&gt;S$5),"XXXXX","")</f>
        <v/>
      </c>
      <c r="T44" s="161" t="str">
        <f aca="false">IF(AND($C44&lt;=T$5,$C44+$D44&gt;T$5),"XXXXX","")</f>
        <v/>
      </c>
      <c r="U44" s="161" t="str">
        <f aca="false">IF(AND($C44&lt;=U$5,$C44+$D44&gt;U$5),"XXXXX","")</f>
        <v/>
      </c>
      <c r="V44" s="161" t="str">
        <f aca="false">IF(AND($C44&lt;=V$5,$C44+$D44&gt;V$5),"XXXXX","")</f>
        <v/>
      </c>
      <c r="W44" s="161" t="str">
        <f aca="false">IF(AND($C44&lt;=W$5,$C44+$D44&gt;W$5),"XXXXX","")</f>
        <v/>
      </c>
      <c r="X44" s="16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customFormat="false" ht="14.25" hidden="false" customHeight="true" outlineLevel="0" collapsed="false">
      <c r="A45" s="159" t="str">
        <f aca="false">Mob_Staffing!B44</f>
        <v>Other</v>
      </c>
      <c r="B45" s="160" t="n">
        <f aca="false">Mob_Staffing!E44</f>
        <v>0</v>
      </c>
      <c r="C45" s="160" t="n">
        <f aca="false">Mob_Staffing!F44</f>
        <v>0</v>
      </c>
      <c r="D45" s="160" t="n">
        <f aca="false">Mob_Staffing!G44</f>
        <v>-0</v>
      </c>
      <c r="E45" s="161" t="str">
        <f aca="false">IF(AND($C45&lt;=E$5,$C45+$D45&gt;E$5),"XXXXX","")</f>
        <v/>
      </c>
      <c r="F45" s="161" t="str">
        <f aca="false">IF(AND($C45&lt;=F$5,$C45+$D45&gt;F$5),"XXXXX","")</f>
        <v/>
      </c>
      <c r="G45" s="161" t="str">
        <f aca="false">IF(AND($C45&lt;=G$5,$C45+$D45&gt;G$5),"XXXXX","")</f>
        <v/>
      </c>
      <c r="H45" s="161" t="str">
        <f aca="false">IF(AND($C45&lt;=H$5,$C45+$D45&gt;H$5),"XXXXX","")</f>
        <v/>
      </c>
      <c r="I45" s="161" t="str">
        <f aca="false">IF(AND($C45&lt;=I$5,$C45+$D45&gt;I$5),"XXXXX","")</f>
        <v/>
      </c>
      <c r="J45" s="161" t="str">
        <f aca="false">IF(AND($C45&lt;=J$5,$C45+$D45&gt;J$5),"XXXXX","")</f>
        <v/>
      </c>
      <c r="K45" s="161" t="str">
        <f aca="false">IF(AND($C45&lt;=K$5,$C45+$D45&gt;K$5),"XXXXX","")</f>
        <v/>
      </c>
      <c r="L45" s="161" t="str">
        <f aca="false">IF(AND($C45&lt;=L$5,$C45+$D45&gt;L$5),"XXXXX","")</f>
        <v/>
      </c>
      <c r="M45" s="161" t="str">
        <f aca="false">IF(AND($C45&lt;=M$5,$C45+$D45&gt;M$5),"XXXXX","")</f>
        <v/>
      </c>
      <c r="N45" s="161" t="str">
        <f aca="false">IF(AND($C45&lt;=N$5,$C45+$D45&gt;N$5),"XXXXX","")</f>
        <v/>
      </c>
      <c r="O45" s="161" t="str">
        <f aca="false">IF(AND($C45&lt;=O$5,$C45+$D45&gt;O$5),"XXXXX","")</f>
        <v/>
      </c>
      <c r="P45" s="161" t="str">
        <f aca="false">IF(AND($C45&lt;=P$5,$C45+$D45&gt;P$5),"XXXXX","")</f>
        <v/>
      </c>
      <c r="Q45" s="161" t="str">
        <f aca="false">IF(AND($C45&lt;=Q$5,$C45+$D45&gt;Q$5),"XXXXX","")</f>
        <v/>
      </c>
      <c r="R45" s="161" t="str">
        <f aca="false">IF(AND($C45&lt;=R$5,$C45+$D45&gt;R$5),"XXXXX","")</f>
        <v/>
      </c>
      <c r="S45" s="161" t="str">
        <f aca="false">IF(AND($C45&lt;=S$5,$C45+$D45&gt;S$5),"XXXXX","")</f>
        <v/>
      </c>
      <c r="T45" s="161" t="str">
        <f aca="false">IF(AND($C45&lt;=T$5,$C45+$D45&gt;T$5),"XXXXX","")</f>
        <v/>
      </c>
      <c r="U45" s="161" t="str">
        <f aca="false">IF(AND($C45&lt;=U$5,$C45+$D45&gt;U$5),"XXXXX","")</f>
        <v/>
      </c>
      <c r="V45" s="161" t="str">
        <f aca="false">IF(AND($C45&lt;=V$5,$C45+$D45&gt;V$5),"XXXXX","")</f>
        <v/>
      </c>
      <c r="W45" s="161" t="str">
        <f aca="false">IF(AND($C45&lt;=W$5,$C45+$D45&gt;W$5),"XXXXX","")</f>
        <v/>
      </c>
      <c r="X45" s="16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customFormat="false" ht="13.5" hidden="false" customHeight="true" outlineLevel="0" collapsed="false">
      <c r="A46" s="168"/>
      <c r="B46" s="169"/>
      <c r="C46" s="169"/>
      <c r="D46" s="169"/>
      <c r="E46" s="170"/>
      <c r="F46" s="170"/>
      <c r="G46" s="170"/>
      <c r="H46" s="171"/>
      <c r="I46" s="171"/>
      <c r="J46" s="171"/>
      <c r="K46" s="171"/>
      <c r="L46" s="172"/>
      <c r="M46" s="173"/>
      <c r="N46" s="173"/>
      <c r="O46" s="173"/>
      <c r="P46" s="174"/>
      <c r="Q46" s="174"/>
      <c r="R46" s="174"/>
      <c r="S46" s="173"/>
      <c r="T46" s="173"/>
      <c r="U46" s="173"/>
      <c r="V46" s="173"/>
      <c r="W46" s="173"/>
      <c r="X46" s="16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customFormat="false" ht="9" hidden="false" customHeight="true" outlineLevel="0" collapsed="false">
      <c r="A47" s="175"/>
      <c r="B47" s="176"/>
      <c r="C47" s="176"/>
      <c r="D47" s="176"/>
      <c r="E47" s="177"/>
      <c r="F47" s="177"/>
      <c r="G47" s="177"/>
      <c r="H47" s="178"/>
      <c r="I47" s="178"/>
      <c r="J47" s="178"/>
      <c r="K47" s="178"/>
      <c r="L47" s="179"/>
      <c r="M47" s="180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customFormat="false" ht="15.75" hidden="false" customHeight="false" outlineLevel="0" collapsed="false">
      <c r="A48" s="183"/>
      <c r="B48" s="184"/>
      <c r="C48" s="184"/>
      <c r="D48" s="184"/>
      <c r="E48" s="185"/>
      <c r="F48" s="185"/>
      <c r="G48" s="185"/>
      <c r="H48" s="185"/>
      <c r="I48" s="186"/>
      <c r="J48" s="186"/>
      <c r="K48" s="186"/>
      <c r="L48" s="187"/>
      <c r="M48" s="187"/>
      <c r="N48" s="187"/>
      <c r="O48" s="187"/>
      <c r="P48" s="187"/>
      <c r="Q48" s="188"/>
      <c r="R48" s="188"/>
      <c r="S48" s="188"/>
      <c r="T48" s="188"/>
      <c r="U48" s="188"/>
      <c r="V48" s="188"/>
      <c r="W48" s="188"/>
      <c r="X48" s="189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customFormat="false" ht="15.75" hidden="false" customHeight="false" outlineLevel="0" collapsed="false">
      <c r="A49" s="190" t="s">
        <v>213</v>
      </c>
      <c r="B49" s="191"/>
      <c r="C49" s="191"/>
      <c r="D49" s="191"/>
      <c r="E49" s="192"/>
      <c r="F49" s="192"/>
      <c r="G49" s="192"/>
      <c r="H49" s="192"/>
      <c r="I49" s="193"/>
      <c r="J49" s="193"/>
      <c r="K49" s="193"/>
      <c r="L49" s="187"/>
      <c r="M49" s="187"/>
      <c r="N49" s="187"/>
      <c r="O49" s="187"/>
      <c r="P49" s="187"/>
      <c r="Q49" s="187"/>
      <c r="R49" s="194"/>
      <c r="S49" s="187"/>
      <c r="T49" s="187"/>
      <c r="U49" s="187"/>
      <c r="V49" s="187"/>
      <c r="W49" s="187"/>
      <c r="X49" s="195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customFormat="false" ht="15.75" hidden="false" customHeight="false" outlineLevel="0" collapsed="false">
      <c r="A50" s="196"/>
      <c r="B50" s="191"/>
      <c r="C50" s="191"/>
      <c r="D50" s="191"/>
      <c r="E50" s="192"/>
      <c r="F50" s="192"/>
      <c r="G50" s="192"/>
      <c r="H50" s="192"/>
      <c r="I50" s="193"/>
      <c r="J50" s="193"/>
      <c r="K50" s="193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95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customFormat="false" ht="17.25" hidden="false" customHeight="true" outlineLevel="0" collapsed="false">
      <c r="A51" s="159" t="s">
        <v>214</v>
      </c>
      <c r="B51" s="145"/>
      <c r="C51" s="197" t="n">
        <v>-8</v>
      </c>
      <c r="D51" s="198" t="n">
        <f aca="false">-C51</f>
        <v>8</v>
      </c>
      <c r="E51" s="161" t="str">
        <f aca="false">IF(AND($C51&lt;=E$5,$C51+$D51&gt;E$5),"XXXXX","")</f>
        <v/>
      </c>
      <c r="F51" s="161" t="str">
        <f aca="false">IF(AND($C51&lt;=F$5,$C51+$D51&gt;F$5),"XXXXX","")</f>
        <v/>
      </c>
      <c r="G51" s="161" t="str">
        <f aca="false">IF(AND($C51&lt;=G$5,$C51+$D51&gt;G$5),"XXXXX","")</f>
        <v/>
      </c>
      <c r="H51" s="161" t="str">
        <f aca="false">IF(AND($C51&lt;=H$5,$C51+$D51&gt;H$5),"XXXXX","")</f>
        <v/>
      </c>
      <c r="I51" s="161" t="str">
        <f aca="false">IF(AND($C51&lt;=I$5,$C51+$D51&gt;I$5),"XXXXX","")</f>
        <v/>
      </c>
      <c r="J51" s="161" t="str">
        <f aca="false">IF(AND($C51&lt;=J$5,$C51+$D51&gt;J$5),"XXXXX","")</f>
        <v/>
      </c>
      <c r="K51" s="161" t="str">
        <f aca="false">IF(AND($C51&lt;=K$5,$C51+$D51&gt;K$5),"XXXXX","")</f>
        <v/>
      </c>
      <c r="L51" s="161" t="str">
        <f aca="false">IF(AND($C51&lt;=L$5,$C51+$D51&gt;L$5),"XXXXX","")</f>
        <v/>
      </c>
      <c r="M51" s="161" t="str">
        <f aca="false">IF(AND($C51&lt;=M$5,$C51+$D51&gt;M$5),"XXXXX","")</f>
        <v/>
      </c>
      <c r="N51" s="161" t="str">
        <f aca="false">IF(AND($C51&lt;=N$5,$C51+$D51&gt;N$5),"XXXXX","")</f>
        <v/>
      </c>
      <c r="O51" s="161" t="str">
        <f aca="false">IF(AND($C51&lt;=O$5,$C51+$D51&gt;O$5),"XXXXX","")</f>
        <v/>
      </c>
      <c r="P51" s="161" t="str">
        <f aca="false">IF(AND($C51&lt;=P$5,$C51+$D51&gt;P$5),"XXXXX","")</f>
        <v>XXXXX</v>
      </c>
      <c r="Q51" s="161" t="str">
        <f aca="false">IF(AND($C51&lt;=Q$5,$C51+$D51&gt;Q$5),"XXXXX","")</f>
        <v>XXXXX</v>
      </c>
      <c r="R51" s="161" t="str">
        <f aca="false">IF(AND($C51&lt;=R$5,$C51+$D51&gt;R$5),"XXXXX","")</f>
        <v>XXXXX</v>
      </c>
      <c r="S51" s="161" t="str">
        <f aca="false">IF(AND($C51&lt;=S$5,$C51+$D51&gt;S$5),"XXXXX","")</f>
        <v>XXXXX</v>
      </c>
      <c r="T51" s="161" t="str">
        <f aca="false">IF(AND($C51&lt;=T$5,$C51+$D51&gt;T$5),"XXXXX","")</f>
        <v>XXXXX</v>
      </c>
      <c r="U51" s="161" t="str">
        <f aca="false">IF(AND($C51&lt;=U$5,$C51+$D51&gt;U$5),"XXXXX","")</f>
        <v>XXXXX</v>
      </c>
      <c r="V51" s="161" t="str">
        <f aca="false">IF(AND($C51&lt;=V$5,$C51+$D51&gt;V$5),"XXXXX","")</f>
        <v>XXXXX</v>
      </c>
      <c r="W51" s="161" t="str">
        <f aca="false">IF(AND($C51&lt;=W$5,$C51+$D51&gt;W$5),"XXXXX","")</f>
        <v>XXXXX</v>
      </c>
      <c r="X51" s="16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customFormat="false" ht="17.25" hidden="false" customHeight="true" outlineLevel="0" collapsed="false">
      <c r="A52" s="159" t="s">
        <v>215</v>
      </c>
      <c r="B52" s="145"/>
      <c r="C52" s="197" t="n">
        <v>-6</v>
      </c>
      <c r="D52" s="198" t="n">
        <f aca="false">-C52</f>
        <v>6</v>
      </c>
      <c r="E52" s="161" t="str">
        <f aca="false">IF(AND($C52&lt;=E$5,$C52+$D52&gt;E$5),"XXXXX","")</f>
        <v/>
      </c>
      <c r="F52" s="161" t="str">
        <f aca="false">IF(AND($C52&lt;=F$5,$C52+$D52&gt;F$5),"XXXXX","")</f>
        <v/>
      </c>
      <c r="G52" s="161" t="str">
        <f aca="false">IF(AND($C52&lt;=G$5,$C52+$D52&gt;G$5),"XXXXX","")</f>
        <v/>
      </c>
      <c r="H52" s="161" t="str">
        <f aca="false">IF(AND($C52&lt;=H$5,$C52+$D52&gt;H$5),"XXXXX","")</f>
        <v/>
      </c>
      <c r="I52" s="161" t="str">
        <f aca="false">IF(AND($C52&lt;=I$5,$C52+$D52&gt;I$5),"XXXXX","")</f>
        <v/>
      </c>
      <c r="J52" s="161" t="str">
        <f aca="false">IF(AND($C52&lt;=J$5,$C52+$D52&gt;J$5),"XXXXX","")</f>
        <v/>
      </c>
      <c r="K52" s="161" t="str">
        <f aca="false">IF(AND($C52&lt;=K$5,$C52+$D52&gt;K$5),"XXXXX","")</f>
        <v/>
      </c>
      <c r="L52" s="161" t="str">
        <f aca="false">IF(AND($C52&lt;=L$5,$C52+$D52&gt;L$5),"XXXXX","")</f>
        <v/>
      </c>
      <c r="M52" s="161" t="str">
        <f aca="false">IF(AND($C52&lt;=M$5,$C52+$D52&gt;M$5),"XXXXX","")</f>
        <v/>
      </c>
      <c r="N52" s="161" t="str">
        <f aca="false">IF(AND($C52&lt;=N$5,$C52+$D52&gt;N$5),"XXXXX","")</f>
        <v/>
      </c>
      <c r="O52" s="161" t="str">
        <f aca="false">IF(AND($C52&lt;=O$5,$C52+$D52&gt;O$5),"XXXXX","")</f>
        <v/>
      </c>
      <c r="P52" s="161" t="str">
        <f aca="false">IF(AND($C52&lt;=P$5,$C52+$D52&gt;P$5),"XXXXX","")</f>
        <v/>
      </c>
      <c r="Q52" s="161" t="str">
        <f aca="false">IF(AND($C52&lt;=Q$5,$C52+$D52&gt;Q$5),"XXXXX","")</f>
        <v/>
      </c>
      <c r="R52" s="161" t="str">
        <f aca="false">IF(AND($C52&lt;=R$5,$C52+$D52&gt;R$5),"XXXXX","")</f>
        <v>XXXXX</v>
      </c>
      <c r="S52" s="161" t="str">
        <f aca="false">IF(AND($C52&lt;=S$5,$C52+$D52&gt;S$5),"XXXXX","")</f>
        <v>XXXXX</v>
      </c>
      <c r="T52" s="161" t="str">
        <f aca="false">IF(AND($C52&lt;=T$5,$C52+$D52&gt;T$5),"XXXXX","")</f>
        <v>XXXXX</v>
      </c>
      <c r="U52" s="161" t="str">
        <f aca="false">IF(AND($C52&lt;=U$5,$C52+$D52&gt;U$5),"XXXXX","")</f>
        <v>XXXXX</v>
      </c>
      <c r="V52" s="161" t="str">
        <f aca="false">IF(AND($C52&lt;=V$5,$C52+$D52&gt;V$5),"XXXXX","")</f>
        <v>XXXXX</v>
      </c>
      <c r="W52" s="161" t="str">
        <f aca="false">IF(AND($C52&lt;=W$5,$C52+$D52&gt;W$5),"XXXXX","")</f>
        <v>XXXXX</v>
      </c>
      <c r="X52" s="16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customFormat="false" ht="17.25" hidden="false" customHeight="true" outlineLevel="0" collapsed="false">
      <c r="A53" s="159" t="s">
        <v>216</v>
      </c>
      <c r="B53" s="145"/>
      <c r="C53" s="197" t="n">
        <v>-3</v>
      </c>
      <c r="D53" s="198" t="n">
        <f aca="false">-C53</f>
        <v>3</v>
      </c>
      <c r="E53" s="161" t="str">
        <f aca="false">IF(AND($C53&lt;=E$5,$C53+$D53&gt;E$5),"XXXXX","")</f>
        <v/>
      </c>
      <c r="F53" s="161" t="str">
        <f aca="false">IF(AND($C53&lt;=F$5,$C53+$D53&gt;F$5),"XXXXX","")</f>
        <v/>
      </c>
      <c r="G53" s="161" t="str">
        <f aca="false">IF(AND($C53&lt;=G$5,$C53+$D53&gt;G$5),"XXXXX","")</f>
        <v/>
      </c>
      <c r="H53" s="161" t="str">
        <f aca="false">IF(AND($C53&lt;=H$5,$C53+$D53&gt;H$5),"XXXXX","")</f>
        <v/>
      </c>
      <c r="I53" s="161" t="str">
        <f aca="false">IF(AND($C53&lt;=I$5,$C53+$D53&gt;I$5),"XXXXX","")</f>
        <v/>
      </c>
      <c r="J53" s="161" t="str">
        <f aca="false">IF(AND($C53&lt;=J$5,$C53+$D53&gt;J$5),"XXXXX","")</f>
        <v/>
      </c>
      <c r="K53" s="161" t="str">
        <f aca="false">IF(AND($C53&lt;=K$5,$C53+$D53&gt;K$5),"XXXXX","")</f>
        <v/>
      </c>
      <c r="L53" s="161" t="str">
        <f aca="false">IF(AND($C53&lt;=L$5,$C53+$D53&gt;L$5),"XXXXX","")</f>
        <v/>
      </c>
      <c r="M53" s="161" t="str">
        <f aca="false">IF(AND($C53&lt;=M$5,$C53+$D53&gt;M$5),"XXXXX","")</f>
        <v/>
      </c>
      <c r="N53" s="161" t="str">
        <f aca="false">IF(AND($C53&lt;=N$5,$C53+$D53&gt;N$5),"XXXXX","")</f>
        <v/>
      </c>
      <c r="O53" s="161" t="str">
        <f aca="false">IF(AND($C53&lt;=O$5,$C53+$D53&gt;O$5),"XXXXX","")</f>
        <v/>
      </c>
      <c r="P53" s="161" t="str">
        <f aca="false">IF(AND($C53&lt;=P$5,$C53+$D53&gt;P$5),"XXXXX","")</f>
        <v/>
      </c>
      <c r="Q53" s="161" t="str">
        <f aca="false">IF(AND($C53&lt;=Q$5,$C53+$D53&gt;Q$5),"XXXXX","")</f>
        <v/>
      </c>
      <c r="R53" s="161" t="str">
        <f aca="false">IF(AND($C53&lt;=R$5,$C53+$D53&gt;R$5),"XXXXX","")</f>
        <v/>
      </c>
      <c r="S53" s="161" t="str">
        <f aca="false">IF(AND($C53&lt;=S$5,$C53+$D53&gt;S$5),"XXXXX","")</f>
        <v/>
      </c>
      <c r="T53" s="161" t="str">
        <f aca="false">IF(AND($C53&lt;=T$5,$C53+$D53&gt;T$5),"XXXXX","")</f>
        <v/>
      </c>
      <c r="U53" s="161" t="str">
        <f aca="false">IF(AND($C53&lt;=U$5,$C53+$D53&gt;U$5),"XXXXX","")</f>
        <v>XXXXX</v>
      </c>
      <c r="V53" s="161" t="str">
        <f aca="false">IF(AND($C53&lt;=V$5,$C53+$D53&gt;V$5),"XXXXX","")</f>
        <v>XXXXX</v>
      </c>
      <c r="W53" s="161" t="str">
        <f aca="false">IF(AND($C53&lt;=W$5,$C53+$D53&gt;W$5),"XXXXX","")</f>
        <v>XXXXX</v>
      </c>
      <c r="X53" s="16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customFormat="false" ht="17.25" hidden="false" customHeight="true" outlineLevel="0" collapsed="false">
      <c r="A54" s="159" t="s">
        <v>217</v>
      </c>
      <c r="B54" s="145"/>
      <c r="C54" s="197" t="n">
        <v>-8</v>
      </c>
      <c r="D54" s="198" t="n">
        <f aca="false">-C54</f>
        <v>8</v>
      </c>
      <c r="E54" s="161" t="str">
        <f aca="false">IF(AND($C54&lt;=E$5,$C54+$D54&gt;E$5),"XXXXX","")</f>
        <v/>
      </c>
      <c r="F54" s="161" t="str">
        <f aca="false">IF(AND($C54&lt;=F$5,$C54+$D54&gt;F$5),"XXXXX","")</f>
        <v/>
      </c>
      <c r="G54" s="161" t="str">
        <f aca="false">IF(AND($C54&lt;=G$5,$C54+$D54&gt;G$5),"XXXXX","")</f>
        <v/>
      </c>
      <c r="H54" s="161" t="str">
        <f aca="false">IF(AND($C54&lt;=H$5,$C54+$D54&gt;H$5),"XXXXX","")</f>
        <v/>
      </c>
      <c r="I54" s="161" t="str">
        <f aca="false">IF(AND($C54&lt;=I$5,$C54+$D54&gt;I$5),"XXXXX","")</f>
        <v/>
      </c>
      <c r="J54" s="161" t="str">
        <f aca="false">IF(AND($C54&lt;=J$5,$C54+$D54&gt;J$5),"XXXXX","")</f>
        <v/>
      </c>
      <c r="K54" s="161" t="str">
        <f aca="false">IF(AND($C54&lt;=K$5,$C54+$D54&gt;K$5),"XXXXX","")</f>
        <v/>
      </c>
      <c r="L54" s="161" t="str">
        <f aca="false">IF(AND($C54&lt;=L$5,$C54+$D54&gt;L$5),"XXXXX","")</f>
        <v/>
      </c>
      <c r="M54" s="161" t="str">
        <f aca="false">IF(AND($C54&lt;=M$5,$C54+$D54&gt;M$5),"XXXXX","")</f>
        <v/>
      </c>
      <c r="N54" s="161" t="str">
        <f aca="false">IF(AND($C54&lt;=N$5,$C54+$D54&gt;N$5),"XXXXX","")</f>
        <v/>
      </c>
      <c r="O54" s="161" t="str">
        <f aca="false">IF(AND($C54&lt;=O$5,$C54+$D54&gt;O$5),"XXXXX","")</f>
        <v/>
      </c>
      <c r="P54" s="161" t="str">
        <f aca="false">IF(AND($C54&lt;=P$5,$C54+$D54&gt;P$5),"XXXXX","")</f>
        <v>XXXXX</v>
      </c>
      <c r="Q54" s="161" t="str">
        <f aca="false">IF(AND($C54&lt;=Q$5,$C54+$D54&gt;Q$5),"XXXXX","")</f>
        <v>XXXXX</v>
      </c>
      <c r="R54" s="161" t="str">
        <f aca="false">IF(AND($C54&lt;=R$5,$C54+$D54&gt;R$5),"XXXXX","")</f>
        <v>XXXXX</v>
      </c>
      <c r="S54" s="161" t="str">
        <f aca="false">IF(AND($C54&lt;=S$5,$C54+$D54&gt;S$5),"XXXXX","")</f>
        <v>XXXXX</v>
      </c>
      <c r="T54" s="161" t="str">
        <f aca="false">IF(AND($C54&lt;=T$5,$C54+$D54&gt;T$5),"XXXXX","")</f>
        <v>XXXXX</v>
      </c>
      <c r="U54" s="161" t="str">
        <f aca="false">IF(AND($C54&lt;=U$5,$C54+$D54&gt;U$5),"XXXXX","")</f>
        <v>XXXXX</v>
      </c>
      <c r="V54" s="161" t="str">
        <f aca="false">IF(AND($C54&lt;=V$5,$C54+$D54&gt;V$5),"XXXXX","")</f>
        <v>XXXXX</v>
      </c>
      <c r="W54" s="161" t="str">
        <f aca="false">IF(AND($C54&lt;=W$5,$C54+$D54&gt;W$5),"XXXXX","")</f>
        <v>XXXXX</v>
      </c>
      <c r="X54" s="16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customFormat="false" ht="17.25" hidden="false" customHeight="true" outlineLevel="0" collapsed="false">
      <c r="A55" s="159" t="s">
        <v>218</v>
      </c>
      <c r="B55" s="145"/>
      <c r="C55" s="197" t="n">
        <v>-6</v>
      </c>
      <c r="D55" s="198" t="n">
        <f aca="false">-C55</f>
        <v>6</v>
      </c>
      <c r="E55" s="161" t="str">
        <f aca="false">IF(AND($C55&lt;=E$5,$C55+$D55&gt;E$5),"XXXXX","")</f>
        <v/>
      </c>
      <c r="F55" s="161" t="str">
        <f aca="false">IF(AND($C55&lt;=F$5,$C55+$D55&gt;F$5),"XXXXX","")</f>
        <v/>
      </c>
      <c r="G55" s="161" t="str">
        <f aca="false">IF(AND($C55&lt;=G$5,$C55+$D55&gt;G$5),"XXXXX","")</f>
        <v/>
      </c>
      <c r="H55" s="161" t="str">
        <f aca="false">IF(AND($C55&lt;=H$5,$C55+$D55&gt;H$5),"XXXXX","")</f>
        <v/>
      </c>
      <c r="I55" s="161" t="str">
        <f aca="false">IF(AND($C55&lt;=I$5,$C55+$D55&gt;I$5),"XXXXX","")</f>
        <v/>
      </c>
      <c r="J55" s="161" t="str">
        <f aca="false">IF(AND($C55&lt;=J$5,$C55+$D55&gt;J$5),"XXXXX","")</f>
        <v/>
      </c>
      <c r="K55" s="161" t="str">
        <f aca="false">IF(AND($C55&lt;=K$5,$C55+$D55&gt;K$5),"XXXXX","")</f>
        <v/>
      </c>
      <c r="L55" s="161" t="str">
        <f aca="false">IF(AND($C55&lt;=L$5,$C55+$D55&gt;L$5),"XXXXX","")</f>
        <v/>
      </c>
      <c r="M55" s="161" t="str">
        <f aca="false">IF(AND($C55&lt;=M$5,$C55+$D55&gt;M$5),"XXXXX","")</f>
        <v/>
      </c>
      <c r="N55" s="161" t="str">
        <f aca="false">IF(AND($C55&lt;=N$5,$C55+$D55&gt;N$5),"XXXXX","")</f>
        <v/>
      </c>
      <c r="O55" s="161" t="str">
        <f aca="false">IF(AND($C55&lt;=O$5,$C55+$D55&gt;O$5),"XXXXX","")</f>
        <v/>
      </c>
      <c r="P55" s="161" t="str">
        <f aca="false">IF(AND($C55&lt;=P$5,$C55+$D55&gt;P$5),"XXXXX","")</f>
        <v/>
      </c>
      <c r="Q55" s="161" t="str">
        <f aca="false">IF(AND($C55&lt;=Q$5,$C55+$D55&gt;Q$5),"XXXXX","")</f>
        <v/>
      </c>
      <c r="R55" s="161" t="str">
        <f aca="false">IF(AND($C55&lt;=R$5,$C55+$D55&gt;R$5),"XXXXX","")</f>
        <v>XXXXX</v>
      </c>
      <c r="S55" s="161" t="str">
        <f aca="false">IF(AND($C55&lt;=S$5,$C55+$D55&gt;S$5),"XXXXX","")</f>
        <v>XXXXX</v>
      </c>
      <c r="T55" s="161" t="str">
        <f aca="false">IF(AND($C55&lt;=T$5,$C55+$D55&gt;T$5),"XXXXX","")</f>
        <v>XXXXX</v>
      </c>
      <c r="U55" s="161" t="str">
        <f aca="false">IF(AND($C55&lt;=U$5,$C55+$D55&gt;U$5),"XXXXX","")</f>
        <v>XXXXX</v>
      </c>
      <c r="V55" s="161" t="str">
        <f aca="false">IF(AND($C55&lt;=V$5,$C55+$D55&gt;V$5),"XXXXX","")</f>
        <v>XXXXX</v>
      </c>
      <c r="W55" s="161" t="str">
        <f aca="false">IF(AND($C55&lt;=W$5,$C55+$D55&gt;W$5),"XXXXX","")</f>
        <v>XXXXX</v>
      </c>
      <c r="X55" s="16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customFormat="false" ht="17.25" hidden="false" customHeight="true" outlineLevel="0" collapsed="false">
      <c r="A56" s="199" t="s">
        <v>219</v>
      </c>
      <c r="B56" s="200"/>
      <c r="C56" s="201" t="n">
        <v>-3</v>
      </c>
      <c r="D56" s="198" t="n">
        <f aca="false">-C56</f>
        <v>3</v>
      </c>
      <c r="E56" s="161" t="str">
        <f aca="false">IF(AND($C56&lt;=E$5,$C56+$D56&gt;E$5),"XXXXX","")</f>
        <v/>
      </c>
      <c r="F56" s="161" t="str">
        <f aca="false">IF(AND($C56&lt;=F$5,$C56+$D56&gt;F$5),"XXXXX","")</f>
        <v/>
      </c>
      <c r="G56" s="161" t="str">
        <f aca="false">IF(AND($C56&lt;=G$5,$C56+$D56&gt;G$5),"XXXXX","")</f>
        <v/>
      </c>
      <c r="H56" s="161" t="str">
        <f aca="false">IF(AND($C56&lt;=H$5,$C56+$D56&gt;H$5),"XXXXX","")</f>
        <v/>
      </c>
      <c r="I56" s="161" t="str">
        <f aca="false">IF(AND($C56&lt;=I$5,$C56+$D56&gt;I$5),"XXXXX","")</f>
        <v/>
      </c>
      <c r="J56" s="161" t="str">
        <f aca="false">IF(AND($C56&lt;=J$5,$C56+$D56&gt;J$5),"XXXXX","")</f>
        <v/>
      </c>
      <c r="K56" s="161" t="str">
        <f aca="false">IF(AND($C56&lt;=K$5,$C56+$D56&gt;K$5),"XXXXX","")</f>
        <v/>
      </c>
      <c r="L56" s="161" t="str">
        <f aca="false">IF(AND($C56&lt;=L$5,$C56+$D56&gt;L$5),"XXXXX","")</f>
        <v/>
      </c>
      <c r="M56" s="161" t="str">
        <f aca="false">IF(AND($C56&lt;=M$5,$C56+$D56&gt;M$5),"XXXXX","")</f>
        <v/>
      </c>
      <c r="N56" s="161" t="str">
        <f aca="false">IF(AND($C56&lt;=N$5,$C56+$D56&gt;N$5),"XXXXX","")</f>
        <v/>
      </c>
      <c r="O56" s="161" t="str">
        <f aca="false">IF(AND($C56&lt;=O$5,$C56+$D56&gt;O$5),"XXXXX","")</f>
        <v/>
      </c>
      <c r="P56" s="161" t="str">
        <f aca="false">IF(AND($C56&lt;=P$5,$C56+$D56&gt;P$5),"XXXXX","")</f>
        <v/>
      </c>
      <c r="Q56" s="161" t="str">
        <f aca="false">IF(AND($C56&lt;=Q$5,$C56+$D56&gt;Q$5),"XXXXX","")</f>
        <v/>
      </c>
      <c r="R56" s="161" t="str">
        <f aca="false">IF(AND($C56&lt;=R$5,$C56+$D56&gt;R$5),"XXXXX","")</f>
        <v/>
      </c>
      <c r="S56" s="161" t="str">
        <f aca="false">IF(AND($C56&lt;=S$5,$C56+$D56&gt;S$5),"XXXXX","")</f>
        <v/>
      </c>
      <c r="T56" s="161" t="str">
        <f aca="false">IF(AND($C56&lt;=T$5,$C56+$D56&gt;T$5),"XXXXX","")</f>
        <v/>
      </c>
      <c r="U56" s="161" t="str">
        <f aca="false">IF(AND($C56&lt;=U$5,$C56+$D56&gt;U$5),"XXXXX","")</f>
        <v>XXXXX</v>
      </c>
      <c r="V56" s="161" t="str">
        <f aca="false">IF(AND($C56&lt;=V$5,$C56+$D56&gt;V$5),"XXXXX","")</f>
        <v>XXXXX</v>
      </c>
      <c r="W56" s="161" t="str">
        <f aca="false">IF(AND($C56&lt;=W$5,$C56+$D56&gt;W$5),"XXXXX","")</f>
        <v>XXXXX</v>
      </c>
      <c r="X56" s="16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customFormat="false" ht="13.5" hidden="false" customHeight="false" outlineLevel="0" collapsed="false">
      <c r="A57" s="202"/>
      <c r="B57" s="203"/>
      <c r="C57" s="203"/>
      <c r="D57" s="203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5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customFormat="false" ht="12.75" hidden="false" customHeight="false" outlineLevel="0" collapsed="false">
      <c r="A58" s="206"/>
      <c r="B58" s="135"/>
      <c r="C58" s="135"/>
      <c r="D58" s="135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customFormat="false" ht="12.75" hidden="false" customHeight="false" outlineLevel="0" collapsed="false">
      <c r="A59" s="206"/>
      <c r="B59" s="135"/>
      <c r="C59" s="135"/>
      <c r="D59" s="135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customFormat="false" ht="12.75" hidden="false" customHeight="false" outlineLevel="0" collapsed="false">
      <c r="A60" s="206"/>
      <c r="B60" s="135"/>
      <c r="C60" s="135"/>
      <c r="D60" s="135"/>
      <c r="E60" s="2"/>
      <c r="F60" s="2"/>
      <c r="G60" s="2"/>
      <c r="H60" s="2"/>
      <c r="I60" s="2"/>
      <c r="J60" s="2"/>
      <c r="K60" s="2"/>
      <c r="L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customFormat="false" ht="12.75" hidden="false" customHeight="false" outlineLevel="0" collapsed="false">
      <c r="A61" s="206"/>
      <c r="B61" s="135"/>
      <c r="C61" s="135"/>
      <c r="D61" s="135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customFormat="false" ht="12.75" hidden="false" customHeight="false" outlineLevel="0" collapsed="false">
      <c r="A62" s="206"/>
      <c r="B62" s="135"/>
      <c r="C62" s="135"/>
      <c r="D62" s="135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customFormat="false" ht="12.75" hidden="false" customHeight="false" outlineLevel="0" collapsed="false">
      <c r="A63" s="206"/>
      <c r="B63" s="135"/>
      <c r="C63" s="135"/>
      <c r="D63" s="135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customFormat="false" ht="12.75" hidden="false" customHeight="false" outlineLevel="0" collapsed="false">
      <c r="A64" s="206"/>
      <c r="B64" s="135"/>
      <c r="C64" s="135"/>
      <c r="D64" s="135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customFormat="false" ht="12.75" hidden="false" customHeight="false" outlineLevel="0" collapsed="false">
      <c r="A65" s="206"/>
      <c r="B65" s="135"/>
      <c r="C65" s="135"/>
      <c r="D65" s="135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customFormat="false" ht="12.75" hidden="false" customHeight="false" outlineLevel="0" collapsed="false">
      <c r="A66" s="206"/>
      <c r="B66" s="135"/>
      <c r="C66" s="135"/>
      <c r="D66" s="135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customFormat="false" ht="12.75" hidden="false" customHeight="false" outlineLevel="0" collapsed="false">
      <c r="A67" s="206"/>
      <c r="B67" s="135"/>
      <c r="C67" s="135"/>
      <c r="D67" s="135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customFormat="false" ht="12.75" hidden="false" customHeight="false" outlineLevel="0" collapsed="false">
      <c r="A68" s="206"/>
      <c r="B68" s="135"/>
      <c r="C68" s="135"/>
      <c r="D68" s="135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customFormat="false" ht="12.75" hidden="false" customHeight="false" outlineLevel="0" collapsed="false">
      <c r="A69" s="206"/>
      <c r="B69" s="135"/>
      <c r="C69" s="135"/>
      <c r="D69" s="135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customFormat="false" ht="12.75" hidden="false" customHeight="false" outlineLevel="0" collapsed="false">
      <c r="A70" s="206"/>
      <c r="B70" s="135"/>
      <c r="C70" s="135"/>
      <c r="D70" s="135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customFormat="false" ht="12.75" hidden="false" customHeight="false" outlineLevel="0" collapsed="false">
      <c r="A71" s="206"/>
      <c r="B71" s="135"/>
      <c r="C71" s="135"/>
      <c r="D71" s="135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customFormat="false" ht="12.75" hidden="false" customHeight="false" outlineLevel="0" collapsed="false">
      <c r="A72" s="206"/>
      <c r="B72" s="135"/>
      <c r="C72" s="135"/>
      <c r="D72" s="135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customFormat="false" ht="12.75" hidden="false" customHeight="false" outlineLevel="0" collapsed="false">
      <c r="A73" s="206"/>
      <c r="B73" s="135"/>
      <c r="C73" s="135"/>
      <c r="D73" s="135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customFormat="false" ht="12.75" hidden="false" customHeight="false" outlineLevel="0" collapsed="false">
      <c r="A74" s="206"/>
      <c r="B74" s="135"/>
      <c r="C74" s="135"/>
      <c r="D74" s="135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customFormat="false" ht="12.75" hidden="false" customHeight="false" outlineLevel="0" collapsed="false">
      <c r="A75" s="206"/>
      <c r="B75" s="135"/>
      <c r="C75" s="135"/>
      <c r="D75" s="135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customFormat="false" ht="12.75" hidden="false" customHeight="false" outlineLevel="0" collapsed="false">
      <c r="A76" s="206"/>
      <c r="B76" s="135"/>
      <c r="C76" s="135"/>
      <c r="D76" s="135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customFormat="false" ht="12.75" hidden="false" customHeight="false" outlineLevel="0" collapsed="false">
      <c r="A77" s="206"/>
      <c r="B77" s="135"/>
      <c r="C77" s="135"/>
      <c r="D77" s="135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customFormat="false" ht="12.75" hidden="false" customHeight="false" outlineLevel="0" collapsed="false">
      <c r="A78" s="206"/>
      <c r="B78" s="135"/>
      <c r="C78" s="135"/>
      <c r="D78" s="135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customFormat="false" ht="12.75" hidden="false" customHeight="false" outlineLevel="0" collapsed="false">
      <c r="A79" s="206"/>
      <c r="B79" s="135"/>
      <c r="C79" s="135"/>
      <c r="D79" s="135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customFormat="false" ht="12.75" hidden="false" customHeight="false" outlineLevel="0" collapsed="false">
      <c r="A80" s="206"/>
      <c r="B80" s="135"/>
      <c r="C80" s="135"/>
      <c r="D80" s="135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customFormat="false" ht="12.75" hidden="false" customHeight="false" outlineLevel="0" collapsed="false">
      <c r="A81" s="206"/>
      <c r="B81" s="135"/>
      <c r="C81" s="135"/>
      <c r="D81" s="135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customFormat="false" ht="12.75" hidden="false" customHeight="false" outlineLevel="0" collapsed="false">
      <c r="A82" s="206"/>
      <c r="B82" s="135"/>
      <c r="C82" s="135"/>
      <c r="D82" s="135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customFormat="false" ht="12.75" hidden="false" customHeight="false" outlineLevel="0" collapsed="false">
      <c r="A83" s="206"/>
      <c r="B83" s="135"/>
      <c r="C83" s="135"/>
      <c r="D83" s="135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customFormat="false" ht="12.75" hidden="false" customHeight="false" outlineLevel="0" collapsed="false">
      <c r="A84" s="206"/>
      <c r="B84" s="135"/>
      <c r="C84" s="135"/>
      <c r="D84" s="135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customFormat="false" ht="12.75" hidden="false" customHeight="false" outlineLevel="0" collapsed="false">
      <c r="A85" s="206"/>
      <c r="B85" s="135"/>
      <c r="C85" s="135"/>
      <c r="D85" s="135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customFormat="false" ht="12.75" hidden="false" customHeight="false" outlineLevel="0" collapsed="false">
      <c r="A86" s="206"/>
      <c r="B86" s="135"/>
      <c r="C86" s="135"/>
      <c r="D86" s="135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customFormat="false" ht="12.75" hidden="false" customHeight="false" outlineLevel="0" collapsed="false">
      <c r="A87" s="206"/>
      <c r="B87" s="135"/>
      <c r="C87" s="135"/>
      <c r="D87" s="135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customFormat="false" ht="12.75" hidden="false" customHeight="false" outlineLevel="0" collapsed="false">
      <c r="A88" s="206"/>
      <c r="B88" s="135"/>
      <c r="C88" s="135"/>
      <c r="D88" s="135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customFormat="false" ht="12.75" hidden="false" customHeight="false" outlineLevel="0" collapsed="false">
      <c r="A89" s="206"/>
      <c r="B89" s="135"/>
      <c r="C89" s="135"/>
      <c r="D89" s="135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customFormat="false" ht="12.75" hidden="false" customHeight="false" outlineLevel="0" collapsed="false">
      <c r="A90" s="206"/>
      <c r="B90" s="135"/>
      <c r="C90" s="135"/>
      <c r="D90" s="135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customFormat="false" ht="12.75" hidden="false" customHeight="false" outlineLevel="0" collapsed="false">
      <c r="A91" s="206"/>
      <c r="B91" s="135"/>
      <c r="C91" s="135"/>
      <c r="D91" s="135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customFormat="false" ht="12.75" hidden="false" customHeight="false" outlineLevel="0" collapsed="false">
      <c r="A92" s="206"/>
      <c r="B92" s="135"/>
      <c r="C92" s="135"/>
      <c r="D92" s="135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customFormat="false" ht="12.75" hidden="false" customHeight="false" outlineLevel="0" collapsed="false">
      <c r="A93" s="206"/>
      <c r="B93" s="135"/>
      <c r="C93" s="135"/>
      <c r="D93" s="135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customFormat="false" ht="12.75" hidden="false" customHeight="false" outlineLevel="0" collapsed="false">
      <c r="A94" s="206"/>
      <c r="B94" s="135"/>
      <c r="C94" s="135"/>
      <c r="D94" s="135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customFormat="false" ht="12.75" hidden="false" customHeight="false" outlineLevel="0" collapsed="false">
      <c r="A95" s="206"/>
      <c r="B95" s="135"/>
      <c r="C95" s="135"/>
      <c r="D95" s="135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customFormat="false" ht="12.75" hidden="false" customHeight="false" outlineLevel="0" collapsed="false">
      <c r="A96" s="206"/>
      <c r="B96" s="135"/>
      <c r="C96" s="135"/>
      <c r="D96" s="135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customFormat="false" ht="12.75" hidden="false" customHeight="false" outlineLevel="0" collapsed="false">
      <c r="A97" s="206"/>
      <c r="B97" s="135"/>
      <c r="C97" s="135"/>
      <c r="D97" s="135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customFormat="false" ht="12.75" hidden="false" customHeight="false" outlineLevel="0" collapsed="false">
      <c r="A98" s="206"/>
      <c r="B98" s="135"/>
      <c r="C98" s="135"/>
      <c r="D98" s="135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customFormat="false" ht="12.75" hidden="false" customHeight="false" outlineLevel="0" collapsed="false">
      <c r="A99" s="206"/>
      <c r="B99" s="135"/>
      <c r="C99" s="135"/>
      <c r="D99" s="135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customFormat="false" ht="12.75" hidden="false" customHeight="false" outlineLevel="0" collapsed="false">
      <c r="A100" s="206"/>
      <c r="B100" s="135"/>
      <c r="C100" s="135"/>
      <c r="D100" s="135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customFormat="false" ht="12.75" hidden="false" customHeight="false" outlineLevel="0" collapsed="false">
      <c r="A101" s="206"/>
      <c r="B101" s="135"/>
      <c r="C101" s="135"/>
      <c r="D101" s="135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customFormat="false" ht="12.75" hidden="false" customHeight="false" outlineLevel="0" collapsed="false">
      <c r="A102" s="206"/>
      <c r="B102" s="135"/>
      <c r="C102" s="135"/>
      <c r="D102" s="135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customFormat="false" ht="12.75" hidden="false" customHeight="false" outlineLevel="0" collapsed="false">
      <c r="A103" s="206"/>
      <c r="B103" s="135"/>
      <c r="C103" s="135"/>
      <c r="D103" s="135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customFormat="false" ht="12.75" hidden="false" customHeight="false" outlineLevel="0" collapsed="false">
      <c r="A104" s="206"/>
      <c r="B104" s="135"/>
      <c r="C104" s="135"/>
      <c r="D104" s="135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customFormat="false" ht="12.75" hidden="false" customHeight="false" outlineLevel="0" collapsed="false">
      <c r="A105" s="206"/>
      <c r="B105" s="135"/>
      <c r="C105" s="135"/>
      <c r="D105" s="135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customFormat="false" ht="12.75" hidden="false" customHeight="false" outlineLevel="0" collapsed="false">
      <c r="A106" s="206"/>
      <c r="B106" s="135"/>
      <c r="C106" s="135"/>
      <c r="D106" s="135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customFormat="false" ht="12.75" hidden="false" customHeight="false" outlineLevel="0" collapsed="false">
      <c r="A107" s="206"/>
      <c r="B107" s="135"/>
      <c r="C107" s="135"/>
      <c r="D107" s="135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customFormat="false" ht="12.75" hidden="false" customHeight="false" outlineLevel="0" collapsed="false">
      <c r="A108" s="206"/>
      <c r="B108" s="135"/>
      <c r="C108" s="135"/>
      <c r="D108" s="135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customFormat="false" ht="12.75" hidden="false" customHeight="false" outlineLevel="0" collapsed="false">
      <c r="A109" s="206"/>
      <c r="B109" s="135"/>
      <c r="C109" s="135"/>
      <c r="D109" s="135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customFormat="false" ht="12.75" hidden="false" customHeight="false" outlineLevel="0" collapsed="false">
      <c r="A110" s="206"/>
      <c r="B110" s="135"/>
      <c r="C110" s="135"/>
      <c r="D110" s="135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customFormat="false" ht="12.75" hidden="false" customHeight="false" outlineLevel="0" collapsed="false">
      <c r="A111" s="206"/>
      <c r="B111" s="135"/>
      <c r="C111" s="135"/>
      <c r="D111" s="135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customFormat="false" ht="12.75" hidden="false" customHeight="false" outlineLevel="0" collapsed="false">
      <c r="A112" s="206"/>
      <c r="B112" s="135"/>
      <c r="C112" s="135"/>
      <c r="D112" s="135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customFormat="false" ht="12.75" hidden="false" customHeight="false" outlineLevel="0" collapsed="false">
      <c r="A113" s="206"/>
      <c r="B113" s="135"/>
      <c r="C113" s="135"/>
      <c r="D113" s="135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customFormat="false" ht="12.75" hidden="false" customHeight="false" outlineLevel="0" collapsed="false">
      <c r="A114" s="206"/>
      <c r="B114" s="135"/>
      <c r="C114" s="135"/>
      <c r="D114" s="135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customFormat="false" ht="12.75" hidden="false" customHeight="false" outlineLevel="0" collapsed="false">
      <c r="A115" s="206"/>
      <c r="B115" s="135"/>
      <c r="C115" s="135"/>
      <c r="D115" s="135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customFormat="false" ht="12.75" hidden="false" customHeight="false" outlineLevel="0" collapsed="false">
      <c r="A116" s="206"/>
      <c r="B116" s="135"/>
      <c r="C116" s="135"/>
      <c r="D116" s="135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customFormat="false" ht="12.75" hidden="false" customHeight="false" outlineLevel="0" collapsed="false">
      <c r="A117" s="206"/>
      <c r="B117" s="135"/>
      <c r="C117" s="135"/>
      <c r="D117" s="135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customFormat="false" ht="12.75" hidden="false" customHeight="false" outlineLevel="0" collapsed="false">
      <c r="A118" s="206"/>
      <c r="B118" s="135"/>
      <c r="C118" s="135"/>
      <c r="D118" s="135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customFormat="false" ht="12.75" hidden="false" customHeight="false" outlineLevel="0" collapsed="false">
      <c r="A119" s="206"/>
      <c r="B119" s="135"/>
      <c r="C119" s="135"/>
      <c r="D119" s="135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customFormat="false" ht="12.75" hidden="false" customHeight="false" outlineLevel="0" collapsed="false">
      <c r="A120" s="206"/>
      <c r="B120" s="135"/>
      <c r="C120" s="135"/>
      <c r="D120" s="135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customFormat="false" ht="12.75" hidden="false" customHeight="false" outlineLevel="0" collapsed="false">
      <c r="A121" s="206"/>
      <c r="B121" s="135"/>
      <c r="C121" s="135"/>
      <c r="D121" s="135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customFormat="false" ht="12.75" hidden="false" customHeight="false" outlineLevel="0" collapsed="false">
      <c r="A122" s="206"/>
      <c r="B122" s="135"/>
      <c r="C122" s="135"/>
      <c r="D122" s="135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customFormat="false" ht="12.75" hidden="false" customHeight="false" outlineLevel="0" collapsed="false">
      <c r="A123" s="206"/>
      <c r="B123" s="135"/>
      <c r="C123" s="135"/>
      <c r="D123" s="135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customFormat="false" ht="12.75" hidden="false" customHeight="false" outlineLevel="0" collapsed="false">
      <c r="A124" s="206"/>
      <c r="B124" s="135"/>
      <c r="C124" s="135"/>
      <c r="D124" s="13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customFormat="false" ht="12.75" hidden="false" customHeight="false" outlineLevel="0" collapsed="false">
      <c r="A125" s="206"/>
      <c r="B125" s="135"/>
      <c r="C125" s="135"/>
      <c r="D125" s="13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customFormat="false" ht="12.75" hidden="false" customHeight="false" outlineLevel="0" collapsed="false">
      <c r="A126" s="206"/>
      <c r="B126" s="135"/>
      <c r="C126" s="135"/>
      <c r="D126" s="135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customFormat="false" ht="12.75" hidden="false" customHeight="false" outlineLevel="0" collapsed="false">
      <c r="A127" s="206"/>
      <c r="B127" s="135"/>
      <c r="C127" s="135"/>
      <c r="D127" s="135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customFormat="false" ht="12.75" hidden="false" customHeight="false" outlineLevel="0" collapsed="false">
      <c r="A128" s="206"/>
      <c r="B128" s="135"/>
      <c r="C128" s="135"/>
      <c r="D128" s="135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customFormat="false" ht="12.75" hidden="false" customHeight="false" outlineLevel="0" collapsed="false">
      <c r="A129" s="206"/>
      <c r="B129" s="135"/>
      <c r="C129" s="135"/>
      <c r="D129" s="135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customFormat="false" ht="12.75" hidden="false" customHeight="false" outlineLevel="0" collapsed="false">
      <c r="A130" s="206"/>
      <c r="B130" s="135"/>
      <c r="C130" s="135"/>
      <c r="D130" s="135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customFormat="false" ht="12.75" hidden="false" customHeight="false" outlineLevel="0" collapsed="false">
      <c r="A131" s="206"/>
      <c r="B131" s="135"/>
      <c r="C131" s="135"/>
      <c r="D131" s="135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customFormat="false" ht="12.75" hidden="false" customHeight="false" outlineLevel="0" collapsed="false">
      <c r="A132" s="206"/>
      <c r="B132" s="135"/>
      <c r="C132" s="135"/>
      <c r="D132" s="135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customFormat="false" ht="12.75" hidden="false" customHeight="false" outlineLevel="0" collapsed="false">
      <c r="A133" s="206"/>
      <c r="B133" s="135"/>
      <c r="C133" s="135"/>
      <c r="D133" s="135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customFormat="false" ht="12.75" hidden="false" customHeight="false" outlineLevel="0" collapsed="false">
      <c r="A134" s="206"/>
      <c r="B134" s="135"/>
      <c r="C134" s="135"/>
      <c r="D134" s="135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customFormat="false" ht="12.75" hidden="false" customHeight="false" outlineLevel="0" collapsed="false">
      <c r="A135" s="206"/>
      <c r="B135" s="135"/>
      <c r="C135" s="135"/>
      <c r="D135" s="135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customFormat="false" ht="12.75" hidden="false" customHeight="false" outlineLevel="0" collapsed="false">
      <c r="A136" s="206"/>
      <c r="B136" s="135"/>
      <c r="C136" s="135"/>
      <c r="D136" s="135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customFormat="false" ht="12.75" hidden="false" customHeight="false" outlineLevel="0" collapsed="false">
      <c r="A137" s="206"/>
      <c r="B137" s="135"/>
      <c r="C137" s="135"/>
      <c r="D137" s="135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customFormat="false" ht="12.75" hidden="false" customHeight="false" outlineLevel="0" collapsed="false">
      <c r="A138" s="206"/>
      <c r="B138" s="135"/>
      <c r="C138" s="135"/>
      <c r="D138" s="135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customFormat="false" ht="12.75" hidden="false" customHeight="false" outlineLevel="0" collapsed="false">
      <c r="A139" s="206"/>
      <c r="B139" s="135"/>
      <c r="C139" s="135"/>
      <c r="D139" s="135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customFormat="false" ht="12.75" hidden="false" customHeight="false" outlineLevel="0" collapsed="false">
      <c r="A140" s="206"/>
      <c r="B140" s="135"/>
      <c r="C140" s="135"/>
      <c r="D140" s="135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customFormat="false" ht="12.75" hidden="false" customHeight="false" outlineLevel="0" collapsed="false">
      <c r="A141" s="206"/>
      <c r="B141" s="135"/>
      <c r="C141" s="135"/>
      <c r="D141" s="135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customFormat="false" ht="12.75" hidden="false" customHeight="false" outlineLevel="0" collapsed="false">
      <c r="A142" s="206"/>
      <c r="B142" s="135"/>
      <c r="C142" s="135"/>
      <c r="D142" s="135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customFormat="false" ht="12.75" hidden="false" customHeight="false" outlineLevel="0" collapsed="false">
      <c r="A143" s="206"/>
      <c r="B143" s="135"/>
      <c r="C143" s="135"/>
      <c r="D143" s="135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customFormat="false" ht="12.75" hidden="false" customHeight="false" outlineLevel="0" collapsed="false">
      <c r="A144" s="206"/>
      <c r="B144" s="135"/>
      <c r="C144" s="135"/>
      <c r="D144" s="135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customFormat="false" ht="12.75" hidden="false" customHeight="false" outlineLevel="0" collapsed="false">
      <c r="A145" s="206"/>
      <c r="B145" s="135"/>
      <c r="C145" s="135"/>
      <c r="D145" s="135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customFormat="false" ht="12.75" hidden="false" customHeight="false" outlineLevel="0" collapsed="false">
      <c r="A146" s="206"/>
      <c r="B146" s="135"/>
      <c r="C146" s="135"/>
      <c r="D146" s="135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customFormat="false" ht="12.75" hidden="false" customHeight="false" outlineLevel="0" collapsed="false">
      <c r="A147" s="206"/>
      <c r="B147" s="135"/>
      <c r="C147" s="135"/>
      <c r="D147" s="135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customFormat="false" ht="12.75" hidden="false" customHeight="false" outlineLevel="0" collapsed="false">
      <c r="A148" s="206"/>
      <c r="B148" s="135"/>
      <c r="C148" s="135"/>
      <c r="D148" s="135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customFormat="false" ht="12.75" hidden="false" customHeight="false" outlineLevel="0" collapsed="false">
      <c r="A149" s="206"/>
      <c r="B149" s="135"/>
      <c r="C149" s="135"/>
      <c r="D149" s="135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customFormat="false" ht="12.75" hidden="false" customHeight="false" outlineLevel="0" collapsed="false">
      <c r="A150" s="206"/>
      <c r="B150" s="135"/>
      <c r="C150" s="135"/>
      <c r="D150" s="135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customFormat="false" ht="12.75" hidden="false" customHeight="false" outlineLevel="0" collapsed="false">
      <c r="A151" s="206"/>
      <c r="B151" s="135"/>
      <c r="C151" s="135"/>
      <c r="D151" s="135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customFormat="false" ht="12.75" hidden="false" customHeight="false" outlineLevel="0" collapsed="false">
      <c r="A152" s="206"/>
      <c r="B152" s="135"/>
      <c r="C152" s="135"/>
      <c r="D152" s="135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customFormat="false" ht="12.75" hidden="false" customHeight="false" outlineLevel="0" collapsed="false">
      <c r="A153" s="206"/>
      <c r="B153" s="135"/>
      <c r="C153" s="135"/>
      <c r="D153" s="135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customFormat="false" ht="12.75" hidden="false" customHeight="false" outlineLevel="0" collapsed="false">
      <c r="A154" s="206"/>
      <c r="B154" s="135"/>
      <c r="C154" s="135"/>
      <c r="D154" s="135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customFormat="false" ht="12.75" hidden="false" customHeight="false" outlineLevel="0" collapsed="false">
      <c r="A155" s="206"/>
      <c r="B155" s="135"/>
      <c r="C155" s="135"/>
      <c r="D155" s="135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customFormat="false" ht="12.75" hidden="false" customHeight="false" outlineLevel="0" collapsed="false">
      <c r="A156" s="206"/>
      <c r="B156" s="135"/>
      <c r="C156" s="135"/>
      <c r="D156" s="135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customFormat="false" ht="12.75" hidden="false" customHeight="false" outlineLevel="0" collapsed="false">
      <c r="A157" s="206"/>
      <c r="B157" s="135"/>
      <c r="C157" s="135"/>
      <c r="D157" s="135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customFormat="false" ht="12.75" hidden="false" customHeight="false" outlineLevel="0" collapsed="false">
      <c r="A158" s="206"/>
      <c r="B158" s="135"/>
      <c r="C158" s="135"/>
      <c r="D158" s="135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customFormat="false" ht="12.75" hidden="false" customHeight="false" outlineLevel="0" collapsed="false">
      <c r="A159" s="206"/>
      <c r="B159" s="135"/>
      <c r="C159" s="135"/>
      <c r="D159" s="135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customFormat="false" ht="12.75" hidden="false" customHeight="false" outlineLevel="0" collapsed="false">
      <c r="A160" s="206"/>
      <c r="B160" s="135"/>
      <c r="C160" s="135"/>
      <c r="D160" s="135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customFormat="false" ht="12.75" hidden="false" customHeight="false" outlineLevel="0" collapsed="false">
      <c r="A161" s="206"/>
      <c r="B161" s="135"/>
      <c r="C161" s="135"/>
      <c r="D161" s="135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customFormat="false" ht="12.75" hidden="false" customHeight="false" outlineLevel="0" collapsed="false">
      <c r="A162" s="206"/>
      <c r="B162" s="135"/>
      <c r="C162" s="135"/>
      <c r="D162" s="135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customFormat="false" ht="12.75" hidden="false" customHeight="false" outlineLevel="0" collapsed="false">
      <c r="A163" s="206"/>
      <c r="B163" s="135"/>
      <c r="C163" s="135"/>
      <c r="D163" s="135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customFormat="false" ht="12.75" hidden="false" customHeight="false" outlineLevel="0" collapsed="false">
      <c r="A164" s="206"/>
      <c r="B164" s="135"/>
      <c r="C164" s="135"/>
      <c r="D164" s="135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customFormat="false" ht="12.75" hidden="false" customHeight="false" outlineLevel="0" collapsed="false">
      <c r="A165" s="206"/>
      <c r="B165" s="135"/>
      <c r="C165" s="135"/>
      <c r="D165" s="135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customFormat="false" ht="12.75" hidden="false" customHeight="false" outlineLevel="0" collapsed="false">
      <c r="A166" s="206"/>
      <c r="B166" s="135"/>
      <c r="C166" s="135"/>
      <c r="D166" s="135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customFormat="false" ht="12.75" hidden="false" customHeight="false" outlineLevel="0" collapsed="false">
      <c r="A167" s="206"/>
      <c r="B167" s="135"/>
      <c r="C167" s="135"/>
      <c r="D167" s="135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customFormat="false" ht="12.75" hidden="false" customHeight="false" outlineLevel="0" collapsed="false">
      <c r="A168" s="206"/>
      <c r="B168" s="135"/>
      <c r="C168" s="135"/>
      <c r="D168" s="135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customFormat="false" ht="12.75" hidden="false" customHeight="false" outlineLevel="0" collapsed="false">
      <c r="A169" s="206"/>
      <c r="B169" s="135"/>
      <c r="C169" s="135"/>
      <c r="D169" s="135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customFormat="false" ht="12.75" hidden="false" customHeight="false" outlineLevel="0" collapsed="false">
      <c r="A170" s="206"/>
      <c r="B170" s="135"/>
      <c r="C170" s="135"/>
      <c r="D170" s="135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customFormat="false" ht="12.75" hidden="false" customHeight="false" outlineLevel="0" collapsed="false">
      <c r="A171" s="206"/>
      <c r="B171" s="135"/>
      <c r="C171" s="135"/>
      <c r="D171" s="135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customFormat="false" ht="12.75" hidden="false" customHeight="false" outlineLevel="0" collapsed="false">
      <c r="A172" s="206"/>
      <c r="B172" s="135"/>
      <c r="C172" s="135"/>
      <c r="D172" s="135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customFormat="false" ht="12.75" hidden="false" customHeight="false" outlineLevel="0" collapsed="false">
      <c r="A173" s="206"/>
      <c r="B173" s="135"/>
      <c r="C173" s="135"/>
      <c r="D173" s="135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customFormat="false" ht="12.75" hidden="false" customHeight="false" outlineLevel="0" collapsed="false">
      <c r="A174" s="206"/>
      <c r="B174" s="135"/>
      <c r="C174" s="135"/>
      <c r="D174" s="135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customFormat="false" ht="12.75" hidden="false" customHeight="false" outlineLevel="0" collapsed="false">
      <c r="A175" s="206"/>
      <c r="B175" s="135"/>
      <c r="C175" s="135"/>
      <c r="D175" s="135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customFormat="false" ht="12.75" hidden="false" customHeight="false" outlineLevel="0" collapsed="false">
      <c r="A176" s="206"/>
      <c r="B176" s="135"/>
      <c r="C176" s="135"/>
      <c r="D176" s="135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customFormat="false" ht="12.75" hidden="false" customHeight="false" outlineLevel="0" collapsed="false">
      <c r="A177" s="206"/>
      <c r="B177" s="135"/>
      <c r="C177" s="135"/>
      <c r="D177" s="135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customFormat="false" ht="12.75" hidden="false" customHeight="false" outlineLevel="0" collapsed="false">
      <c r="A178" s="206"/>
      <c r="B178" s="135"/>
      <c r="C178" s="135"/>
      <c r="D178" s="135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customFormat="false" ht="12.75" hidden="false" customHeight="false" outlineLevel="0" collapsed="false">
      <c r="A179" s="206"/>
      <c r="B179" s="135"/>
      <c r="C179" s="135"/>
      <c r="D179" s="135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customFormat="false" ht="12.75" hidden="false" customHeight="false" outlineLevel="0" collapsed="false">
      <c r="A180" s="206"/>
      <c r="B180" s="135"/>
      <c r="C180" s="135"/>
      <c r="D180" s="135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customFormat="false" ht="12.75" hidden="false" customHeight="false" outlineLevel="0" collapsed="false">
      <c r="A181" s="206"/>
      <c r="B181" s="135"/>
      <c r="C181" s="135"/>
      <c r="D181" s="135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customFormat="false" ht="12.75" hidden="false" customHeight="false" outlineLevel="0" collapsed="false">
      <c r="A182" s="206"/>
      <c r="B182" s="135"/>
      <c r="C182" s="135"/>
      <c r="D182" s="135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customFormat="false" ht="12.75" hidden="false" customHeight="false" outlineLevel="0" collapsed="false">
      <c r="A183" s="206"/>
      <c r="B183" s="135"/>
      <c r="C183" s="135"/>
      <c r="D183" s="135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customFormat="false" ht="12.75" hidden="false" customHeight="false" outlineLevel="0" collapsed="false">
      <c r="A184" s="206"/>
      <c r="B184" s="135"/>
      <c r="C184" s="135"/>
      <c r="D184" s="135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customFormat="false" ht="12.75" hidden="false" customHeight="false" outlineLevel="0" collapsed="false">
      <c r="A185" s="206"/>
      <c r="B185" s="135"/>
      <c r="C185" s="135"/>
      <c r="D185" s="135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customFormat="false" ht="12.75" hidden="false" customHeight="false" outlineLevel="0" collapsed="false">
      <c r="A186" s="206"/>
      <c r="B186" s="135"/>
      <c r="C186" s="135"/>
      <c r="D186" s="135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customFormat="false" ht="12.75" hidden="false" customHeight="false" outlineLevel="0" collapsed="false">
      <c r="A187" s="206"/>
      <c r="B187" s="135"/>
      <c r="C187" s="135"/>
      <c r="D187" s="135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customFormat="false" ht="12.75" hidden="false" customHeight="false" outlineLevel="0" collapsed="false">
      <c r="A188" s="206"/>
      <c r="B188" s="135"/>
      <c r="C188" s="135"/>
      <c r="D188" s="135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customFormat="false" ht="12.75" hidden="false" customHeight="false" outlineLevel="0" collapsed="false">
      <c r="A189" s="206"/>
      <c r="B189" s="135"/>
      <c r="C189" s="135"/>
      <c r="D189" s="135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customFormat="false" ht="12.75" hidden="false" customHeight="false" outlineLevel="0" collapsed="false">
      <c r="A190" s="206"/>
      <c r="B190" s="135"/>
      <c r="C190" s="135"/>
      <c r="D190" s="135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customFormat="false" ht="12.75" hidden="false" customHeight="false" outlineLevel="0" collapsed="false">
      <c r="A191" s="206"/>
      <c r="B191" s="135"/>
      <c r="C191" s="135"/>
      <c r="D191" s="135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customFormat="false" ht="12.75" hidden="false" customHeight="false" outlineLevel="0" collapsed="false">
      <c r="A192" s="206"/>
      <c r="B192" s="135"/>
      <c r="C192" s="135"/>
      <c r="D192" s="135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customFormat="false" ht="12.75" hidden="false" customHeight="false" outlineLevel="0" collapsed="false">
      <c r="A193" s="206"/>
      <c r="B193" s="135"/>
      <c r="C193" s="135"/>
      <c r="D193" s="135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customFormat="false" ht="12.75" hidden="false" customHeight="false" outlineLevel="0" collapsed="false">
      <c r="A194" s="206"/>
      <c r="B194" s="135"/>
      <c r="C194" s="135"/>
      <c r="D194" s="135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customFormat="false" ht="12.75" hidden="false" customHeight="false" outlineLevel="0" collapsed="false">
      <c r="A195" s="206"/>
      <c r="B195" s="135"/>
      <c r="C195" s="135"/>
      <c r="D195" s="135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customFormat="false" ht="12.75" hidden="false" customHeight="false" outlineLevel="0" collapsed="false">
      <c r="A196" s="206"/>
      <c r="B196" s="135"/>
      <c r="C196" s="135"/>
      <c r="D196" s="135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customFormat="false" ht="12.75" hidden="false" customHeight="false" outlineLevel="0" collapsed="false">
      <c r="A197" s="206"/>
      <c r="B197" s="135"/>
      <c r="C197" s="135"/>
      <c r="D197" s="135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customFormat="false" ht="12.75" hidden="false" customHeight="false" outlineLevel="0" collapsed="false">
      <c r="A198" s="206"/>
      <c r="B198" s="135"/>
      <c r="C198" s="135"/>
      <c r="D198" s="135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customFormat="false" ht="12.75" hidden="false" customHeight="false" outlineLevel="0" collapsed="false">
      <c r="A199" s="206"/>
      <c r="B199" s="135"/>
      <c r="C199" s="135"/>
      <c r="D199" s="135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customFormat="false" ht="12.75" hidden="false" customHeight="false" outlineLevel="0" collapsed="false">
      <c r="A200" s="206"/>
      <c r="B200" s="135"/>
      <c r="C200" s="135"/>
      <c r="D200" s="135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customFormat="false" ht="12.75" hidden="false" customHeight="false" outlineLevel="0" collapsed="false">
      <c r="A201" s="206"/>
      <c r="B201" s="135"/>
      <c r="C201" s="135"/>
      <c r="D201" s="135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customFormat="false" ht="12.75" hidden="false" customHeight="false" outlineLevel="0" collapsed="false">
      <c r="A202" s="206"/>
      <c r="B202" s="135"/>
      <c r="C202" s="135"/>
      <c r="D202" s="135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customFormat="false" ht="12.75" hidden="false" customHeight="false" outlineLevel="0" collapsed="false">
      <c r="A203" s="206"/>
      <c r="B203" s="135"/>
      <c r="C203" s="135"/>
      <c r="D203" s="135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customFormat="false" ht="12.75" hidden="false" customHeight="false" outlineLevel="0" collapsed="false">
      <c r="A204" s="206"/>
      <c r="B204" s="135"/>
      <c r="C204" s="135"/>
      <c r="D204" s="135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customFormat="false" ht="12.75" hidden="false" customHeight="false" outlineLevel="0" collapsed="false">
      <c r="A205" s="206"/>
      <c r="B205" s="135"/>
      <c r="C205" s="135"/>
      <c r="D205" s="135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customFormat="false" ht="12.75" hidden="false" customHeight="false" outlineLevel="0" collapsed="false">
      <c r="A206" s="206"/>
      <c r="B206" s="135"/>
      <c r="C206" s="135"/>
      <c r="D206" s="135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customFormat="false" ht="12.75" hidden="false" customHeight="false" outlineLevel="0" collapsed="false">
      <c r="A207" s="206"/>
      <c r="B207" s="135"/>
      <c r="C207" s="135"/>
      <c r="D207" s="135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customFormat="false" ht="12.75" hidden="false" customHeight="false" outlineLevel="0" collapsed="false">
      <c r="A208" s="206"/>
      <c r="B208" s="135"/>
      <c r="C208" s="135"/>
      <c r="D208" s="135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customFormat="false" ht="12.75" hidden="false" customHeight="false" outlineLevel="0" collapsed="false">
      <c r="A209" s="206"/>
      <c r="B209" s="135"/>
      <c r="C209" s="135"/>
      <c r="D209" s="135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customFormat="false" ht="12.75" hidden="false" customHeight="false" outlineLevel="0" collapsed="false">
      <c r="A210" s="206"/>
      <c r="B210" s="135"/>
      <c r="C210" s="135"/>
      <c r="D210" s="135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customFormat="false" ht="12.75" hidden="false" customHeight="false" outlineLevel="0" collapsed="false">
      <c r="A211" s="206"/>
      <c r="B211" s="135"/>
      <c r="C211" s="135"/>
      <c r="D211" s="135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customFormat="false" ht="12.75" hidden="false" customHeight="false" outlineLevel="0" collapsed="false">
      <c r="A212" s="206"/>
      <c r="B212" s="135"/>
      <c r="C212" s="135"/>
      <c r="D212" s="135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customFormat="false" ht="12.75" hidden="false" customHeight="false" outlineLevel="0" collapsed="false">
      <c r="A213" s="206"/>
      <c r="B213" s="135"/>
      <c r="C213" s="135"/>
      <c r="D213" s="135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customFormat="false" ht="12.75" hidden="false" customHeight="false" outlineLevel="0" collapsed="false">
      <c r="A214" s="206"/>
      <c r="B214" s="135"/>
      <c r="C214" s="135"/>
      <c r="D214" s="135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customFormat="false" ht="12.75" hidden="false" customHeight="false" outlineLevel="0" collapsed="false">
      <c r="A215" s="206"/>
      <c r="B215" s="135"/>
      <c r="C215" s="135"/>
      <c r="D215" s="135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customFormat="false" ht="12.75" hidden="false" customHeight="false" outlineLevel="0" collapsed="false">
      <c r="A216" s="206"/>
      <c r="B216" s="135"/>
      <c r="C216" s="135"/>
      <c r="D216" s="135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customFormat="false" ht="12.75" hidden="false" customHeight="false" outlineLevel="0" collapsed="false">
      <c r="A217" s="206"/>
      <c r="B217" s="135"/>
      <c r="C217" s="135"/>
      <c r="D217" s="135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customFormat="false" ht="12.75" hidden="false" customHeight="false" outlineLevel="0" collapsed="false">
      <c r="A218" s="206"/>
      <c r="B218" s="135"/>
      <c r="C218" s="135"/>
      <c r="D218" s="135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customFormat="false" ht="12.75" hidden="false" customHeight="false" outlineLevel="0" collapsed="false">
      <c r="A219" s="206"/>
      <c r="B219" s="135"/>
      <c r="C219" s="135"/>
      <c r="D219" s="135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customFormat="false" ht="12.75" hidden="false" customHeight="false" outlineLevel="0" collapsed="false">
      <c r="A220" s="206"/>
      <c r="B220" s="135"/>
      <c r="C220" s="135"/>
      <c r="D220" s="135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customFormat="false" ht="12.75" hidden="false" customHeight="false" outlineLevel="0" collapsed="false">
      <c r="A221" s="206"/>
      <c r="B221" s="135"/>
      <c r="C221" s="135"/>
      <c r="D221" s="135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customFormat="false" ht="12.75" hidden="false" customHeight="false" outlineLevel="0" collapsed="false">
      <c r="A222" s="206"/>
      <c r="B222" s="135"/>
      <c r="C222" s="135"/>
      <c r="D222" s="135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customFormat="false" ht="12.75" hidden="false" customHeight="false" outlineLevel="0" collapsed="false">
      <c r="A223" s="206"/>
      <c r="B223" s="135"/>
      <c r="C223" s="135"/>
      <c r="D223" s="135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customFormat="false" ht="12.75" hidden="false" customHeight="false" outlineLevel="0" collapsed="false">
      <c r="A224" s="206"/>
      <c r="B224" s="135"/>
      <c r="C224" s="135"/>
      <c r="D224" s="135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customFormat="false" ht="12.75" hidden="false" customHeight="false" outlineLevel="0" collapsed="false">
      <c r="A225" s="206"/>
      <c r="B225" s="135"/>
      <c r="C225" s="135"/>
      <c r="D225" s="135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customFormat="false" ht="12.75" hidden="false" customHeight="false" outlineLevel="0" collapsed="false">
      <c r="A226" s="206"/>
      <c r="B226" s="135"/>
      <c r="C226" s="135"/>
      <c r="D226" s="135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customFormat="false" ht="12.75" hidden="false" customHeight="false" outlineLevel="0" collapsed="false">
      <c r="A227" s="206"/>
      <c r="B227" s="135"/>
      <c r="C227" s="135"/>
      <c r="D227" s="135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customFormat="false" ht="12.75" hidden="false" customHeight="false" outlineLevel="0" collapsed="false">
      <c r="A228" s="206"/>
      <c r="B228" s="135"/>
      <c r="C228" s="135"/>
      <c r="D228" s="135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customFormat="false" ht="12.75" hidden="false" customHeight="false" outlineLevel="0" collapsed="false">
      <c r="A229" s="206"/>
      <c r="B229" s="135"/>
      <c r="C229" s="135"/>
      <c r="D229" s="135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customFormat="false" ht="12.75" hidden="false" customHeight="false" outlineLevel="0" collapsed="false">
      <c r="A230" s="206"/>
      <c r="B230" s="135"/>
      <c r="C230" s="135"/>
      <c r="D230" s="135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customFormat="false" ht="12.75" hidden="false" customHeight="false" outlineLevel="0" collapsed="false">
      <c r="A231" s="206"/>
      <c r="B231" s="135"/>
      <c r="C231" s="135"/>
      <c r="D231" s="135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customFormat="false" ht="12.75" hidden="false" customHeight="false" outlineLevel="0" collapsed="false">
      <c r="A232" s="206"/>
      <c r="B232" s="135"/>
      <c r="C232" s="135"/>
      <c r="D232" s="135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customFormat="false" ht="12.75" hidden="false" customHeight="false" outlineLevel="0" collapsed="false">
      <c r="A233" s="206"/>
      <c r="B233" s="135"/>
      <c r="C233" s="135"/>
      <c r="D233" s="135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customFormat="false" ht="12.75" hidden="false" customHeight="false" outlineLevel="0" collapsed="false">
      <c r="A234" s="206"/>
      <c r="B234" s="135"/>
      <c r="C234" s="135"/>
      <c r="D234" s="135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customFormat="false" ht="12.75" hidden="false" customHeight="false" outlineLevel="0" collapsed="false">
      <c r="A235" s="206"/>
      <c r="B235" s="135"/>
      <c r="C235" s="135"/>
      <c r="D235" s="135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customFormat="false" ht="12.75" hidden="false" customHeight="false" outlineLevel="0" collapsed="false">
      <c r="A236" s="206"/>
      <c r="B236" s="135"/>
      <c r="C236" s="135"/>
      <c r="D236" s="135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customFormat="false" ht="12.75" hidden="false" customHeight="false" outlineLevel="0" collapsed="false">
      <c r="A237" s="206"/>
      <c r="B237" s="135"/>
      <c r="C237" s="135"/>
      <c r="D237" s="135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customFormat="false" ht="12.75" hidden="false" customHeight="false" outlineLevel="0" collapsed="false">
      <c r="A238" s="206"/>
      <c r="B238" s="135"/>
      <c r="C238" s="135"/>
      <c r="D238" s="135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customFormat="false" ht="12.75" hidden="false" customHeight="false" outlineLevel="0" collapsed="false">
      <c r="A239" s="206"/>
      <c r="B239" s="135"/>
      <c r="C239" s="135"/>
      <c r="D239" s="135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customFormat="false" ht="12.75" hidden="false" customHeight="false" outlineLevel="0" collapsed="false">
      <c r="A240" s="206"/>
      <c r="B240" s="135"/>
      <c r="C240" s="135"/>
      <c r="D240" s="135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customFormat="false" ht="12.75" hidden="false" customHeight="false" outlineLevel="0" collapsed="false">
      <c r="A241" s="206"/>
      <c r="B241" s="135"/>
      <c r="C241" s="135"/>
      <c r="D241" s="135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customFormat="false" ht="12.75" hidden="false" customHeight="false" outlineLevel="0" collapsed="false">
      <c r="A242" s="206"/>
      <c r="B242" s="135"/>
      <c r="C242" s="135"/>
      <c r="D242" s="135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customFormat="false" ht="12.75" hidden="false" customHeight="false" outlineLevel="0" collapsed="false">
      <c r="A243" s="206"/>
      <c r="B243" s="135"/>
      <c r="C243" s="135"/>
      <c r="D243" s="135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customFormat="false" ht="12.75" hidden="false" customHeight="false" outlineLevel="0" collapsed="false">
      <c r="A244" s="206"/>
      <c r="B244" s="135"/>
      <c r="C244" s="135"/>
      <c r="D244" s="135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customFormat="false" ht="12.75" hidden="false" customHeight="false" outlineLevel="0" collapsed="false">
      <c r="A245" s="206"/>
      <c r="B245" s="135"/>
      <c r="C245" s="135"/>
      <c r="D245" s="135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customFormat="false" ht="12.75" hidden="false" customHeight="false" outlineLevel="0" collapsed="false">
      <c r="A246" s="206"/>
      <c r="B246" s="135"/>
      <c r="C246" s="135"/>
      <c r="D246" s="135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customFormat="false" ht="12.75" hidden="false" customHeight="false" outlineLevel="0" collapsed="false">
      <c r="A247" s="206"/>
      <c r="B247" s="135"/>
      <c r="C247" s="135"/>
      <c r="D247" s="135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customFormat="false" ht="12.75" hidden="false" customHeight="false" outlineLevel="0" collapsed="false">
      <c r="A248" s="206"/>
      <c r="B248" s="135"/>
      <c r="C248" s="135"/>
      <c r="D248" s="135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customFormat="false" ht="12.75" hidden="false" customHeight="false" outlineLevel="0" collapsed="false">
      <c r="A249" s="206"/>
      <c r="B249" s="135"/>
      <c r="C249" s="135"/>
      <c r="D249" s="135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customFormat="false" ht="12.75" hidden="false" customHeight="false" outlineLevel="0" collapsed="false">
      <c r="A250" s="206"/>
      <c r="B250" s="135"/>
      <c r="C250" s="135"/>
      <c r="D250" s="135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customFormat="false" ht="12.75" hidden="false" customHeight="false" outlineLevel="0" collapsed="false">
      <c r="A251" s="206"/>
      <c r="B251" s="135"/>
      <c r="C251" s="135"/>
      <c r="D251" s="135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customFormat="false" ht="12.75" hidden="false" customHeight="false" outlineLevel="0" collapsed="false">
      <c r="A252" s="206"/>
      <c r="B252" s="135"/>
      <c r="C252" s="135"/>
      <c r="D252" s="135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customFormat="false" ht="12.75" hidden="false" customHeight="false" outlineLevel="0" collapsed="false">
      <c r="A253" s="206"/>
      <c r="B253" s="135"/>
      <c r="C253" s="135"/>
      <c r="D253" s="135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customFormat="false" ht="12.75" hidden="false" customHeight="false" outlineLevel="0" collapsed="false">
      <c r="A254" s="206"/>
      <c r="B254" s="135"/>
      <c r="C254" s="135"/>
      <c r="D254" s="135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customFormat="false" ht="12.75" hidden="false" customHeight="false" outlineLevel="0" collapsed="false">
      <c r="A255" s="206"/>
      <c r="B255" s="135"/>
      <c r="C255" s="135"/>
      <c r="D255" s="135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customFormat="false" ht="12.75" hidden="false" customHeight="false" outlineLevel="0" collapsed="false">
      <c r="A256" s="206"/>
      <c r="B256" s="135"/>
      <c r="C256" s="135"/>
      <c r="D256" s="135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customFormat="false" ht="12.75" hidden="false" customHeight="false" outlineLevel="0" collapsed="false">
      <c r="A257" s="206"/>
      <c r="B257" s="135"/>
      <c r="C257" s="135"/>
      <c r="D257" s="135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customFormat="false" ht="12.75" hidden="false" customHeight="false" outlineLevel="0" collapsed="false">
      <c r="A258" s="206"/>
      <c r="B258" s="135"/>
      <c r="C258" s="135"/>
      <c r="D258" s="135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customFormat="false" ht="12.75" hidden="false" customHeight="false" outlineLevel="0" collapsed="false">
      <c r="A259" s="206"/>
      <c r="B259" s="135"/>
      <c r="C259" s="135"/>
      <c r="D259" s="135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customFormat="false" ht="12.75" hidden="false" customHeight="false" outlineLevel="0" collapsed="false">
      <c r="A260" s="206"/>
      <c r="B260" s="135"/>
      <c r="C260" s="135"/>
      <c r="D260" s="135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customFormat="false" ht="12.75" hidden="false" customHeight="false" outlineLevel="0" collapsed="false">
      <c r="A261" s="206"/>
      <c r="B261" s="135"/>
      <c r="C261" s="135"/>
      <c r="D261" s="135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customFormat="false" ht="12.75" hidden="false" customHeight="false" outlineLevel="0" collapsed="false">
      <c r="A262" s="206"/>
      <c r="B262" s="135"/>
      <c r="C262" s="135"/>
      <c r="D262" s="135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customFormat="false" ht="12.75" hidden="false" customHeight="false" outlineLevel="0" collapsed="false">
      <c r="A263" s="206"/>
      <c r="B263" s="135"/>
      <c r="C263" s="135"/>
      <c r="D263" s="135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customFormat="false" ht="12.75" hidden="false" customHeight="false" outlineLevel="0" collapsed="false">
      <c r="A264" s="206"/>
      <c r="B264" s="135"/>
      <c r="C264" s="135"/>
      <c r="D264" s="135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customFormat="false" ht="12.75" hidden="false" customHeight="false" outlineLevel="0" collapsed="false">
      <c r="A265" s="206"/>
      <c r="B265" s="135"/>
      <c r="C265" s="135"/>
      <c r="D265" s="135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customFormat="false" ht="12.75" hidden="false" customHeight="false" outlineLevel="0" collapsed="false">
      <c r="A266" s="206"/>
      <c r="B266" s="135"/>
      <c r="C266" s="135"/>
      <c r="D266" s="135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customFormat="false" ht="12.75" hidden="false" customHeight="false" outlineLevel="0" collapsed="false">
      <c r="A267" s="206"/>
      <c r="B267" s="135"/>
      <c r="C267" s="135"/>
      <c r="D267" s="135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customFormat="false" ht="12.75" hidden="false" customHeight="false" outlineLevel="0" collapsed="false">
      <c r="A268" s="206"/>
      <c r="B268" s="135"/>
      <c r="C268" s="135"/>
      <c r="D268" s="135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customFormat="false" ht="12.75" hidden="false" customHeight="false" outlineLevel="0" collapsed="false">
      <c r="A269" s="206"/>
      <c r="B269" s="135"/>
      <c r="C269" s="135"/>
      <c r="D269" s="135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customFormat="false" ht="12.75" hidden="false" customHeight="false" outlineLevel="0" collapsed="false">
      <c r="A270" s="206"/>
      <c r="B270" s="135"/>
      <c r="C270" s="135"/>
      <c r="D270" s="135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customFormat="false" ht="12.75" hidden="false" customHeight="false" outlineLevel="0" collapsed="false">
      <c r="A271" s="206"/>
      <c r="B271" s="135"/>
      <c r="C271" s="135"/>
      <c r="D271" s="135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customFormat="false" ht="12.75" hidden="false" customHeight="false" outlineLevel="0" collapsed="false">
      <c r="A272" s="206"/>
      <c r="B272" s="135"/>
      <c r="C272" s="135"/>
      <c r="D272" s="135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customFormat="false" ht="12.75" hidden="false" customHeight="false" outlineLevel="0" collapsed="false">
      <c r="A273" s="206"/>
      <c r="B273" s="135"/>
      <c r="C273" s="135"/>
      <c r="D273" s="135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customFormat="false" ht="12.75" hidden="false" customHeight="false" outlineLevel="0" collapsed="false">
      <c r="A274" s="206"/>
      <c r="B274" s="135"/>
      <c r="C274" s="135"/>
      <c r="D274" s="135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customFormat="false" ht="12.75" hidden="false" customHeight="false" outlineLevel="0" collapsed="false">
      <c r="A275" s="206"/>
      <c r="B275" s="135"/>
      <c r="C275" s="135"/>
      <c r="D275" s="135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customFormat="false" ht="12.75" hidden="false" customHeight="false" outlineLevel="0" collapsed="false">
      <c r="A276" s="206"/>
      <c r="B276" s="135"/>
      <c r="C276" s="135"/>
      <c r="D276" s="135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customFormat="false" ht="12.75" hidden="false" customHeight="false" outlineLevel="0" collapsed="false">
      <c r="A277" s="206"/>
      <c r="B277" s="135"/>
      <c r="C277" s="135"/>
      <c r="D277" s="135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customFormat="false" ht="12.75" hidden="false" customHeight="false" outlineLevel="0" collapsed="false">
      <c r="A278" s="206"/>
      <c r="B278" s="135"/>
      <c r="C278" s="135"/>
      <c r="D278" s="135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customFormat="false" ht="12.75" hidden="false" customHeight="false" outlineLevel="0" collapsed="false">
      <c r="A279" s="206"/>
      <c r="B279" s="135"/>
      <c r="C279" s="135"/>
      <c r="D279" s="135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customFormat="false" ht="12.75" hidden="false" customHeight="false" outlineLevel="0" collapsed="false">
      <c r="A280" s="206"/>
      <c r="B280" s="135"/>
      <c r="C280" s="135"/>
      <c r="D280" s="135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customFormat="false" ht="12.75" hidden="false" customHeight="false" outlineLevel="0" collapsed="false">
      <c r="A281" s="206"/>
      <c r="B281" s="135"/>
      <c r="C281" s="135"/>
      <c r="D281" s="135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customFormat="false" ht="12.75" hidden="false" customHeight="false" outlineLevel="0" collapsed="false">
      <c r="A282" s="206"/>
      <c r="B282" s="135"/>
      <c r="C282" s="135"/>
      <c r="D282" s="135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customFormat="false" ht="12.75" hidden="false" customHeight="false" outlineLevel="0" collapsed="false">
      <c r="A283" s="206"/>
      <c r="B283" s="135"/>
      <c r="C283" s="135"/>
      <c r="D283" s="135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customFormat="false" ht="12.75" hidden="false" customHeight="false" outlineLevel="0" collapsed="false">
      <c r="A284" s="206"/>
      <c r="B284" s="135"/>
      <c r="C284" s="135"/>
      <c r="D284" s="135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customFormat="false" ht="12.75" hidden="false" customHeight="false" outlineLevel="0" collapsed="false">
      <c r="A285" s="206"/>
      <c r="B285" s="135"/>
      <c r="C285" s="135"/>
      <c r="D285" s="135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customFormat="false" ht="12.75" hidden="false" customHeight="false" outlineLevel="0" collapsed="false">
      <c r="A286" s="206"/>
      <c r="B286" s="135"/>
      <c r="C286" s="135"/>
      <c r="D286" s="135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customFormat="false" ht="12.75" hidden="false" customHeight="false" outlineLevel="0" collapsed="false">
      <c r="A287" s="206"/>
      <c r="B287" s="135"/>
      <c r="C287" s="135"/>
      <c r="D287" s="135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customFormat="false" ht="12.75" hidden="false" customHeight="false" outlineLevel="0" collapsed="false">
      <c r="A288" s="206"/>
      <c r="B288" s="135"/>
      <c r="C288" s="135"/>
      <c r="D288" s="135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customFormat="false" ht="12.75" hidden="false" customHeight="false" outlineLevel="0" collapsed="false">
      <c r="A289" s="206"/>
      <c r="B289" s="135"/>
      <c r="C289" s="135"/>
      <c r="D289" s="135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customFormat="false" ht="12.75" hidden="false" customHeight="false" outlineLevel="0" collapsed="false">
      <c r="A290" s="206"/>
      <c r="B290" s="135"/>
      <c r="C290" s="135"/>
      <c r="D290" s="135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customFormat="false" ht="12.75" hidden="false" customHeight="false" outlineLevel="0" collapsed="false">
      <c r="A291" s="206"/>
      <c r="B291" s="135"/>
      <c r="C291" s="135"/>
      <c r="D291" s="135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customFormat="false" ht="12.75" hidden="false" customHeight="false" outlineLevel="0" collapsed="false">
      <c r="A292" s="206"/>
      <c r="B292" s="135"/>
      <c r="C292" s="135"/>
      <c r="D292" s="135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customFormat="false" ht="12.75" hidden="false" customHeight="false" outlineLevel="0" collapsed="false">
      <c r="A293" s="206"/>
      <c r="B293" s="135"/>
      <c r="C293" s="135"/>
      <c r="D293" s="135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customFormat="false" ht="12.75" hidden="false" customHeight="false" outlineLevel="0" collapsed="false">
      <c r="A294" s="206"/>
      <c r="B294" s="135"/>
      <c r="C294" s="135"/>
      <c r="D294" s="135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customFormat="false" ht="12.75" hidden="false" customHeight="false" outlineLevel="0" collapsed="false">
      <c r="A295" s="206"/>
      <c r="B295" s="135"/>
      <c r="C295" s="135"/>
      <c r="D295" s="135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customFormat="false" ht="12.75" hidden="false" customHeight="false" outlineLevel="0" collapsed="false">
      <c r="A296" s="206"/>
      <c r="B296" s="135"/>
      <c r="C296" s="135"/>
      <c r="D296" s="135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customFormat="false" ht="12.75" hidden="false" customHeight="false" outlineLevel="0" collapsed="false">
      <c r="A297" s="206"/>
      <c r="B297" s="135"/>
      <c r="C297" s="135"/>
      <c r="D297" s="135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customFormat="false" ht="12.75" hidden="false" customHeight="false" outlineLevel="0" collapsed="false">
      <c r="A298" s="206"/>
      <c r="B298" s="135"/>
      <c r="C298" s="135"/>
      <c r="D298" s="135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customFormat="false" ht="12.75" hidden="false" customHeight="false" outlineLevel="0" collapsed="false">
      <c r="A299" s="206"/>
      <c r="B299" s="135"/>
      <c r="C299" s="135"/>
      <c r="D299" s="135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customFormat="false" ht="12.75" hidden="false" customHeight="false" outlineLevel="0" collapsed="false">
      <c r="A300" s="206"/>
      <c r="B300" s="135"/>
      <c r="C300" s="135"/>
      <c r="D300" s="135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customFormat="false" ht="12.75" hidden="false" customHeight="false" outlineLevel="0" collapsed="false">
      <c r="A301" s="206"/>
      <c r="B301" s="135"/>
      <c r="C301" s="135"/>
      <c r="D301" s="135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customFormat="false" ht="12.75" hidden="false" customHeight="false" outlineLevel="0" collapsed="false">
      <c r="A302" s="206"/>
      <c r="B302" s="135"/>
      <c r="C302" s="135"/>
      <c r="D302" s="135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customFormat="false" ht="12.75" hidden="false" customHeight="false" outlineLevel="0" collapsed="false">
      <c r="A303" s="206"/>
      <c r="B303" s="135"/>
      <c r="C303" s="135"/>
      <c r="D303" s="135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customFormat="false" ht="12.75" hidden="false" customHeight="false" outlineLevel="0" collapsed="false">
      <c r="A304" s="206"/>
      <c r="B304" s="135"/>
      <c r="C304" s="135"/>
      <c r="D304" s="135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customFormat="false" ht="12.75" hidden="false" customHeight="false" outlineLevel="0" collapsed="false">
      <c r="A305" s="206"/>
      <c r="B305" s="135"/>
      <c r="C305" s="135"/>
      <c r="D305" s="135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customFormat="false" ht="12.75" hidden="false" customHeight="false" outlineLevel="0" collapsed="false">
      <c r="A306" s="206"/>
      <c r="B306" s="135"/>
      <c r="C306" s="135"/>
      <c r="D306" s="135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customFormat="false" ht="12.75" hidden="false" customHeight="false" outlineLevel="0" collapsed="false">
      <c r="A307" s="206"/>
      <c r="B307" s="135"/>
      <c r="C307" s="135"/>
      <c r="D307" s="135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customFormat="false" ht="12.75" hidden="false" customHeight="false" outlineLevel="0" collapsed="false">
      <c r="A308" s="206"/>
      <c r="B308" s="135"/>
      <c r="C308" s="135"/>
      <c r="D308" s="135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customFormat="false" ht="12.75" hidden="false" customHeight="false" outlineLevel="0" collapsed="false">
      <c r="A309" s="206"/>
      <c r="B309" s="135"/>
      <c r="C309" s="135"/>
      <c r="D309" s="135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customFormat="false" ht="12.75" hidden="false" customHeight="false" outlineLevel="0" collapsed="false">
      <c r="A310" s="206"/>
      <c r="B310" s="135"/>
      <c r="C310" s="135"/>
      <c r="D310" s="135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customFormat="false" ht="12.75" hidden="false" customHeight="false" outlineLevel="0" collapsed="false">
      <c r="A311" s="206"/>
      <c r="B311" s="135"/>
      <c r="C311" s="135"/>
      <c r="D311" s="135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customFormat="false" ht="12.75" hidden="false" customHeight="false" outlineLevel="0" collapsed="false">
      <c r="A312" s="206"/>
      <c r="B312" s="135"/>
      <c r="C312" s="135"/>
      <c r="D312" s="135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customFormat="false" ht="12.75" hidden="false" customHeight="false" outlineLevel="0" collapsed="false">
      <c r="A313" s="206"/>
      <c r="B313" s="135"/>
      <c r="C313" s="135"/>
      <c r="D313" s="135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customFormat="false" ht="12.75" hidden="false" customHeight="false" outlineLevel="0" collapsed="false">
      <c r="A314" s="206"/>
      <c r="B314" s="135"/>
      <c r="C314" s="135"/>
      <c r="D314" s="135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customFormat="false" ht="12.75" hidden="false" customHeight="false" outlineLevel="0" collapsed="false">
      <c r="A315" s="206"/>
      <c r="B315" s="135"/>
      <c r="C315" s="135"/>
      <c r="D315" s="135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customFormat="false" ht="12.75" hidden="false" customHeight="false" outlineLevel="0" collapsed="false">
      <c r="A316" s="206"/>
      <c r="B316" s="135"/>
      <c r="C316" s="135"/>
      <c r="D316" s="135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customFormat="false" ht="12.75" hidden="false" customHeight="false" outlineLevel="0" collapsed="false">
      <c r="A317" s="206"/>
      <c r="B317" s="135"/>
      <c r="C317" s="135"/>
      <c r="D317" s="135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customFormat="false" ht="12.75" hidden="false" customHeight="false" outlineLevel="0" collapsed="false">
      <c r="A318" s="206"/>
      <c r="B318" s="135"/>
      <c r="C318" s="135"/>
      <c r="D318" s="135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customFormat="false" ht="12.75" hidden="false" customHeight="false" outlineLevel="0" collapsed="false">
      <c r="A319" s="206"/>
      <c r="B319" s="135"/>
      <c r="C319" s="135"/>
      <c r="D319" s="135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customFormat="false" ht="12.75" hidden="false" customHeight="false" outlineLevel="0" collapsed="false">
      <c r="A320" s="206"/>
      <c r="B320" s="135"/>
      <c r="C320" s="135"/>
      <c r="D320" s="135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customFormat="false" ht="12.75" hidden="false" customHeight="false" outlineLevel="0" collapsed="false">
      <c r="A321" s="206"/>
      <c r="B321" s="135"/>
      <c r="C321" s="135"/>
      <c r="D321" s="135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customFormat="false" ht="12.75" hidden="false" customHeight="false" outlineLevel="0" collapsed="false">
      <c r="A322" s="206"/>
      <c r="B322" s="135"/>
      <c r="C322" s="135"/>
      <c r="D322" s="135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customFormat="false" ht="12.75" hidden="false" customHeight="false" outlineLevel="0" collapsed="false">
      <c r="A323" s="206"/>
      <c r="B323" s="135"/>
      <c r="C323" s="135"/>
      <c r="D323" s="135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customFormat="false" ht="12.75" hidden="false" customHeight="false" outlineLevel="0" collapsed="false">
      <c r="A324" s="206"/>
      <c r="B324" s="135"/>
      <c r="C324" s="135"/>
      <c r="D324" s="135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customFormat="false" ht="12.75" hidden="false" customHeight="false" outlineLevel="0" collapsed="false">
      <c r="A325" s="206"/>
      <c r="B325" s="135"/>
      <c r="C325" s="135"/>
      <c r="D325" s="135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customFormat="false" ht="12.75" hidden="false" customHeight="false" outlineLevel="0" collapsed="false">
      <c r="A326" s="206"/>
      <c r="B326" s="135"/>
      <c r="C326" s="135"/>
      <c r="D326" s="135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customFormat="false" ht="12.75" hidden="false" customHeight="false" outlineLevel="0" collapsed="false">
      <c r="A327" s="206"/>
      <c r="B327" s="135"/>
      <c r="C327" s="135"/>
      <c r="D327" s="135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customFormat="false" ht="12.75" hidden="false" customHeight="false" outlineLevel="0" collapsed="false">
      <c r="A328" s="206"/>
      <c r="B328" s="135"/>
      <c r="C328" s="135"/>
      <c r="D328" s="135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customFormat="false" ht="12.75" hidden="false" customHeight="false" outlineLevel="0" collapsed="false">
      <c r="A329" s="206"/>
      <c r="B329" s="135"/>
      <c r="C329" s="135"/>
      <c r="D329" s="135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customFormat="false" ht="12.75" hidden="false" customHeight="false" outlineLevel="0" collapsed="false">
      <c r="A330" s="206"/>
      <c r="B330" s="135"/>
      <c r="C330" s="135"/>
      <c r="D330" s="135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customFormat="false" ht="12.75" hidden="false" customHeight="false" outlineLevel="0" collapsed="false">
      <c r="A331" s="206"/>
      <c r="B331" s="135"/>
      <c r="C331" s="135"/>
      <c r="D331" s="135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customFormat="false" ht="12.75" hidden="false" customHeight="false" outlineLevel="0" collapsed="false">
      <c r="A332" s="206"/>
      <c r="B332" s="135"/>
      <c r="C332" s="135"/>
      <c r="D332" s="135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customFormat="false" ht="12.75" hidden="false" customHeight="false" outlineLevel="0" collapsed="false">
      <c r="A333" s="206"/>
      <c r="B333" s="135"/>
      <c r="C333" s="135"/>
      <c r="D333" s="135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customFormat="false" ht="12.75" hidden="false" customHeight="false" outlineLevel="0" collapsed="false">
      <c r="A334" s="206"/>
      <c r="B334" s="135"/>
      <c r="C334" s="135"/>
      <c r="D334" s="135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customFormat="false" ht="12.75" hidden="false" customHeight="false" outlineLevel="0" collapsed="false">
      <c r="A335" s="206"/>
      <c r="B335" s="135"/>
      <c r="C335" s="135"/>
      <c r="D335" s="135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customFormat="false" ht="12.75" hidden="false" customHeight="false" outlineLevel="0" collapsed="false">
      <c r="A336" s="206"/>
      <c r="B336" s="135"/>
      <c r="C336" s="135"/>
      <c r="D336" s="135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customFormat="false" ht="12.75" hidden="false" customHeight="false" outlineLevel="0" collapsed="false">
      <c r="A337" s="206"/>
      <c r="B337" s="135"/>
      <c r="C337" s="135"/>
      <c r="D337" s="135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customFormat="false" ht="12.75" hidden="false" customHeight="false" outlineLevel="0" collapsed="false">
      <c r="A338" s="206"/>
      <c r="B338" s="135"/>
      <c r="C338" s="135"/>
      <c r="D338" s="135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customFormat="false" ht="12.75" hidden="false" customHeight="false" outlineLevel="0" collapsed="false">
      <c r="A339" s="206"/>
      <c r="B339" s="135"/>
      <c r="C339" s="135"/>
      <c r="D339" s="135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customFormat="false" ht="12.75" hidden="false" customHeight="false" outlineLevel="0" collapsed="false">
      <c r="A340" s="206"/>
      <c r="B340" s="135"/>
      <c r="C340" s="135"/>
      <c r="D340" s="135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customFormat="false" ht="12.75" hidden="false" customHeight="false" outlineLevel="0" collapsed="false">
      <c r="A341" s="206"/>
      <c r="B341" s="135"/>
      <c r="C341" s="135"/>
      <c r="D341" s="135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customFormat="false" ht="12.75" hidden="false" customHeight="false" outlineLevel="0" collapsed="false">
      <c r="A342" s="206"/>
      <c r="B342" s="135"/>
      <c r="C342" s="135"/>
      <c r="D342" s="135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customFormat="false" ht="12.75" hidden="false" customHeight="false" outlineLevel="0" collapsed="false">
      <c r="A343" s="206"/>
      <c r="B343" s="135"/>
      <c r="C343" s="135"/>
      <c r="D343" s="135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customFormat="false" ht="12.75" hidden="false" customHeight="false" outlineLevel="0" collapsed="false">
      <c r="A344" s="206"/>
      <c r="B344" s="135"/>
      <c r="C344" s="135"/>
      <c r="D344" s="135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customFormat="false" ht="12.75" hidden="false" customHeight="false" outlineLevel="0" collapsed="false">
      <c r="A345" s="206"/>
      <c r="B345" s="135"/>
      <c r="C345" s="135"/>
      <c r="D345" s="135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customFormat="false" ht="12.75" hidden="false" customHeight="false" outlineLevel="0" collapsed="false">
      <c r="A346" s="206"/>
      <c r="B346" s="135"/>
      <c r="C346" s="135"/>
      <c r="D346" s="135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customFormat="false" ht="12.75" hidden="false" customHeight="false" outlineLevel="0" collapsed="false">
      <c r="A347" s="206"/>
      <c r="B347" s="135"/>
      <c r="C347" s="135"/>
      <c r="D347" s="135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customFormat="false" ht="12.75" hidden="false" customHeight="false" outlineLevel="0" collapsed="false">
      <c r="A348" s="206"/>
      <c r="B348" s="135"/>
      <c r="C348" s="135"/>
      <c r="D348" s="135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customFormat="false" ht="12.75" hidden="false" customHeight="false" outlineLevel="0" collapsed="false">
      <c r="A349" s="206"/>
      <c r="B349" s="135"/>
      <c r="C349" s="135"/>
      <c r="D349" s="135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customFormat="false" ht="12.75" hidden="false" customHeight="false" outlineLevel="0" collapsed="false">
      <c r="A350" s="206"/>
      <c r="B350" s="135"/>
      <c r="C350" s="135"/>
      <c r="D350" s="135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customFormat="false" ht="12.75" hidden="false" customHeight="false" outlineLevel="0" collapsed="false">
      <c r="A351" s="206"/>
      <c r="B351" s="135"/>
      <c r="C351" s="135"/>
      <c r="D351" s="135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customFormat="false" ht="12.75" hidden="false" customHeight="false" outlineLevel="0" collapsed="false">
      <c r="A352" s="206"/>
      <c r="B352" s="135"/>
      <c r="C352" s="135"/>
      <c r="D352" s="135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customFormat="false" ht="12.75" hidden="false" customHeight="false" outlineLevel="0" collapsed="false">
      <c r="A353" s="206"/>
      <c r="B353" s="135"/>
      <c r="C353" s="135"/>
      <c r="D353" s="135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customFormat="false" ht="12.75" hidden="false" customHeight="false" outlineLevel="0" collapsed="false">
      <c r="A354" s="206"/>
      <c r="B354" s="135"/>
      <c r="C354" s="135"/>
      <c r="D354" s="135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customFormat="false" ht="12.75" hidden="false" customHeight="false" outlineLevel="0" collapsed="false">
      <c r="A355" s="206"/>
      <c r="B355" s="135"/>
      <c r="C355" s="135"/>
      <c r="D355" s="135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customFormat="false" ht="12.75" hidden="false" customHeight="false" outlineLevel="0" collapsed="false">
      <c r="A356" s="206"/>
      <c r="B356" s="135"/>
      <c r="C356" s="135"/>
      <c r="D356" s="135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customFormat="false" ht="12.75" hidden="false" customHeight="false" outlineLevel="0" collapsed="false">
      <c r="A357" s="206"/>
      <c r="B357" s="135"/>
      <c r="C357" s="135"/>
      <c r="D357" s="135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customFormat="false" ht="12.75" hidden="false" customHeight="false" outlineLevel="0" collapsed="false">
      <c r="A358" s="206"/>
      <c r="B358" s="135"/>
      <c r="C358" s="135"/>
      <c r="D358" s="135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customFormat="false" ht="12.75" hidden="false" customHeight="false" outlineLevel="0" collapsed="false">
      <c r="A359" s="206"/>
      <c r="B359" s="135"/>
      <c r="C359" s="135"/>
      <c r="D359" s="135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customFormat="false" ht="12.75" hidden="false" customHeight="false" outlineLevel="0" collapsed="false">
      <c r="A360" s="206"/>
      <c r="B360" s="135"/>
      <c r="C360" s="135"/>
      <c r="D360" s="135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customFormat="false" ht="12.75" hidden="false" customHeight="false" outlineLevel="0" collapsed="false">
      <c r="A361" s="206"/>
      <c r="B361" s="135"/>
      <c r="C361" s="135"/>
      <c r="D361" s="135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customFormat="false" ht="12.75" hidden="false" customHeight="false" outlineLevel="0" collapsed="false">
      <c r="A362" s="206"/>
      <c r="B362" s="135"/>
      <c r="C362" s="135"/>
      <c r="D362" s="135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customFormat="false" ht="12.75" hidden="false" customHeight="false" outlineLevel="0" collapsed="false">
      <c r="A363" s="206"/>
      <c r="B363" s="135"/>
      <c r="C363" s="135"/>
      <c r="D363" s="135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customFormat="false" ht="12.75" hidden="false" customHeight="false" outlineLevel="0" collapsed="false">
      <c r="A364" s="206"/>
      <c r="B364" s="135"/>
      <c r="C364" s="135"/>
      <c r="D364" s="135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customFormat="false" ht="12.75" hidden="false" customHeight="false" outlineLevel="0" collapsed="false">
      <c r="A365" s="206"/>
      <c r="B365" s="135"/>
      <c r="C365" s="135"/>
      <c r="D365" s="135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customFormat="false" ht="12.75" hidden="false" customHeight="false" outlineLevel="0" collapsed="false">
      <c r="A366" s="206"/>
      <c r="B366" s="135"/>
      <c r="C366" s="135"/>
      <c r="D366" s="135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customFormat="false" ht="12.75" hidden="false" customHeight="false" outlineLevel="0" collapsed="false">
      <c r="A367" s="206"/>
      <c r="B367" s="135"/>
      <c r="C367" s="135"/>
      <c r="D367" s="135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customFormat="false" ht="12.75" hidden="false" customHeight="false" outlineLevel="0" collapsed="false">
      <c r="A368" s="206"/>
      <c r="B368" s="135"/>
      <c r="C368" s="135"/>
      <c r="D368" s="135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customFormat="false" ht="12.75" hidden="false" customHeight="false" outlineLevel="0" collapsed="false">
      <c r="A369" s="206"/>
      <c r="B369" s="135"/>
      <c r="C369" s="135"/>
      <c r="D369" s="135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customFormat="false" ht="12.75" hidden="false" customHeight="false" outlineLevel="0" collapsed="false">
      <c r="A370" s="206"/>
      <c r="B370" s="135"/>
      <c r="C370" s="135"/>
      <c r="D370" s="135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customFormat="false" ht="12.75" hidden="false" customHeight="false" outlineLevel="0" collapsed="false">
      <c r="A371" s="206"/>
      <c r="B371" s="135"/>
      <c r="C371" s="135"/>
      <c r="D371" s="135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customFormat="false" ht="12.75" hidden="false" customHeight="false" outlineLevel="0" collapsed="false">
      <c r="A372" s="206"/>
      <c r="B372" s="135"/>
      <c r="C372" s="135"/>
      <c r="D372" s="135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customFormat="false" ht="12.75" hidden="false" customHeight="false" outlineLevel="0" collapsed="false">
      <c r="A373" s="206"/>
      <c r="B373" s="135"/>
      <c r="C373" s="135"/>
      <c r="D373" s="135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customFormat="false" ht="12.75" hidden="false" customHeight="false" outlineLevel="0" collapsed="false">
      <c r="A374" s="206"/>
      <c r="B374" s="135"/>
      <c r="C374" s="135"/>
      <c r="D374" s="135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customFormat="false" ht="12.75" hidden="false" customHeight="false" outlineLevel="0" collapsed="false">
      <c r="A375" s="206"/>
      <c r="B375" s="135"/>
      <c r="C375" s="135"/>
      <c r="D375" s="135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&amp;L&amp;D&amp;CPage ____&amp;R&amp;F
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6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pane xSplit="0" ySplit="5" topLeftCell="BM15" activePane="bottomLeft" state="frozen"/>
      <selection pane="topLeft" activeCell="A1" activeCellId="0" sqref="A1"/>
      <selection pane="bottomLeft" activeCell="F41" activeCellId="0" sqref="F4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" width="4.14"/>
    <col collapsed="false" customWidth="true" hidden="false" outlineLevel="0" max="2" min="2" style="2" width="30.7"/>
    <col collapsed="false" customWidth="false" hidden="false" outlineLevel="0" max="3" min="3" style="2" width="9.14"/>
    <col collapsed="false" customWidth="true" hidden="false" outlineLevel="0" max="4" min="4" style="2" width="8.99"/>
    <col collapsed="false" customWidth="true" hidden="false" outlineLevel="0" max="5" min="5" style="2" width="15.99"/>
    <col collapsed="false" customWidth="true" hidden="false" outlineLevel="0" max="6" min="6" style="207" width="15.41"/>
    <col collapsed="false" customWidth="true" hidden="false" outlineLevel="0" max="7" min="7" style="208" width="15.7"/>
    <col collapsed="false" customWidth="true" hidden="false" outlineLevel="0" max="8" min="8" style="2" width="16.42"/>
    <col collapsed="false" customWidth="true" hidden="false" outlineLevel="0" max="9" min="9" style="2" width="14.7"/>
    <col collapsed="false" customWidth="true" hidden="false" outlineLevel="0" max="10" min="10" style="2" width="14.85"/>
    <col collapsed="false" customWidth="true" hidden="false" outlineLevel="0" max="11" min="11" style="2" width="15.41"/>
    <col collapsed="false" customWidth="false" hidden="false" outlineLevel="0" max="257" min="12" style="2" width="9.14"/>
  </cols>
  <sheetData>
    <row r="1" customFormat="false" ht="15.75" hidden="false" customHeight="false" outlineLevel="0" collapsed="false">
      <c r="A1" s="209" t="str">
        <f aca="false">Summary!$A$1</f>
        <v>AES Corp, Dallas, TX (640 MW)</v>
      </c>
      <c r="B1" s="16"/>
      <c r="C1" s="207"/>
      <c r="D1" s="207"/>
      <c r="E1" s="207"/>
      <c r="H1" s="207"/>
      <c r="I1" s="207"/>
      <c r="J1" s="207"/>
      <c r="K1" s="207"/>
    </row>
    <row r="2" customFormat="false" ht="23.25" hidden="false" customHeight="true" outlineLevel="0" collapsed="false">
      <c r="A2" s="210" t="s">
        <v>220</v>
      </c>
      <c r="B2" s="210"/>
      <c r="C2" s="207"/>
      <c r="D2" s="207"/>
      <c r="E2" s="207"/>
      <c r="H2" s="207"/>
      <c r="I2" s="207"/>
      <c r="J2" s="207"/>
      <c r="K2" s="207"/>
    </row>
    <row r="3" customFormat="false" ht="18" hidden="false" customHeight="true" outlineLevel="0" collapsed="false"/>
    <row r="4" customFormat="false" ht="13.5" hidden="true" customHeight="false" outlineLevel="0" collapsed="false">
      <c r="C4" s="211"/>
      <c r="D4" s="212"/>
      <c r="E4" s="212"/>
      <c r="F4" s="212"/>
      <c r="G4" s="213" t="s">
        <v>221</v>
      </c>
      <c r="H4" s="214" t="s">
        <v>222</v>
      </c>
      <c r="I4" s="214" t="s">
        <v>222</v>
      </c>
      <c r="J4" s="214" t="s">
        <v>223</v>
      </c>
      <c r="K4" s="214" t="s">
        <v>224</v>
      </c>
    </row>
    <row r="5" customFormat="false" ht="44.25" hidden="false" customHeight="true" outlineLevel="0" collapsed="false">
      <c r="A5" s="215"/>
      <c r="B5" s="215"/>
      <c r="C5" s="216" t="s">
        <v>225</v>
      </c>
      <c r="D5" s="216" t="s">
        <v>226</v>
      </c>
      <c r="E5" s="216" t="s">
        <v>227</v>
      </c>
      <c r="F5" s="216" t="s">
        <v>228</v>
      </c>
      <c r="G5" s="216" t="s">
        <v>229</v>
      </c>
      <c r="H5" s="216" t="s">
        <v>230</v>
      </c>
      <c r="I5" s="216" t="s">
        <v>231</v>
      </c>
      <c r="J5" s="216" t="s">
        <v>232</v>
      </c>
      <c r="K5" s="216" t="s">
        <v>233</v>
      </c>
      <c r="L5" s="0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5"/>
      <c r="AN5" s="215"/>
      <c r="AO5" s="215"/>
      <c r="AP5" s="215"/>
      <c r="AQ5" s="215"/>
      <c r="AR5" s="215"/>
      <c r="AS5" s="215"/>
      <c r="AT5" s="215"/>
      <c r="AU5" s="215"/>
      <c r="AV5" s="215"/>
      <c r="AW5" s="215"/>
      <c r="AX5" s="215"/>
      <c r="AY5" s="215"/>
      <c r="AZ5" s="215"/>
      <c r="BA5" s="215"/>
      <c r="BB5" s="215"/>
      <c r="BC5" s="215"/>
      <c r="BD5" s="215"/>
      <c r="BE5" s="215"/>
      <c r="BF5" s="215"/>
      <c r="BG5" s="215"/>
      <c r="BH5" s="215"/>
      <c r="BI5" s="215"/>
      <c r="BJ5" s="215"/>
      <c r="BK5" s="215"/>
      <c r="BL5" s="215"/>
      <c r="BM5" s="215"/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  <c r="CB5" s="215"/>
      <c r="CC5" s="215"/>
      <c r="CD5" s="215"/>
      <c r="CE5" s="215"/>
      <c r="CF5" s="215"/>
      <c r="CG5" s="215"/>
      <c r="CH5" s="215"/>
      <c r="CI5" s="215"/>
      <c r="CJ5" s="215"/>
      <c r="CK5" s="215"/>
      <c r="CL5" s="215"/>
      <c r="CM5" s="215"/>
      <c r="CN5" s="215"/>
      <c r="CO5" s="215"/>
      <c r="CP5" s="215"/>
      <c r="CQ5" s="215"/>
      <c r="CR5" s="215"/>
      <c r="CS5" s="215"/>
      <c r="CT5" s="215"/>
      <c r="CU5" s="215"/>
      <c r="CV5" s="215"/>
      <c r="CW5" s="215"/>
      <c r="CX5" s="215"/>
      <c r="CY5" s="215"/>
      <c r="CZ5" s="215"/>
      <c r="DA5" s="215"/>
      <c r="DB5" s="215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  <c r="DY5" s="215"/>
      <c r="DZ5" s="215"/>
      <c r="EA5" s="215"/>
      <c r="EB5" s="215"/>
      <c r="EC5" s="215"/>
      <c r="ED5" s="215"/>
      <c r="EE5" s="215"/>
      <c r="EF5" s="215"/>
      <c r="EG5" s="215"/>
      <c r="EH5" s="215"/>
      <c r="EI5" s="215"/>
      <c r="EJ5" s="215"/>
      <c r="EK5" s="215"/>
      <c r="EL5" s="215"/>
      <c r="EM5" s="215"/>
      <c r="EN5" s="215"/>
      <c r="EO5" s="215"/>
      <c r="EP5" s="215"/>
      <c r="EQ5" s="215"/>
      <c r="ER5" s="215"/>
      <c r="ES5" s="215"/>
      <c r="ET5" s="215"/>
      <c r="EU5" s="215"/>
      <c r="EV5" s="215"/>
      <c r="EW5" s="215"/>
      <c r="EX5" s="215"/>
      <c r="EY5" s="215"/>
      <c r="EZ5" s="215"/>
      <c r="FA5" s="215"/>
      <c r="FB5" s="215"/>
      <c r="FC5" s="215"/>
      <c r="FD5" s="215"/>
      <c r="FE5" s="215"/>
      <c r="FF5" s="215"/>
      <c r="FG5" s="215"/>
      <c r="FH5" s="215"/>
      <c r="FI5" s="215"/>
      <c r="FJ5" s="215"/>
      <c r="FK5" s="215"/>
      <c r="FL5" s="215"/>
      <c r="FM5" s="215"/>
      <c r="FN5" s="215"/>
      <c r="FO5" s="215"/>
      <c r="FP5" s="215"/>
      <c r="FQ5" s="215"/>
      <c r="FR5" s="215"/>
      <c r="FS5" s="215"/>
      <c r="FT5" s="215"/>
      <c r="FU5" s="215"/>
      <c r="FV5" s="215"/>
      <c r="FW5" s="215"/>
      <c r="FX5" s="215"/>
      <c r="FY5" s="215"/>
      <c r="FZ5" s="215"/>
      <c r="GA5" s="215"/>
      <c r="GB5" s="215"/>
      <c r="GC5" s="215"/>
      <c r="GD5" s="215"/>
      <c r="GE5" s="215"/>
      <c r="GF5" s="215"/>
      <c r="GG5" s="215"/>
      <c r="GH5" s="215"/>
      <c r="GI5" s="215"/>
      <c r="GJ5" s="215"/>
      <c r="GK5" s="215"/>
      <c r="GL5" s="215"/>
      <c r="GM5" s="215"/>
      <c r="GN5" s="215"/>
      <c r="GO5" s="215"/>
      <c r="GP5" s="215"/>
      <c r="GQ5" s="215"/>
      <c r="GR5" s="215"/>
      <c r="GS5" s="215"/>
      <c r="GT5" s="215"/>
      <c r="GU5" s="215"/>
      <c r="GV5" s="215"/>
      <c r="GW5" s="215"/>
      <c r="GX5" s="215"/>
      <c r="GY5" s="215"/>
      <c r="GZ5" s="215"/>
      <c r="HA5" s="215"/>
      <c r="HB5" s="215"/>
      <c r="HC5" s="215"/>
      <c r="HD5" s="215"/>
      <c r="HE5" s="215"/>
      <c r="HF5" s="215"/>
      <c r="HG5" s="215"/>
      <c r="HH5" s="215"/>
      <c r="HI5" s="215"/>
      <c r="HJ5" s="215"/>
      <c r="HK5" s="215"/>
      <c r="HL5" s="215"/>
      <c r="HM5" s="215"/>
      <c r="HN5" s="215"/>
      <c r="HO5" s="215"/>
      <c r="HP5" s="215"/>
      <c r="HQ5" s="215"/>
      <c r="HR5" s="215"/>
      <c r="HS5" s="215"/>
      <c r="HT5" s="215"/>
      <c r="HU5" s="215"/>
      <c r="HV5" s="215"/>
      <c r="HW5" s="215"/>
      <c r="HX5" s="215"/>
      <c r="HY5" s="215"/>
      <c r="HZ5" s="215"/>
      <c r="IA5" s="215"/>
      <c r="IB5" s="215"/>
      <c r="IC5" s="215"/>
      <c r="ID5" s="215"/>
      <c r="IE5" s="215"/>
      <c r="IF5" s="215"/>
      <c r="IG5" s="215"/>
      <c r="IH5" s="215"/>
      <c r="II5" s="215"/>
      <c r="IJ5" s="215"/>
      <c r="IK5" s="215"/>
      <c r="IL5" s="215"/>
      <c r="IM5" s="215"/>
      <c r="IN5" s="215"/>
      <c r="IO5" s="215"/>
      <c r="IP5" s="215"/>
      <c r="IQ5" s="215"/>
      <c r="IR5" s="215"/>
      <c r="IS5" s="215"/>
      <c r="IT5" s="215"/>
      <c r="IU5" s="215"/>
      <c r="IV5" s="215"/>
      <c r="IW5" s="215"/>
    </row>
    <row r="6" customFormat="false" ht="16.5" hidden="false" customHeight="true" outlineLevel="0" collapsed="false">
      <c r="C6" s="217"/>
      <c r="D6" s="218"/>
      <c r="E6" s="218"/>
      <c r="F6" s="219" t="s">
        <v>234</v>
      </c>
      <c r="G6" s="220"/>
      <c r="H6" s="218"/>
      <c r="I6" s="218"/>
      <c r="J6" s="218"/>
      <c r="K6" s="221"/>
      <c r="L6" s="0"/>
    </row>
    <row r="7" customFormat="false" ht="16.5" hidden="false" customHeight="true" outlineLevel="0" collapsed="false">
      <c r="A7" s="109" t="s">
        <v>235</v>
      </c>
      <c r="B7" s="109"/>
      <c r="C7" s="211"/>
      <c r="D7" s="222"/>
      <c r="E7" s="222"/>
      <c r="F7" s="222"/>
      <c r="G7" s="223"/>
      <c r="H7" s="222"/>
      <c r="I7" s="222"/>
      <c r="J7" s="224"/>
      <c r="K7" s="225"/>
      <c r="L7" s="78"/>
    </row>
    <row r="8" customFormat="false" ht="12.75" hidden="false" customHeight="false" outlineLevel="0" collapsed="false">
      <c r="B8" s="2" t="str">
        <f aca="false">Plant_Staff!B10</f>
        <v>Plant Manager</v>
      </c>
      <c r="C8" s="226" t="n">
        <f aca="false">Plant_Staff!C10</f>
        <v>0</v>
      </c>
      <c r="D8" s="227" t="n">
        <f aca="false">Plant_Staff!D10</f>
        <v>1</v>
      </c>
      <c r="E8" s="227" t="n">
        <f aca="false">C8+D8</f>
        <v>1</v>
      </c>
      <c r="F8" s="228" t="n">
        <f aca="false">IF(E8&gt;0,-12,0)</f>
        <v>-12</v>
      </c>
      <c r="G8" s="228" t="n">
        <f aca="false">-F8</f>
        <v>12</v>
      </c>
      <c r="H8" s="229" t="n">
        <f aca="false">Plant_Staff!H10/12</f>
        <v>7250</v>
      </c>
      <c r="I8" s="229" t="n">
        <f aca="false">Plant_Staff!I10*Mob_Staffing!H8</f>
        <v>0</v>
      </c>
      <c r="J8" s="229" t="n">
        <f aca="false">Plant_Staff!J10*Mob_Staffing!H8+Plant_Staff!K10*Mob_Staffing!I8</f>
        <v>5089.5</v>
      </c>
      <c r="K8" s="230" t="n">
        <f aca="false">(H8+I8+J8)*G8</f>
        <v>148074</v>
      </c>
      <c r="L8" s="78"/>
    </row>
    <row r="9" customFormat="false" ht="12.75" hidden="false" customHeight="false" outlineLevel="0" collapsed="false">
      <c r="B9" s="2" t="str">
        <f aca="false">Plant_Staff!B11</f>
        <v>Assistant Plant Manager</v>
      </c>
      <c r="C9" s="226" t="n">
        <f aca="false">Plant_Staff!C11</f>
        <v>0</v>
      </c>
      <c r="D9" s="227" t="n">
        <f aca="false">Plant_Staff!D11</f>
        <v>0</v>
      </c>
      <c r="E9" s="227" t="n">
        <f aca="false">C9+D9</f>
        <v>0</v>
      </c>
      <c r="F9" s="228" t="n">
        <f aca="false">IF(E9&gt;0,-12,0)</f>
        <v>0</v>
      </c>
      <c r="G9" s="228" t="n">
        <f aca="false">-F9</f>
        <v>-0</v>
      </c>
      <c r="H9" s="229" t="n">
        <f aca="false">Plant_Staff!H11/12</f>
        <v>0</v>
      </c>
      <c r="I9" s="229" t="n">
        <f aca="false">Plant_Staff!I11*Mob_Staffing!H9</f>
        <v>0</v>
      </c>
      <c r="J9" s="229" t="n">
        <f aca="false">Plant_Staff!J11*Mob_Staffing!H9+Plant_Staff!K11*Mob_Staffing!I9</f>
        <v>0</v>
      </c>
      <c r="K9" s="230" t="n">
        <f aca="false">(H9+I9+J9)*G9</f>
        <v>-0</v>
      </c>
      <c r="L9" s="78"/>
    </row>
    <row r="10" customFormat="false" ht="12.75" hidden="false" customHeight="false" outlineLevel="0" collapsed="false">
      <c r="B10" s="2" t="str">
        <f aca="false">Plant_Staff!B12</f>
        <v>Plant Engineer</v>
      </c>
      <c r="C10" s="226" t="n">
        <f aca="false">Plant_Staff!C12</f>
        <v>0</v>
      </c>
      <c r="D10" s="227" t="n">
        <f aca="false">Plant_Staff!D12</f>
        <v>0</v>
      </c>
      <c r="E10" s="227" t="n">
        <f aca="false">C10+D10</f>
        <v>0</v>
      </c>
      <c r="F10" s="228" t="n">
        <f aca="false">IF(E10&gt;0,-9,0)</f>
        <v>0</v>
      </c>
      <c r="G10" s="228" t="n">
        <f aca="false">-F10</f>
        <v>-0</v>
      </c>
      <c r="H10" s="229" t="n">
        <f aca="false">Plant_Staff!H12/12</f>
        <v>0</v>
      </c>
      <c r="I10" s="229" t="n">
        <f aca="false">Plant_Staff!I12*Mob_Staffing!H10</f>
        <v>0</v>
      </c>
      <c r="J10" s="229" t="n">
        <f aca="false">Plant_Staff!J12*Mob_Staffing!H10+Plant_Staff!K12*Mob_Staffing!I10</f>
        <v>0</v>
      </c>
      <c r="K10" s="230" t="n">
        <f aca="false">(H10+I10+J10)*G10</f>
        <v>-0</v>
      </c>
      <c r="L10" s="78"/>
    </row>
    <row r="11" customFormat="false" ht="12.75" hidden="false" customHeight="false" outlineLevel="0" collapsed="false">
      <c r="B11" s="2" t="str">
        <f aca="false">Plant_Staff!B13</f>
        <v>Administration Manager</v>
      </c>
      <c r="C11" s="226" t="n">
        <f aca="false">Plant_Staff!C13</f>
        <v>0</v>
      </c>
      <c r="D11" s="227" t="n">
        <f aca="false">Plant_Staff!D13</f>
        <v>0</v>
      </c>
      <c r="E11" s="227" t="n">
        <f aca="false">C11+D11</f>
        <v>0</v>
      </c>
      <c r="F11" s="228" t="n">
        <f aca="false">IF(E11&gt;0,-12,0)</f>
        <v>0</v>
      </c>
      <c r="G11" s="228" t="n">
        <f aca="false">-F11</f>
        <v>-0</v>
      </c>
      <c r="H11" s="229" t="n">
        <f aca="false">Plant_Staff!H13/12</f>
        <v>0</v>
      </c>
      <c r="I11" s="229" t="n">
        <f aca="false">Plant_Staff!I13*Mob_Staffing!H11</f>
        <v>0</v>
      </c>
      <c r="J11" s="229" t="n">
        <f aca="false">Plant_Staff!J13*Mob_Staffing!H11+Plant_Staff!K13*Mob_Staffing!I11</f>
        <v>0</v>
      </c>
      <c r="K11" s="230" t="n">
        <f aca="false">(H11+I11+J11)*G11</f>
        <v>-0</v>
      </c>
      <c r="L11" s="78"/>
    </row>
    <row r="12" customFormat="false" ht="12.75" hidden="false" customHeight="false" outlineLevel="0" collapsed="false">
      <c r="B12" s="2" t="str">
        <f aca="false">Plant_Staff!B14</f>
        <v>Controller</v>
      </c>
      <c r="C12" s="226" t="n">
        <f aca="false">Plant_Staff!C14</f>
        <v>0</v>
      </c>
      <c r="D12" s="227" t="n">
        <f aca="false">Plant_Staff!D14</f>
        <v>0</v>
      </c>
      <c r="E12" s="227" t="n">
        <f aca="false">C12+D12</f>
        <v>0</v>
      </c>
      <c r="F12" s="228" t="n">
        <f aca="false">IF(E12&gt;0,-12,0)</f>
        <v>0</v>
      </c>
      <c r="G12" s="228" t="n">
        <f aca="false">-F12</f>
        <v>-0</v>
      </c>
      <c r="H12" s="229" t="n">
        <f aca="false">Plant_Staff!H14/12</f>
        <v>0</v>
      </c>
      <c r="I12" s="229" t="n">
        <f aca="false">Plant_Staff!I14*Mob_Staffing!H12</f>
        <v>0</v>
      </c>
      <c r="J12" s="229" t="n">
        <f aca="false">Plant_Staff!J14*Mob_Staffing!H12+Plant_Staff!K14*Mob_Staffing!I12</f>
        <v>0</v>
      </c>
      <c r="K12" s="230" t="n">
        <f aca="false">(H12+I12+J12)*G12</f>
        <v>-0</v>
      </c>
      <c r="L12" s="78"/>
    </row>
    <row r="13" customFormat="false" ht="12.75" hidden="false" customHeight="false" outlineLevel="0" collapsed="false">
      <c r="B13" s="2" t="str">
        <f aca="false">Plant_Staff!B15</f>
        <v>Accountant</v>
      </c>
      <c r="C13" s="226" t="n">
        <f aca="false">Plant_Staff!C15</f>
        <v>0</v>
      </c>
      <c r="D13" s="227" t="n">
        <f aca="false">Plant_Staff!D15</f>
        <v>0</v>
      </c>
      <c r="E13" s="227" t="n">
        <f aca="false">C13+D13</f>
        <v>0</v>
      </c>
      <c r="F13" s="228" t="n">
        <f aca="false">IF(E13&gt;0,-12,0)</f>
        <v>0</v>
      </c>
      <c r="G13" s="228" t="n">
        <f aca="false">-F13</f>
        <v>-0</v>
      </c>
      <c r="H13" s="229" t="n">
        <f aca="false">Plant_Staff!H15/12</f>
        <v>0</v>
      </c>
      <c r="I13" s="229" t="n">
        <f aca="false">Plant_Staff!I15*Mob_Staffing!H13</f>
        <v>0</v>
      </c>
      <c r="J13" s="229" t="n">
        <f aca="false">Plant_Staff!J15*Mob_Staffing!H13+Plant_Staff!K15*Mob_Staffing!I13</f>
        <v>0</v>
      </c>
      <c r="K13" s="230" t="n">
        <f aca="false">(H13+I13+J13)*G13</f>
        <v>-0</v>
      </c>
      <c r="L13" s="78"/>
    </row>
    <row r="14" customFormat="false" ht="12.75" hidden="false" customHeight="false" outlineLevel="0" collapsed="false">
      <c r="B14" s="2" t="str">
        <f aca="false">Plant_Staff!B16</f>
        <v>Administrative Assistant</v>
      </c>
      <c r="C14" s="226" t="n">
        <f aca="false">Plant_Staff!C16</f>
        <v>0</v>
      </c>
      <c r="D14" s="227" t="n">
        <f aca="false">Plant_Staff!D16</f>
        <v>1</v>
      </c>
      <c r="E14" s="227" t="n">
        <f aca="false">C14+D14</f>
        <v>1</v>
      </c>
      <c r="F14" s="228" t="n">
        <f aca="false">IF(E14&gt;0,7,0)</f>
        <v>7</v>
      </c>
      <c r="G14" s="228" t="n">
        <f aca="false">-F14</f>
        <v>-7</v>
      </c>
      <c r="H14" s="229" t="n">
        <f aca="false">Plant_Staff!H16/12</f>
        <v>2250</v>
      </c>
      <c r="I14" s="229" t="n">
        <f aca="false">Plant_Staff!I16*Mob_Staffing!H14</f>
        <v>337.5</v>
      </c>
      <c r="J14" s="229" t="n">
        <f aca="false">Plant_Staff!J16*Mob_Staffing!H14+Plant_Staff!K16*Mob_Staffing!I14</f>
        <v>1758.7125</v>
      </c>
      <c r="K14" s="230" t="n">
        <f aca="false">(H14+I14+J14)*G14</f>
        <v>-30423.4875</v>
      </c>
      <c r="L14" s="78"/>
    </row>
    <row r="15" customFormat="false" ht="12.75" hidden="false" customHeight="false" outlineLevel="0" collapsed="false">
      <c r="B15" s="2" t="str">
        <f aca="false">Plant_Staff!B17</f>
        <v>Warehouse Supervisor</v>
      </c>
      <c r="C15" s="226" t="n">
        <f aca="false">Plant_Staff!C17</f>
        <v>0</v>
      </c>
      <c r="D15" s="227" t="n">
        <f aca="false">Plant_Staff!D17</f>
        <v>0</v>
      </c>
      <c r="E15" s="227" t="n">
        <f aca="false">C15+D15</f>
        <v>0</v>
      </c>
      <c r="F15" s="228" t="n">
        <f aca="false">IF(E15&gt;0,-12,0)</f>
        <v>0</v>
      </c>
      <c r="G15" s="228" t="n">
        <f aca="false">-F15</f>
        <v>-0</v>
      </c>
      <c r="H15" s="229" t="n">
        <f aca="false">Plant_Staff!H17/12</f>
        <v>0</v>
      </c>
      <c r="I15" s="229" t="n">
        <f aca="false">Plant_Staff!I17*Mob_Staffing!H15</f>
        <v>0</v>
      </c>
      <c r="J15" s="229" t="n">
        <f aca="false">Plant_Staff!J17*Mob_Staffing!H15+Plant_Staff!K17*Mob_Staffing!I15</f>
        <v>0</v>
      </c>
      <c r="K15" s="230" t="n">
        <f aca="false">(H15+I15+J15)*G15</f>
        <v>-0</v>
      </c>
      <c r="L15" s="78"/>
    </row>
    <row r="16" customFormat="false" ht="12.75" hidden="false" customHeight="false" outlineLevel="0" collapsed="false">
      <c r="B16" s="2" t="str">
        <f aca="false">Plant_Staff!B18</f>
        <v>Other</v>
      </c>
      <c r="C16" s="226" t="n">
        <f aca="false">Plant_Staff!C18</f>
        <v>0</v>
      </c>
      <c r="D16" s="227" t="n">
        <f aca="false">Plant_Staff!D18</f>
        <v>0</v>
      </c>
      <c r="E16" s="227" t="n">
        <f aca="false">C16+D16</f>
        <v>0</v>
      </c>
      <c r="F16" s="228" t="n">
        <f aca="false">IF(E16&gt;0,-12,0)</f>
        <v>0</v>
      </c>
      <c r="G16" s="228" t="n">
        <f aca="false">-F16</f>
        <v>-0</v>
      </c>
      <c r="H16" s="229" t="n">
        <f aca="false">Plant_Staff!H18/12</f>
        <v>0</v>
      </c>
      <c r="I16" s="229" t="n">
        <f aca="false">Plant_Staff!I18*Mob_Staffing!H16</f>
        <v>0</v>
      </c>
      <c r="J16" s="229" t="n">
        <f aca="false">Plant_Staff!J18*Mob_Staffing!H16+Plant_Staff!K18*Mob_Staffing!I16</f>
        <v>0</v>
      </c>
      <c r="K16" s="230" t="n">
        <f aca="false">(H16+I16+J16)*G16</f>
        <v>-0</v>
      </c>
      <c r="L16" s="78"/>
    </row>
    <row r="17" customFormat="false" ht="12.75" hidden="false" customHeight="false" outlineLevel="0" collapsed="false">
      <c r="B17" s="2" t="str">
        <f aca="false">Plant_Staff!B19</f>
        <v>Other</v>
      </c>
      <c r="C17" s="226" t="n">
        <f aca="false">Plant_Staff!C19</f>
        <v>0</v>
      </c>
      <c r="D17" s="227" t="n">
        <f aca="false">Plant_Staff!D19</f>
        <v>0</v>
      </c>
      <c r="E17" s="227" t="n">
        <f aca="false">C17+D17</f>
        <v>0</v>
      </c>
      <c r="F17" s="228" t="n">
        <f aca="false">IF(E17&gt;0,-12,0)</f>
        <v>0</v>
      </c>
      <c r="G17" s="228" t="n">
        <f aca="false">-F17</f>
        <v>-0</v>
      </c>
      <c r="H17" s="229" t="n">
        <f aca="false">Plant_Staff!H19/12</f>
        <v>0</v>
      </c>
      <c r="I17" s="229" t="n">
        <f aca="false">Plant_Staff!I19*Mob_Staffing!H17</f>
        <v>0</v>
      </c>
      <c r="J17" s="229" t="n">
        <f aca="false">Plant_Staff!J19*Mob_Staffing!H17+Plant_Staff!K19*Mob_Staffing!I17</f>
        <v>0</v>
      </c>
      <c r="K17" s="230" t="n">
        <f aca="false">(H17+I17+J17)*G17</f>
        <v>-0</v>
      </c>
      <c r="L17" s="78"/>
    </row>
    <row r="18" customFormat="false" ht="12.75" hidden="false" customHeight="false" outlineLevel="0" collapsed="false">
      <c r="B18" s="2" t="str">
        <f aca="false">Plant_Staff!B20</f>
        <v>Other</v>
      </c>
      <c r="C18" s="226" t="n">
        <f aca="false">Plant_Staff!C20</f>
        <v>0</v>
      </c>
      <c r="D18" s="227" t="n">
        <f aca="false">Plant_Staff!D20</f>
        <v>0</v>
      </c>
      <c r="E18" s="227" t="n">
        <f aca="false">C18+D18</f>
        <v>0</v>
      </c>
      <c r="F18" s="228" t="n">
        <f aca="false">IF(E18&gt;0,-12,0)</f>
        <v>0</v>
      </c>
      <c r="G18" s="228" t="n">
        <f aca="false">-F18</f>
        <v>-0</v>
      </c>
      <c r="H18" s="229" t="n">
        <f aca="false">Plant_Staff!H20/12</f>
        <v>0</v>
      </c>
      <c r="I18" s="229" t="n">
        <f aca="false">Plant_Staff!I20*Mob_Staffing!H18</f>
        <v>0</v>
      </c>
      <c r="J18" s="229" t="n">
        <f aca="false">Plant_Staff!J20*Mob_Staffing!H18+Plant_Staff!K20*Mob_Staffing!I18</f>
        <v>0</v>
      </c>
      <c r="K18" s="230" t="n">
        <f aca="false">(H18+I18+J18)*G18</f>
        <v>-0</v>
      </c>
      <c r="L18" s="78"/>
    </row>
    <row r="19" customFormat="false" ht="12.75" hidden="false" customHeight="false" outlineLevel="0" collapsed="false">
      <c r="C19" s="226"/>
      <c r="D19" s="227"/>
      <c r="E19" s="227"/>
      <c r="F19" s="228"/>
      <c r="G19" s="228"/>
      <c r="H19" s="229"/>
      <c r="I19" s="229"/>
      <c r="J19" s="229"/>
      <c r="K19" s="230"/>
      <c r="L19" s="78"/>
    </row>
    <row r="20" customFormat="false" ht="12.75" hidden="false" customHeight="false" outlineLevel="0" collapsed="false">
      <c r="A20" s="109" t="s">
        <v>211</v>
      </c>
      <c r="C20" s="226"/>
      <c r="D20" s="227"/>
      <c r="E20" s="227"/>
      <c r="F20" s="228"/>
      <c r="G20" s="228"/>
      <c r="H20" s="229"/>
      <c r="I20" s="229"/>
      <c r="J20" s="229"/>
      <c r="K20" s="230"/>
      <c r="L20" s="78"/>
    </row>
    <row r="21" customFormat="false" ht="15" hidden="false" customHeight="true" outlineLevel="0" collapsed="false">
      <c r="B21" s="2" t="str">
        <f aca="false">Plant_Staff!B23</f>
        <v>Operations Manager</v>
      </c>
      <c r="C21" s="226" t="n">
        <f aca="false">Plant_Staff!C23</f>
        <v>0</v>
      </c>
      <c r="D21" s="227" t="n">
        <f aca="false">Plant_Staff!D23</f>
        <v>1</v>
      </c>
      <c r="E21" s="227" t="n">
        <f aca="false">C21+D21</f>
        <v>1</v>
      </c>
      <c r="F21" s="228" t="n">
        <f aca="false">IF(E21&gt;0,-9,0)</f>
        <v>-9</v>
      </c>
      <c r="G21" s="228" t="n">
        <f aca="false">-F21</f>
        <v>9</v>
      </c>
      <c r="H21" s="229" t="n">
        <f aca="false">Plant_Staff!H23/12</f>
        <v>5833.33333333333</v>
      </c>
      <c r="I21" s="229" t="n">
        <f aca="false">Plant_Staff!I23*Mob_Staffing!H21</f>
        <v>0</v>
      </c>
      <c r="J21" s="229" t="n">
        <f aca="false">Plant_Staff!J23*Mob_Staffing!H21+Plant_Staff!K23*Mob_Staffing!I21</f>
        <v>4095</v>
      </c>
      <c r="K21" s="230" t="n">
        <f aca="false">(H21+I21+J21)*G21</f>
        <v>89355</v>
      </c>
      <c r="L21" s="78"/>
    </row>
    <row r="22" customFormat="false" ht="13.5" hidden="false" customHeight="true" outlineLevel="0" collapsed="false">
      <c r="B22" s="2" t="str">
        <f aca="false">Plant_Staff!B24</f>
        <v>Operations Shift Supervisors</v>
      </c>
      <c r="C22" s="226" t="n">
        <f aca="false">Plant_Staff!C24</f>
        <v>0</v>
      </c>
      <c r="D22" s="227" t="n">
        <f aca="false">Plant_Staff!D24</f>
        <v>0</v>
      </c>
      <c r="E22" s="227" t="n">
        <f aca="false">C22+D22</f>
        <v>0</v>
      </c>
      <c r="F22" s="228" t="n">
        <f aca="false">IF(E22&gt;0,-6,0)</f>
        <v>0</v>
      </c>
      <c r="G22" s="228" t="n">
        <f aca="false">-F22</f>
        <v>-0</v>
      </c>
      <c r="H22" s="229" t="n">
        <f aca="false">Plant_Staff!H24/12</f>
        <v>0</v>
      </c>
      <c r="I22" s="229" t="n">
        <f aca="false">Plant_Staff!I24*Mob_Staffing!H22</f>
        <v>0</v>
      </c>
      <c r="J22" s="229" t="n">
        <f aca="false">Plant_Staff!J24*Mob_Staffing!H22+Plant_Staff!K24*Mob_Staffing!I22</f>
        <v>0</v>
      </c>
      <c r="K22" s="230" t="n">
        <f aca="false">(H22+I22+J22)*G22</f>
        <v>-0</v>
      </c>
      <c r="L22" s="78"/>
    </row>
    <row r="23" customFormat="false" ht="12.75" hidden="false" customHeight="false" outlineLevel="0" collapsed="false">
      <c r="B23" s="2" t="str">
        <f aca="false">Plant_Staff!B25</f>
        <v>Control Room Operators</v>
      </c>
      <c r="C23" s="226" t="n">
        <f aca="false">Plant_Staff!C25</f>
        <v>0</v>
      </c>
      <c r="D23" s="227" t="n">
        <f aca="false">Plant_Staff!D25</f>
        <v>0</v>
      </c>
      <c r="E23" s="227" t="n">
        <f aca="false">C23+D23</f>
        <v>0</v>
      </c>
      <c r="F23" s="228" t="n">
        <f aca="false">IF(E23&gt;0,-6,0)</f>
        <v>0</v>
      </c>
      <c r="G23" s="228" t="n">
        <f aca="false">-F23</f>
        <v>-0</v>
      </c>
      <c r="H23" s="229" t="n">
        <f aca="false">Plant_Staff!H25/12</f>
        <v>0</v>
      </c>
      <c r="I23" s="229" t="n">
        <f aca="false">Plant_Staff!I25*Mob_Staffing!H23</f>
        <v>0</v>
      </c>
      <c r="J23" s="229" t="n">
        <f aca="false">Plant_Staff!J25*Mob_Staffing!H23+Plant_Staff!K25*Mob_Staffing!I23</f>
        <v>0</v>
      </c>
      <c r="K23" s="230" t="n">
        <f aca="false">(H23+I23+J23)*G23</f>
        <v>-0</v>
      </c>
      <c r="L23" s="78"/>
    </row>
    <row r="24" customFormat="false" ht="12.75" hidden="false" customHeight="false" outlineLevel="0" collapsed="false">
      <c r="B24" s="2" t="str">
        <f aca="false">Plant_Staff!B26</f>
        <v>Turbine Operators</v>
      </c>
      <c r="C24" s="226" t="n">
        <f aca="false">Plant_Staff!C26</f>
        <v>0</v>
      </c>
      <c r="D24" s="227" t="n">
        <f aca="false">Plant_Staff!D26</f>
        <v>0</v>
      </c>
      <c r="E24" s="227" t="n">
        <f aca="false">C24+D24</f>
        <v>0</v>
      </c>
      <c r="F24" s="228" t="n">
        <f aca="false">IF(E24&gt;0,-6,0)</f>
        <v>0</v>
      </c>
      <c r="G24" s="228" t="n">
        <f aca="false">-F24</f>
        <v>-0</v>
      </c>
      <c r="H24" s="229" t="n">
        <f aca="false">Plant_Staff!H26/12</f>
        <v>0</v>
      </c>
      <c r="I24" s="229" t="n">
        <f aca="false">Plant_Staff!I26*Mob_Staffing!H24</f>
        <v>0</v>
      </c>
      <c r="J24" s="229" t="n">
        <f aca="false">Plant_Staff!J26*Mob_Staffing!H24+Plant_Staff!K26*Mob_Staffing!I24</f>
        <v>0</v>
      </c>
      <c r="K24" s="230" t="n">
        <f aca="false">(H24+I24+J24)*G24</f>
        <v>-0</v>
      </c>
      <c r="L24" s="78"/>
    </row>
    <row r="25" customFormat="false" ht="12.75" hidden="false" customHeight="false" outlineLevel="0" collapsed="false">
      <c r="B25" s="2" t="str">
        <f aca="false">Plant_Staff!B27</f>
        <v>Water System Opertors</v>
      </c>
      <c r="C25" s="226" t="n">
        <f aca="false">Plant_Staff!C27</f>
        <v>0</v>
      </c>
      <c r="D25" s="227" t="n">
        <f aca="false">Plant_Staff!D27</f>
        <v>0</v>
      </c>
      <c r="E25" s="227" t="n">
        <f aca="false">C25+D25</f>
        <v>0</v>
      </c>
      <c r="F25" s="228" t="n">
        <f aca="false">IF(E25&gt;0,-6,0)</f>
        <v>0</v>
      </c>
      <c r="G25" s="228" t="n">
        <f aca="false">-F25</f>
        <v>-0</v>
      </c>
      <c r="H25" s="229" t="n">
        <f aca="false">Plant_Staff!H27/12</f>
        <v>0</v>
      </c>
      <c r="I25" s="229" t="n">
        <f aca="false">Plant_Staff!I27*Mob_Staffing!H25</f>
        <v>0</v>
      </c>
      <c r="J25" s="229" t="n">
        <f aca="false">Plant_Staff!J27*Mob_Staffing!H25+Plant_Staff!K27*Mob_Staffing!I25</f>
        <v>0</v>
      </c>
      <c r="K25" s="230" t="n">
        <f aca="false">(H25+I25+J25)*G25</f>
        <v>-0</v>
      </c>
      <c r="L25" s="78"/>
    </row>
    <row r="26" customFormat="false" ht="12.75" hidden="false" customHeight="false" outlineLevel="0" collapsed="false">
      <c r="B26" s="2" t="str">
        <f aca="false">Plant_Staff!B28</f>
        <v>Fuel Storage/Handling Operators</v>
      </c>
      <c r="C26" s="226" t="n">
        <f aca="false">Plant_Staff!C28</f>
        <v>0</v>
      </c>
      <c r="D26" s="227" t="n">
        <f aca="false">Plant_Staff!D28</f>
        <v>0</v>
      </c>
      <c r="E26" s="227" t="n">
        <f aca="false">C26+D26</f>
        <v>0</v>
      </c>
      <c r="F26" s="228" t="n">
        <f aca="false">IF(E26&gt;0,-6,0)</f>
        <v>0</v>
      </c>
      <c r="G26" s="228" t="n">
        <f aca="false">-F26</f>
        <v>-0</v>
      </c>
      <c r="H26" s="229" t="n">
        <f aca="false">Plant_Staff!H28/12</f>
        <v>0</v>
      </c>
      <c r="I26" s="229" t="n">
        <f aca="false">Plant_Staff!I28*Mob_Staffing!H26</f>
        <v>0</v>
      </c>
      <c r="J26" s="229" t="n">
        <f aca="false">Plant_Staff!J28*Mob_Staffing!H26+Plant_Staff!K28*Mob_Staffing!I26</f>
        <v>0</v>
      </c>
      <c r="K26" s="230" t="n">
        <f aca="false">(H26+I26+J26)*G26</f>
        <v>-0</v>
      </c>
      <c r="L26" s="78"/>
    </row>
    <row r="27" customFormat="false" ht="12.75" hidden="false" customHeight="false" outlineLevel="0" collapsed="false">
      <c r="B27" s="2" t="str">
        <f aca="false">Plant_Staff!B29</f>
        <v>Utility Operators</v>
      </c>
      <c r="C27" s="226" t="n">
        <f aca="false">Plant_Staff!C29</f>
        <v>0</v>
      </c>
      <c r="D27" s="227" t="n">
        <f aca="false">Plant_Staff!D29</f>
        <v>0</v>
      </c>
      <c r="E27" s="227" t="n">
        <f aca="false">C27+D27</f>
        <v>0</v>
      </c>
      <c r="F27" s="228" t="n">
        <f aca="false">IF(E27&gt;0,-6,0)</f>
        <v>0</v>
      </c>
      <c r="G27" s="228" t="n">
        <f aca="false">-F27</f>
        <v>-0</v>
      </c>
      <c r="H27" s="229" t="n">
        <f aca="false">Plant_Staff!H29/12</f>
        <v>0</v>
      </c>
      <c r="I27" s="229" t="n">
        <f aca="false">Plant_Staff!I29*Mob_Staffing!H27</f>
        <v>0</v>
      </c>
      <c r="J27" s="229" t="n">
        <f aca="false">Plant_Staff!J29*Mob_Staffing!H27+Plant_Staff!K29*Mob_Staffing!I27</f>
        <v>0</v>
      </c>
      <c r="K27" s="230" t="n">
        <f aca="false">(H27+I27+J27)*G27</f>
        <v>-0</v>
      </c>
      <c r="L27" s="78"/>
    </row>
    <row r="28" customFormat="false" ht="12.75" hidden="false" customHeight="false" outlineLevel="0" collapsed="false">
      <c r="B28" s="2" t="str">
        <f aca="false">Plant_Staff!B30</f>
        <v>Chemist</v>
      </c>
      <c r="C28" s="226" t="n">
        <f aca="false">Plant_Staff!C30</f>
        <v>0</v>
      </c>
      <c r="D28" s="227" t="n">
        <f aca="false">Plant_Staff!D30</f>
        <v>0</v>
      </c>
      <c r="E28" s="227" t="n">
        <f aca="false">C28+D28</f>
        <v>0</v>
      </c>
      <c r="F28" s="228" t="n">
        <f aca="false">IF(E28&gt;0,-6,0)</f>
        <v>0</v>
      </c>
      <c r="G28" s="228" t="n">
        <f aca="false">-F28</f>
        <v>-0</v>
      </c>
      <c r="H28" s="229" t="n">
        <f aca="false">Plant_Staff!H30/12</f>
        <v>0</v>
      </c>
      <c r="I28" s="229" t="n">
        <f aca="false">Plant_Staff!I30*Mob_Staffing!H28</f>
        <v>0</v>
      </c>
      <c r="J28" s="229" t="n">
        <f aca="false">Plant_Staff!J30*Mob_Staffing!H28+Plant_Staff!K30*Mob_Staffing!I28</f>
        <v>0</v>
      </c>
      <c r="K28" s="230" t="n">
        <f aca="false">(H28+I28+J28)*G28</f>
        <v>-0</v>
      </c>
      <c r="L28" s="78"/>
    </row>
    <row r="29" customFormat="false" ht="12.75" hidden="false" customHeight="false" outlineLevel="0" collapsed="false">
      <c r="B29" s="2" t="str">
        <f aca="false">Plant_Staff!B31</f>
        <v>Tech III</v>
      </c>
      <c r="C29" s="226" t="n">
        <f aca="false">Plant_Staff!C31</f>
        <v>0</v>
      </c>
      <c r="D29" s="227" t="n">
        <f aca="false">Plant_Staff!D31</f>
        <v>4</v>
      </c>
      <c r="E29" s="227" t="n">
        <f aca="false">C29+D29</f>
        <v>4</v>
      </c>
      <c r="F29" s="228" t="n">
        <f aca="false">IF(E29&gt;0,-6,0)</f>
        <v>-6</v>
      </c>
      <c r="G29" s="228" t="n">
        <f aca="false">-F29</f>
        <v>6</v>
      </c>
      <c r="H29" s="229" t="n">
        <f aca="false">Plant_Staff!H31/12</f>
        <v>4333.33333333333</v>
      </c>
      <c r="I29" s="229" t="n">
        <f aca="false">Plant_Staff!I31*Mob_Staffing!H29</f>
        <v>650</v>
      </c>
      <c r="J29" s="229" t="n">
        <f aca="false">Plant_Staff!J31*Mob_Staffing!H29+Plant_Staff!K31*Mob_Staffing!I29</f>
        <v>3387.15</v>
      </c>
      <c r="K29" s="230" t="n">
        <f aca="false">(H29+I29+J29)*G29</f>
        <v>50222.9</v>
      </c>
      <c r="L29" s="78"/>
    </row>
    <row r="30" customFormat="false" ht="13.5" hidden="false" customHeight="true" outlineLevel="0" collapsed="false">
      <c r="A30" s="109"/>
      <c r="B30" s="2" t="str">
        <f aca="false">Plant_Staff!B32</f>
        <v>Tech II</v>
      </c>
      <c r="C30" s="226" t="n">
        <f aca="false">Plant_Staff!C32</f>
        <v>0</v>
      </c>
      <c r="D30" s="227" t="n">
        <f aca="false">Plant_Staff!D32</f>
        <v>4</v>
      </c>
      <c r="E30" s="227" t="n">
        <f aca="false">C30+D30</f>
        <v>4</v>
      </c>
      <c r="F30" s="228" t="n">
        <f aca="false">IF(E30&gt;0,-6,0)</f>
        <v>-6</v>
      </c>
      <c r="G30" s="228" t="n">
        <f aca="false">-F30</f>
        <v>6</v>
      </c>
      <c r="H30" s="229" t="n">
        <f aca="false">Plant_Staff!H32/12</f>
        <v>3813.33333333333</v>
      </c>
      <c r="I30" s="229" t="n">
        <f aca="false">Plant_Staff!I32*Mob_Staffing!H30</f>
        <v>572</v>
      </c>
      <c r="J30" s="229" t="n">
        <f aca="false">Plant_Staff!J32*Mob_Staffing!H30+Plant_Staff!K32*Mob_Staffing!I30</f>
        <v>2980.692</v>
      </c>
      <c r="K30" s="230" t="n">
        <f aca="false">(H30+I30+J30)*G30</f>
        <v>44196.152</v>
      </c>
      <c r="L30" s="78"/>
    </row>
    <row r="31" customFormat="false" ht="13.5" hidden="false" customHeight="true" outlineLevel="0" collapsed="false">
      <c r="B31" s="2" t="str">
        <f aca="false">Plant_Staff!B33</f>
        <v>Other</v>
      </c>
      <c r="C31" s="226" t="n">
        <f aca="false">Plant_Staff!C33</f>
        <v>0</v>
      </c>
      <c r="D31" s="227" t="n">
        <f aca="false">Plant_Staff!D33</f>
        <v>0</v>
      </c>
      <c r="E31" s="227" t="n">
        <f aca="false">C31+D31</f>
        <v>0</v>
      </c>
      <c r="F31" s="228" t="n">
        <f aca="false">IF(E31&gt;0,-6,0)</f>
        <v>0</v>
      </c>
      <c r="G31" s="228" t="n">
        <f aca="false">-F31</f>
        <v>-0</v>
      </c>
      <c r="H31" s="229" t="n">
        <f aca="false">Plant_Staff!H33/12</f>
        <v>0</v>
      </c>
      <c r="I31" s="229" t="n">
        <f aca="false">Plant_Staff!I33*Mob_Staffing!H31</f>
        <v>0</v>
      </c>
      <c r="J31" s="229" t="n">
        <f aca="false">Plant_Staff!J33*Mob_Staffing!H31+Plant_Staff!K33*Mob_Staffing!I31</f>
        <v>0</v>
      </c>
      <c r="K31" s="230" t="n">
        <f aca="false">(H31+I31+J31)*G31</f>
        <v>-0</v>
      </c>
      <c r="L31" s="78"/>
    </row>
    <row r="32" customFormat="false" ht="12.75" hidden="false" customHeight="false" outlineLevel="0" collapsed="false">
      <c r="C32" s="226"/>
      <c r="D32" s="227"/>
      <c r="E32" s="227"/>
      <c r="F32" s="228"/>
      <c r="G32" s="228"/>
      <c r="H32" s="229"/>
      <c r="I32" s="229"/>
      <c r="J32" s="229"/>
      <c r="K32" s="230"/>
      <c r="L32" s="78"/>
    </row>
    <row r="33" customFormat="false" ht="12.75" hidden="false" customHeight="false" outlineLevel="0" collapsed="false">
      <c r="A33" s="109" t="s">
        <v>212</v>
      </c>
      <c r="C33" s="226"/>
      <c r="D33" s="227"/>
      <c r="E33" s="227"/>
      <c r="F33" s="228"/>
      <c r="G33" s="228"/>
      <c r="H33" s="229"/>
      <c r="I33" s="229"/>
      <c r="J33" s="229"/>
      <c r="K33" s="230"/>
      <c r="L33" s="78"/>
    </row>
    <row r="34" customFormat="false" ht="12.75" hidden="false" customHeight="false" outlineLevel="0" collapsed="false">
      <c r="B34" s="2" t="str">
        <f aca="false">Plant_Staff!B36</f>
        <v>Maintenance Manager</v>
      </c>
      <c r="C34" s="226" t="n">
        <f aca="false">Plant_Staff!C36</f>
        <v>0</v>
      </c>
      <c r="D34" s="227" t="n">
        <f aca="false">Plant_Staff!D36</f>
        <v>1</v>
      </c>
      <c r="E34" s="227" t="n">
        <f aca="false">C34+D34</f>
        <v>1</v>
      </c>
      <c r="F34" s="228" t="n">
        <f aca="false">IF(E34&gt;0,-9,0)</f>
        <v>-9</v>
      </c>
      <c r="G34" s="228" t="n">
        <f aca="false">-F34</f>
        <v>9</v>
      </c>
      <c r="H34" s="229" t="n">
        <f aca="false">Plant_Staff!H36/12</f>
        <v>5416.66666666667</v>
      </c>
      <c r="I34" s="229" t="n">
        <f aca="false">Plant_Staff!I36*Mob_Staffing!H34</f>
        <v>0</v>
      </c>
      <c r="J34" s="229" t="n">
        <f aca="false">Plant_Staff!J36*Mob_Staffing!H34+Plant_Staff!K36*Mob_Staffing!I34</f>
        <v>3802.5</v>
      </c>
      <c r="K34" s="230" t="n">
        <f aca="false">(H34+I34+J34)*G34</f>
        <v>82972.5</v>
      </c>
      <c r="L34" s="78"/>
    </row>
    <row r="35" customFormat="false" ht="12.75" hidden="false" customHeight="false" outlineLevel="0" collapsed="false">
      <c r="B35" s="2" t="str">
        <f aca="false">Plant_Staff!B37</f>
        <v>Mechanical Engineer</v>
      </c>
      <c r="C35" s="226" t="n">
        <f aca="false">Plant_Staff!C37</f>
        <v>0</v>
      </c>
      <c r="D35" s="227" t="n">
        <f aca="false">Plant_Staff!D37</f>
        <v>0</v>
      </c>
      <c r="E35" s="227" t="n">
        <f aca="false">C35+D35</f>
        <v>0</v>
      </c>
      <c r="F35" s="228" t="n">
        <f aca="false">IF(E35&gt;0,-6,0)</f>
        <v>0</v>
      </c>
      <c r="G35" s="228" t="n">
        <f aca="false">-F35</f>
        <v>-0</v>
      </c>
      <c r="H35" s="229" t="n">
        <f aca="false">Plant_Staff!H37/12</f>
        <v>0</v>
      </c>
      <c r="I35" s="229" t="n">
        <f aca="false">Plant_Staff!I37*Mob_Staffing!H35</f>
        <v>0</v>
      </c>
      <c r="J35" s="229" t="n">
        <f aca="false">Plant_Staff!J37*Mob_Staffing!H35+Plant_Staff!K37*Mob_Staffing!I35</f>
        <v>0</v>
      </c>
      <c r="K35" s="230" t="n">
        <f aca="false">(H35+I35+J35)*G35</f>
        <v>-0</v>
      </c>
      <c r="L35" s="78"/>
    </row>
    <row r="36" customFormat="false" ht="12.75" hidden="false" customHeight="false" outlineLevel="0" collapsed="false">
      <c r="B36" s="2" t="str">
        <f aca="false">Plant_Staff!B38</f>
        <v>Maintenance Planner</v>
      </c>
      <c r="C36" s="226" t="n">
        <f aca="false">Plant_Staff!C38</f>
        <v>0</v>
      </c>
      <c r="D36" s="227" t="n">
        <f aca="false">Plant_Staff!D38</f>
        <v>0</v>
      </c>
      <c r="E36" s="227" t="n">
        <f aca="false">C36+D36</f>
        <v>0</v>
      </c>
      <c r="F36" s="228" t="n">
        <f aca="false">IF(E36&gt;0,-6,0)</f>
        <v>0</v>
      </c>
      <c r="G36" s="228" t="n">
        <f aca="false">-F36</f>
        <v>-0</v>
      </c>
      <c r="H36" s="229" t="n">
        <f aca="false">Plant_Staff!H38/12</f>
        <v>0</v>
      </c>
      <c r="I36" s="229" t="n">
        <f aca="false">Plant_Staff!I38*Mob_Staffing!H36</f>
        <v>0</v>
      </c>
      <c r="J36" s="229" t="n">
        <f aca="false">Plant_Staff!J38*Mob_Staffing!H36+Plant_Staff!K38*Mob_Staffing!I36</f>
        <v>0</v>
      </c>
      <c r="K36" s="230" t="n">
        <f aca="false">(H36+I36+J36)*G36</f>
        <v>-0</v>
      </c>
      <c r="L36" s="78"/>
    </row>
    <row r="37" customFormat="false" ht="12.75" hidden="false" customHeight="false" outlineLevel="0" collapsed="false">
      <c r="B37" s="2" t="str">
        <f aca="false">Plant_Staff!B39</f>
        <v>Mechanic</v>
      </c>
      <c r="C37" s="226" t="n">
        <f aca="false">Plant_Staff!C39</f>
        <v>0</v>
      </c>
      <c r="D37" s="227" t="n">
        <f aca="false">Plant_Staff!D39</f>
        <v>1</v>
      </c>
      <c r="E37" s="227" t="n">
        <f aca="false">C37+D37</f>
        <v>1</v>
      </c>
      <c r="F37" s="228" t="n">
        <f aca="false">IF(E37&gt;0,-6,0)</f>
        <v>-6</v>
      </c>
      <c r="G37" s="228" t="n">
        <f aca="false">-F37</f>
        <v>6</v>
      </c>
      <c r="H37" s="229" t="n">
        <f aca="false">Plant_Staff!H39/12</f>
        <v>3166.66666666667</v>
      </c>
      <c r="I37" s="229" t="n">
        <f aca="false">Plant_Staff!I39*Mob_Staffing!H37</f>
        <v>475</v>
      </c>
      <c r="J37" s="229" t="n">
        <f aca="false">Plant_Staff!J39*Mob_Staffing!H37+Plant_Staff!K39*Mob_Staffing!I37</f>
        <v>2475.225</v>
      </c>
      <c r="K37" s="230" t="n">
        <f aca="false">(H37+I37+J37)*G37</f>
        <v>36701.35</v>
      </c>
      <c r="L37" s="78"/>
    </row>
    <row r="38" customFormat="false" ht="12.75" hidden="false" customHeight="false" outlineLevel="0" collapsed="false">
      <c r="B38" s="2" t="str">
        <f aca="false">Plant_Staff!B40</f>
        <v>I&amp;C Engineer</v>
      </c>
      <c r="C38" s="226" t="n">
        <f aca="false">Plant_Staff!C40</f>
        <v>0</v>
      </c>
      <c r="D38" s="227" t="n">
        <f aca="false">Plant_Staff!D40</f>
        <v>0</v>
      </c>
      <c r="E38" s="227" t="n">
        <f aca="false">C38+D38</f>
        <v>0</v>
      </c>
      <c r="F38" s="228" t="n">
        <f aca="false">IF(E38&gt;0,-6,0)</f>
        <v>0</v>
      </c>
      <c r="G38" s="228" t="n">
        <f aca="false">-F38</f>
        <v>-0</v>
      </c>
      <c r="H38" s="229" t="n">
        <f aca="false">Plant_Staff!H40/12</f>
        <v>0</v>
      </c>
      <c r="I38" s="229" t="n">
        <f aca="false">Plant_Staff!I40*Mob_Staffing!H38</f>
        <v>0</v>
      </c>
      <c r="J38" s="229" t="n">
        <f aca="false">Plant_Staff!J40*Mob_Staffing!H38+Plant_Staff!K40*Mob_Staffing!I38</f>
        <v>0</v>
      </c>
      <c r="K38" s="230" t="n">
        <f aca="false">(H38+I38+J38)*G38</f>
        <v>-0</v>
      </c>
      <c r="L38" s="78"/>
    </row>
    <row r="39" customFormat="false" ht="12.75" hidden="false" customHeight="false" outlineLevel="0" collapsed="false">
      <c r="B39" s="2" t="str">
        <f aca="false">Plant_Staff!B41</f>
        <v>I&amp;C Technician</v>
      </c>
      <c r="C39" s="226" t="n">
        <f aca="false">Plant_Staff!C41</f>
        <v>0</v>
      </c>
      <c r="D39" s="227" t="n">
        <f aca="false">Plant_Staff!D41</f>
        <v>1</v>
      </c>
      <c r="E39" s="227" t="n">
        <f aca="false">C39+D39</f>
        <v>1</v>
      </c>
      <c r="F39" s="228" t="n">
        <f aca="false">IF(E39&gt;0,-6,0)</f>
        <v>-6</v>
      </c>
      <c r="G39" s="228" t="n">
        <f aca="false">-F39</f>
        <v>6</v>
      </c>
      <c r="H39" s="229" t="n">
        <f aca="false">Plant_Staff!H41/12</f>
        <v>4583.33333333333</v>
      </c>
      <c r="I39" s="229" t="n">
        <f aca="false">Plant_Staff!I41*Mob_Staffing!H39</f>
        <v>687.5</v>
      </c>
      <c r="J39" s="229" t="n">
        <f aca="false">Plant_Staff!J41*Mob_Staffing!H39+Plant_Staff!K41*Mob_Staffing!I39</f>
        <v>3582.5625</v>
      </c>
      <c r="K39" s="230" t="n">
        <f aca="false">(H39+I39+J39)*G39</f>
        <v>53120.375</v>
      </c>
      <c r="L39" s="78"/>
    </row>
    <row r="40" customFormat="false" ht="12.75" hidden="false" customHeight="false" outlineLevel="0" collapsed="false">
      <c r="B40" s="2" t="str">
        <f aca="false">Plant_Staff!B42</f>
        <v>Electrical Technician</v>
      </c>
      <c r="C40" s="226" t="n">
        <f aca="false">Plant_Staff!C42</f>
        <v>0</v>
      </c>
      <c r="D40" s="227" t="n">
        <f aca="false">Plant_Staff!D42</f>
        <v>1</v>
      </c>
      <c r="E40" s="227" t="n">
        <f aca="false">C40+D40</f>
        <v>1</v>
      </c>
      <c r="F40" s="228" t="n">
        <f aca="false">IF(E40&gt;0,-6,0)</f>
        <v>-6</v>
      </c>
      <c r="G40" s="228" t="n">
        <f aca="false">-F40</f>
        <v>6</v>
      </c>
      <c r="H40" s="229" t="n">
        <f aca="false">Plant_Staff!H42/12</f>
        <v>3750</v>
      </c>
      <c r="I40" s="229" t="n">
        <f aca="false">Plant_Staff!I42*Mob_Staffing!H40</f>
        <v>562.5</v>
      </c>
      <c r="J40" s="229" t="n">
        <f aca="false">Plant_Staff!J42*Mob_Staffing!H40+Plant_Staff!K42*Mob_Staffing!I40</f>
        <v>2931.1875</v>
      </c>
      <c r="K40" s="230" t="n">
        <f aca="false">(H40+I40+J40)*G40</f>
        <v>43462.125</v>
      </c>
      <c r="L40" s="78"/>
    </row>
    <row r="41" customFormat="false" ht="12.75" hidden="false" customHeight="false" outlineLevel="0" collapsed="false">
      <c r="B41" s="2" t="str">
        <f aca="false">Plant_Staff!B43</f>
        <v>Other</v>
      </c>
      <c r="C41" s="226" t="n">
        <f aca="false">Plant_Staff!C43</f>
        <v>0</v>
      </c>
      <c r="D41" s="227" t="n">
        <f aca="false">Plant_Staff!D43</f>
        <v>0</v>
      </c>
      <c r="E41" s="227" t="n">
        <f aca="false">C41+D41</f>
        <v>0</v>
      </c>
      <c r="F41" s="228" t="n">
        <f aca="false">IF(E41&gt;0,-6,0)</f>
        <v>0</v>
      </c>
      <c r="G41" s="228" t="n">
        <f aca="false">-F41</f>
        <v>-0</v>
      </c>
      <c r="H41" s="229" t="n">
        <f aca="false">Plant_Staff!H43/12</f>
        <v>0</v>
      </c>
      <c r="I41" s="229" t="n">
        <f aca="false">Plant_Staff!I43*Mob_Staffing!H41</f>
        <v>0</v>
      </c>
      <c r="J41" s="229" t="n">
        <f aca="false">Plant_Staff!J43*Mob_Staffing!H41+Plant_Staff!K43*Mob_Staffing!I41</f>
        <v>0</v>
      </c>
      <c r="K41" s="230" t="n">
        <f aca="false">(H41+I41+J41)*G41</f>
        <v>-0</v>
      </c>
      <c r="L41" s="78"/>
    </row>
    <row r="42" customFormat="false" ht="12.75" hidden="false" customHeight="false" outlineLevel="0" collapsed="false">
      <c r="B42" s="2" t="str">
        <f aca="false">Plant_Staff!B44</f>
        <v>Other</v>
      </c>
      <c r="C42" s="226" t="n">
        <f aca="false">Plant_Staff!C44</f>
        <v>0</v>
      </c>
      <c r="D42" s="227" t="n">
        <f aca="false">Plant_Staff!D44</f>
        <v>0</v>
      </c>
      <c r="E42" s="227" t="n">
        <f aca="false">C42+D42</f>
        <v>0</v>
      </c>
      <c r="F42" s="228" t="n">
        <f aca="false">IF(E42&gt;0,-6,0)</f>
        <v>0</v>
      </c>
      <c r="G42" s="228" t="n">
        <f aca="false">-F42</f>
        <v>-0</v>
      </c>
      <c r="H42" s="229" t="n">
        <f aca="false">Plant_Staff!H44/12</f>
        <v>0</v>
      </c>
      <c r="I42" s="229" t="n">
        <f aca="false">Plant_Staff!I44*Mob_Staffing!H42</f>
        <v>0</v>
      </c>
      <c r="J42" s="229" t="n">
        <f aca="false">Plant_Staff!J44*Mob_Staffing!H42+Plant_Staff!K44*Mob_Staffing!I42</f>
        <v>0</v>
      </c>
      <c r="K42" s="230" t="n">
        <f aca="false">(H42+I42+J42)*G42</f>
        <v>-0</v>
      </c>
      <c r="L42" s="78"/>
    </row>
    <row r="43" customFormat="false" ht="12.75" hidden="false" customHeight="false" outlineLevel="0" collapsed="false">
      <c r="B43" s="2" t="str">
        <f aca="false">Plant_Staff!B45</f>
        <v>Other</v>
      </c>
      <c r="C43" s="226" t="n">
        <f aca="false">Plant_Staff!C45</f>
        <v>0</v>
      </c>
      <c r="D43" s="227" t="n">
        <f aca="false">Plant_Staff!D45</f>
        <v>0</v>
      </c>
      <c r="E43" s="227" t="n">
        <f aca="false">C43+D43</f>
        <v>0</v>
      </c>
      <c r="F43" s="228" t="n">
        <f aca="false">IF(E43&gt;0,-6,0)</f>
        <v>0</v>
      </c>
      <c r="G43" s="228" t="n">
        <f aca="false">-F43</f>
        <v>-0</v>
      </c>
      <c r="H43" s="229" t="n">
        <f aca="false">Plant_Staff!H45/12</f>
        <v>0</v>
      </c>
      <c r="I43" s="229" t="n">
        <f aca="false">Plant_Staff!I45*Mob_Staffing!H43</f>
        <v>0</v>
      </c>
      <c r="J43" s="229" t="n">
        <f aca="false">Plant_Staff!J45*Mob_Staffing!H43+Plant_Staff!K45*Mob_Staffing!I43</f>
        <v>0</v>
      </c>
      <c r="K43" s="230" t="n">
        <f aca="false">(H43+I43+J43)*G43</f>
        <v>-0</v>
      </c>
      <c r="L43" s="78"/>
    </row>
    <row r="44" customFormat="false" ht="13.5" hidden="false" customHeight="false" outlineLevel="0" collapsed="false">
      <c r="B44" s="2" t="str">
        <f aca="false">Plant_Staff!B46</f>
        <v>Other</v>
      </c>
      <c r="C44" s="231" t="n">
        <f aca="false">Plant_Staff!C46</f>
        <v>0</v>
      </c>
      <c r="D44" s="232" t="n">
        <f aca="false">Plant_Staff!D46</f>
        <v>0</v>
      </c>
      <c r="E44" s="233" t="n">
        <f aca="false">C44+D44</f>
        <v>0</v>
      </c>
      <c r="F44" s="234" t="n">
        <f aca="false">IF(E44&gt;0,-6,0)</f>
        <v>0</v>
      </c>
      <c r="G44" s="234" t="n">
        <f aca="false">-F44</f>
        <v>-0</v>
      </c>
      <c r="H44" s="235" t="n">
        <f aca="false">Plant_Staff!H46/12</f>
        <v>0</v>
      </c>
      <c r="I44" s="235" t="n">
        <f aca="false">Plant_Staff!I46*Mob_Staffing!H44</f>
        <v>0</v>
      </c>
      <c r="J44" s="235" t="n">
        <f aca="false">Plant_Staff!J46*Mob_Staffing!H44+Plant_Staff!K46*Mob_Staffing!I44</f>
        <v>0</v>
      </c>
      <c r="K44" s="236" t="n">
        <f aca="false">(H44+I44+J44)*G44</f>
        <v>-0</v>
      </c>
      <c r="L44" s="78"/>
    </row>
    <row r="45" customFormat="false" ht="28.5" hidden="false" customHeight="true" outlineLevel="0" collapsed="false">
      <c r="A45" s="109" t="s">
        <v>236</v>
      </c>
      <c r="B45" s="109"/>
      <c r="C45" s="237" t="n">
        <f aca="false">SUM(C6:C44)</f>
        <v>0</v>
      </c>
      <c r="D45" s="238" t="n">
        <f aca="false">SUM(D6:D44)</f>
        <v>15</v>
      </c>
      <c r="E45" s="98" t="n">
        <f aca="false">SUM(E6:E44)</f>
        <v>15</v>
      </c>
      <c r="F45" s="239"/>
      <c r="G45" s="239"/>
      <c r="H45" s="239"/>
      <c r="I45" s="239"/>
      <c r="J45" s="239"/>
      <c r="K45" s="240" t="n">
        <f aca="false">SUM(K8:K44)</f>
        <v>517680.9145</v>
      </c>
    </row>
    <row r="46" customFormat="false" ht="12.75" hidden="false" customHeight="false" outlineLevel="0" collapsed="false">
      <c r="A46" s="109"/>
      <c r="B46" s="109"/>
      <c r="C46" s="109"/>
      <c r="D46" s="135"/>
      <c r="E46" s="135"/>
      <c r="F46" s="135"/>
      <c r="G46" s="135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109"/>
      <c r="IU46" s="109"/>
      <c r="IV46" s="109"/>
      <c r="IW46" s="109"/>
    </row>
    <row r="47" customFormat="false" ht="16.5" hidden="false" customHeight="true" outlineLevel="0" collapsed="false">
      <c r="C47" s="207"/>
      <c r="D47" s="207"/>
      <c r="E47" s="207"/>
      <c r="H47" s="207"/>
      <c r="I47" s="207"/>
      <c r="J47" s="207"/>
    </row>
    <row r="48" customFormat="false" ht="24" hidden="false" customHeight="true" outlineLevel="0" collapsed="false">
      <c r="A48" s="241"/>
      <c r="B48" s="241"/>
      <c r="C48" s="207"/>
      <c r="D48" s="207"/>
      <c r="E48" s="207"/>
      <c r="H48" s="207"/>
      <c r="I48" s="207"/>
      <c r="J48" s="207"/>
    </row>
    <row r="49" customFormat="false" ht="12.75" hidden="false" customHeight="false" outlineLevel="0" collapsed="false">
      <c r="C49" s="207"/>
      <c r="D49" s="207"/>
      <c r="E49" s="207"/>
      <c r="H49" s="207"/>
      <c r="I49" s="207"/>
      <c r="J49" s="207"/>
    </row>
    <row r="50" customFormat="false" ht="12.75" hidden="false" customHeight="false" outlineLevel="0" collapsed="false">
      <c r="C50" s="207"/>
      <c r="D50" s="207"/>
      <c r="E50" s="207"/>
      <c r="H50" s="207"/>
      <c r="I50" s="207"/>
      <c r="J50" s="207"/>
    </row>
    <row r="51" customFormat="false" ht="12.75" hidden="false" customHeight="false" outlineLevel="0" collapsed="false">
      <c r="C51" s="207"/>
      <c r="H51" s="207"/>
      <c r="I51" s="207"/>
      <c r="J51" s="207"/>
    </row>
    <row r="52" customFormat="false" ht="12.75" hidden="false" customHeight="false" outlineLevel="0" collapsed="false">
      <c r="A52" s="242"/>
      <c r="B52" s="242"/>
      <c r="C52" s="207"/>
      <c r="H52" s="207"/>
      <c r="I52" s="207"/>
      <c r="J52" s="207"/>
    </row>
    <row r="53" customFormat="false" ht="12.75" hidden="false" customHeight="false" outlineLevel="0" collapsed="false">
      <c r="A53" s="243"/>
      <c r="B53" s="243"/>
      <c r="C53" s="207"/>
      <c r="H53" s="207"/>
      <c r="I53" s="207"/>
      <c r="J53" s="207"/>
    </row>
    <row r="54" customFormat="false" ht="12.75" hidden="false" customHeight="false" outlineLevel="0" collapsed="false">
      <c r="C54" s="207"/>
      <c r="H54" s="207"/>
      <c r="I54" s="207"/>
      <c r="J54" s="207"/>
    </row>
    <row r="55" customFormat="false" ht="12.75" hidden="false" customHeight="false" outlineLevel="0" collapsed="false">
      <c r="C55" s="207"/>
      <c r="H55" s="207"/>
      <c r="I55" s="207"/>
      <c r="J55" s="207"/>
    </row>
    <row r="56" customFormat="false" ht="12.75" hidden="false" customHeight="false" outlineLevel="0" collapsed="false">
      <c r="C56" s="207"/>
      <c r="H56" s="207"/>
      <c r="I56" s="207"/>
      <c r="J56" s="207"/>
    </row>
    <row r="57" customFormat="false" ht="12.75" hidden="false" customHeight="false" outlineLevel="0" collapsed="false">
      <c r="C57" s="207"/>
      <c r="H57" s="207"/>
      <c r="I57" s="207"/>
      <c r="J57" s="207"/>
    </row>
    <row r="58" customFormat="false" ht="12.75" hidden="false" customHeight="false" outlineLevel="0" collapsed="false">
      <c r="C58" s="207"/>
      <c r="H58" s="207"/>
      <c r="I58" s="207"/>
      <c r="J58" s="207"/>
    </row>
    <row r="59" customFormat="false" ht="12.75" hidden="false" customHeight="false" outlineLevel="0" collapsed="false">
      <c r="C59" s="207"/>
      <c r="H59" s="207"/>
      <c r="I59" s="207"/>
      <c r="J59" s="207"/>
    </row>
    <row r="60" customFormat="false" ht="12.75" hidden="false" customHeight="false" outlineLevel="0" collapsed="false">
      <c r="C60" s="207"/>
      <c r="H60" s="207"/>
      <c r="I60" s="207"/>
      <c r="J60" s="207"/>
    </row>
    <row r="61" customFormat="false" ht="12.75" hidden="false" customHeight="false" outlineLevel="0" collapsed="false">
      <c r="C61" s="207"/>
      <c r="H61" s="207"/>
      <c r="I61" s="207"/>
      <c r="J61" s="207"/>
    </row>
    <row r="62" customFormat="false" ht="12.75" hidden="false" customHeight="false" outlineLevel="0" collapsed="false">
      <c r="H62" s="207"/>
      <c r="I62" s="207"/>
      <c r="J62" s="207"/>
    </row>
    <row r="63" customFormat="false" ht="12.75" hidden="false" customHeight="false" outlineLevel="0" collapsed="false">
      <c r="H63" s="207"/>
      <c r="I63" s="207"/>
      <c r="J63" s="207"/>
    </row>
    <row r="64" customFormat="false" ht="12.75" hidden="false" customHeight="false" outlineLevel="0" collapsed="false">
      <c r="H64" s="207"/>
      <c r="I64" s="207"/>
      <c r="J64" s="207"/>
    </row>
    <row r="65" customFormat="false" ht="12.75" hidden="false" customHeight="false" outlineLevel="0" collapsed="false">
      <c r="H65" s="207"/>
      <c r="I65" s="207"/>
      <c r="J65" s="207"/>
    </row>
    <row r="66" customFormat="false" ht="12.75" hidden="false" customHeight="false" outlineLevel="0" collapsed="false">
      <c r="H66" s="207"/>
      <c r="I66" s="207"/>
      <c r="J66" s="207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&amp;L&amp;D&amp;CPage ____&amp;R&amp;F
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R353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M62" activeCellId="0" sqref="M6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6" min="6" style="0" width="22.56"/>
    <col collapsed="false" customWidth="true" hidden="false" outlineLevel="0" max="8" min="8" style="0" width="12.56"/>
  </cols>
  <sheetData>
    <row r="1" customFormat="false" ht="15.75" hidden="false" customHeight="true" outlineLevel="0" collapsed="false">
      <c r="A1" s="15" t="str">
        <f aca="false">Summary!$A$1</f>
        <v>AES Corp, Dallas, TX (640 MW)</v>
      </c>
      <c r="B1" s="15"/>
      <c r="C1" s="15"/>
      <c r="D1" s="15"/>
      <c r="E1" s="15"/>
      <c r="F1" s="15"/>
      <c r="G1" s="15"/>
      <c r="H1" s="15"/>
      <c r="I1" s="1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customFormat="false" ht="15.75" hidden="false" customHeight="true" outlineLevel="0" collapsed="false">
      <c r="A2" s="244" t="s">
        <v>237</v>
      </c>
      <c r="B2" s="244"/>
      <c r="C2" s="244"/>
      <c r="D2" s="244"/>
      <c r="E2" s="244"/>
      <c r="F2" s="244"/>
      <c r="G2" s="244"/>
      <c r="H2" s="244"/>
      <c r="I2" s="244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</row>
    <row r="3" customFormat="false" ht="12.75" hidden="false" customHeight="fals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</row>
    <row r="4" customFormat="false" ht="12.75" hidden="false" customHeight="false" outlineLevel="0" collapsed="false">
      <c r="A4" s="2"/>
      <c r="B4" s="2"/>
      <c r="C4" s="2"/>
      <c r="D4" s="2"/>
      <c r="E4" s="2"/>
      <c r="F4" s="2"/>
      <c r="G4" s="2"/>
      <c r="H4" s="6" t="s">
        <v>238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</row>
    <row r="5" customFormat="false" ht="12.75" hidden="false" customHeight="false" outlineLevel="0" collapsed="false">
      <c r="A5" s="2"/>
      <c r="B5" s="2"/>
      <c r="C5" s="2"/>
      <c r="D5" s="2"/>
      <c r="E5" s="2"/>
      <c r="F5" s="2"/>
      <c r="G5" s="245" t="s">
        <v>239</v>
      </c>
      <c r="H5" s="245" t="s">
        <v>240</v>
      </c>
      <c r="I5" s="245" t="s">
        <v>241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customFormat="false" ht="12.75" hidden="false" customHeight="false" outlineLevel="0" collapsed="false">
      <c r="A6" s="77" t="s">
        <v>242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</row>
    <row r="7" customFormat="false" ht="12.75" hidden="false" customHeight="false" outlineLevel="0" collapsed="false">
      <c r="A7" s="2"/>
      <c r="B7" s="2" t="s">
        <v>243</v>
      </c>
      <c r="C7" s="2"/>
      <c r="D7" s="2"/>
      <c r="E7" s="2"/>
      <c r="F7" s="2"/>
      <c r="G7" s="246" t="n">
        <v>0.2</v>
      </c>
      <c r="H7" s="246" t="n">
        <f aca="false">G7*1</f>
        <v>0.2</v>
      </c>
      <c r="I7" s="87" t="n">
        <f aca="false">H7*6</f>
        <v>1.2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</row>
    <row r="8" customFormat="false" ht="12.75" hidden="false" customHeight="false" outlineLevel="0" collapsed="false">
      <c r="A8" s="2"/>
      <c r="B8" s="2" t="s">
        <v>244</v>
      </c>
      <c r="C8" s="2"/>
      <c r="D8" s="2"/>
      <c r="E8" s="2"/>
      <c r="F8" s="2"/>
      <c r="G8" s="246" t="n">
        <v>0.6</v>
      </c>
      <c r="H8" s="246" t="n">
        <f aca="false">G8*1</f>
        <v>0.6</v>
      </c>
      <c r="I8" s="87" t="n">
        <f aca="false">H8*6</f>
        <v>3.6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</row>
    <row r="9" customFormat="false" ht="12.75" hidden="false" customHeight="false" outlineLevel="0" collapsed="false">
      <c r="A9" s="2"/>
      <c r="B9" s="2" t="s">
        <v>245</v>
      </c>
      <c r="C9" s="2"/>
      <c r="D9" s="2"/>
      <c r="E9" s="2"/>
      <c r="F9" s="2"/>
      <c r="G9" s="246" t="n">
        <v>0.4</v>
      </c>
      <c r="H9" s="246" t="n">
        <f aca="false">G9*1</f>
        <v>0.4</v>
      </c>
      <c r="I9" s="87" t="n">
        <f aca="false">H9*6</f>
        <v>2.4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</row>
    <row r="10" customFormat="false" ht="12.75" hidden="false" customHeight="false" outlineLevel="0" collapsed="false">
      <c r="A10" s="2"/>
      <c r="B10" s="2" t="s">
        <v>246</v>
      </c>
      <c r="C10" s="2"/>
      <c r="D10" s="2"/>
      <c r="E10" s="2"/>
      <c r="F10" s="2"/>
      <c r="G10" s="247" t="n">
        <v>0.6</v>
      </c>
      <c r="H10" s="247" t="n">
        <f aca="false">G10*1</f>
        <v>0.6</v>
      </c>
      <c r="I10" s="248" t="n">
        <f aca="false">H10*6</f>
        <v>3.6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</row>
    <row r="11" customFormat="false" ht="12.75" hidden="false" customHeight="false" outlineLevel="0" collapsed="false">
      <c r="A11" s="2"/>
      <c r="B11" s="2"/>
      <c r="C11" s="2"/>
      <c r="D11" s="2"/>
      <c r="E11" s="2"/>
      <c r="F11" s="2"/>
      <c r="G11" s="246" t="n">
        <f aca="false">+SUM(G7:G10)</f>
        <v>1.8</v>
      </c>
      <c r="H11" s="246" t="n">
        <f aca="false">+SUM(H7:H10)</f>
        <v>1.8</v>
      </c>
      <c r="I11" s="249" t="n">
        <f aca="false">SUM(I7:I10)</f>
        <v>10.8</v>
      </c>
      <c r="J11" s="78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</row>
    <row r="12" customFormat="false" ht="12.75" hidden="false" customHeight="false" outlineLevel="0" collapsed="false">
      <c r="A12" s="2"/>
      <c r="B12" s="2"/>
      <c r="C12" s="2"/>
      <c r="D12" s="2"/>
      <c r="E12" s="2"/>
      <c r="F12" s="2"/>
      <c r="G12" s="246"/>
      <c r="H12" s="246"/>
      <c r="I12" s="87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</row>
    <row r="13" customFormat="false" ht="12.75" hidden="false" customHeight="false" outlineLevel="0" collapsed="false">
      <c r="A13" s="77" t="s">
        <v>247</v>
      </c>
      <c r="B13" s="2"/>
      <c r="C13" s="2"/>
      <c r="D13" s="2"/>
      <c r="E13" s="2"/>
      <c r="F13" s="2"/>
      <c r="G13" s="246"/>
      <c r="H13" s="246"/>
      <c r="I13" s="87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</row>
    <row r="14" customFormat="false" ht="14.25" hidden="false" customHeight="false" outlineLevel="0" collapsed="false">
      <c r="A14" s="77"/>
      <c r="B14" s="2" t="s">
        <v>248</v>
      </c>
      <c r="C14" s="2"/>
      <c r="D14" s="2"/>
      <c r="E14" s="2"/>
      <c r="F14" s="2"/>
      <c r="G14" s="246" t="n">
        <v>1</v>
      </c>
      <c r="H14" s="246" t="n">
        <f aca="false">G14</f>
        <v>1</v>
      </c>
      <c r="I14" s="87" t="n">
        <f aca="false">H14*20</f>
        <v>20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</row>
    <row r="15" customFormat="false" ht="12.75" hidden="true" customHeight="false" outlineLevel="0" collapsed="false">
      <c r="A15" s="77"/>
      <c r="B15" s="2" t="s">
        <v>249</v>
      </c>
      <c r="C15" s="2"/>
      <c r="D15" s="2"/>
      <c r="E15" s="2"/>
      <c r="F15" s="2"/>
      <c r="G15" s="246" t="n">
        <v>1</v>
      </c>
      <c r="H15" s="246" t="n">
        <f aca="false">G15</f>
        <v>1</v>
      </c>
      <c r="I15" s="87" t="n">
        <f aca="false">H15*8</f>
        <v>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</row>
    <row r="16" customFormat="false" ht="12.75" hidden="false" customHeight="false" outlineLevel="0" collapsed="false">
      <c r="A16" s="2"/>
      <c r="B16" s="206" t="s">
        <v>250</v>
      </c>
      <c r="C16" s="2"/>
      <c r="D16" s="2"/>
      <c r="E16" s="2"/>
      <c r="F16" s="2"/>
      <c r="G16" s="247" t="n">
        <v>0.6</v>
      </c>
      <c r="H16" s="247" t="n">
        <f aca="false">G16*1</f>
        <v>0.6</v>
      </c>
      <c r="I16" s="250" t="n">
        <f aca="false">H16*8</f>
        <v>4.8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</row>
    <row r="17" customFormat="false" ht="12.75" hidden="true" customHeight="false" outlineLevel="0" collapsed="false">
      <c r="A17" s="2"/>
      <c r="B17" s="206"/>
      <c r="C17" s="2"/>
      <c r="D17" s="2"/>
      <c r="E17" s="2"/>
      <c r="F17" s="2"/>
      <c r="G17" s="246" t="n">
        <f aca="false">SUM(G14:G16)</f>
        <v>2.6</v>
      </c>
      <c r="H17" s="246" t="n">
        <f aca="false">SUM(H14:H16)</f>
        <v>2.6</v>
      </c>
      <c r="I17" s="246" t="n">
        <f aca="false">SUM(I14:I16)</f>
        <v>32.8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</row>
    <row r="18" customFormat="false" ht="12.75" hidden="false" customHeight="false" outlineLevel="0" collapsed="false">
      <c r="A18" s="2"/>
      <c r="B18" s="206"/>
      <c r="C18" s="2"/>
      <c r="D18" s="2"/>
      <c r="E18" s="2"/>
      <c r="F18" s="2"/>
      <c r="G18" s="246"/>
      <c r="H18" s="246"/>
      <c r="I18" s="87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</row>
    <row r="19" customFormat="false" ht="12.75" hidden="false" customHeight="false" outlineLevel="0" collapsed="false">
      <c r="A19" s="77" t="s">
        <v>251</v>
      </c>
      <c r="B19" s="206"/>
      <c r="C19" s="2"/>
      <c r="D19" s="2"/>
      <c r="E19" s="2"/>
      <c r="F19" s="2"/>
      <c r="G19" s="246"/>
      <c r="H19" s="246"/>
      <c r="I19" s="87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</row>
    <row r="20" customFormat="false" ht="12.75" hidden="false" customHeight="false" outlineLevel="0" collapsed="false">
      <c r="A20" s="2"/>
      <c r="B20" s="206" t="s">
        <v>252</v>
      </c>
      <c r="C20" s="2"/>
      <c r="D20" s="2"/>
      <c r="E20" s="2"/>
      <c r="F20" s="2"/>
      <c r="G20" s="251" t="n">
        <v>0.4</v>
      </c>
      <c r="H20" s="251" t="n">
        <f aca="false">G20</f>
        <v>0.4</v>
      </c>
      <c r="I20" s="252" t="n">
        <f aca="false">H20*8</f>
        <v>3.2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</row>
    <row r="21" customFormat="false" ht="12.75" hidden="true" customHeight="false" outlineLevel="0" collapsed="false">
      <c r="A21" s="2"/>
      <c r="B21" s="206"/>
      <c r="C21" s="2"/>
      <c r="D21" s="2"/>
      <c r="E21" s="2"/>
      <c r="F21" s="2"/>
      <c r="G21" s="246" t="n">
        <f aca="false">SUM(G20)</f>
        <v>0.4</v>
      </c>
      <c r="H21" s="246" t="n">
        <f aca="false">G21*1</f>
        <v>0.4</v>
      </c>
      <c r="I21" s="253" t="n">
        <f aca="false">H21*8</f>
        <v>3.2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</row>
    <row r="22" customFormat="false" ht="12.75" hidden="false" customHeight="false" outlineLevel="0" collapsed="false">
      <c r="A22" s="2"/>
      <c r="B22" s="206"/>
      <c r="C22" s="2"/>
      <c r="D22" s="2"/>
      <c r="E22" s="2"/>
      <c r="F22" s="2"/>
      <c r="G22" s="246"/>
      <c r="H22" s="246"/>
      <c r="I22" s="87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</row>
    <row r="23" customFormat="false" ht="12.75" hidden="false" customHeight="false" outlineLevel="0" collapsed="false">
      <c r="A23" s="77" t="s">
        <v>253</v>
      </c>
      <c r="B23" s="206"/>
      <c r="C23" s="2"/>
      <c r="D23" s="2"/>
      <c r="E23" s="2"/>
      <c r="F23" s="2"/>
      <c r="G23" s="246"/>
      <c r="H23" s="246"/>
      <c r="I23" s="87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</row>
    <row r="24" customFormat="false" ht="12.75" hidden="false" customHeight="false" outlineLevel="0" collapsed="false">
      <c r="A24" s="2"/>
      <c r="B24" s="206" t="s">
        <v>254</v>
      </c>
      <c r="C24" s="2"/>
      <c r="D24" s="2"/>
      <c r="E24" s="2"/>
      <c r="F24" s="2"/>
      <c r="G24" s="246" t="n">
        <v>0.6</v>
      </c>
      <c r="H24" s="246" t="n">
        <f aca="false">G24*1</f>
        <v>0.6</v>
      </c>
      <c r="I24" s="253" t="n">
        <f aca="false">H24*20</f>
        <v>12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</row>
    <row r="25" customFormat="false" ht="12.75" hidden="false" customHeight="false" outlineLevel="0" collapsed="false">
      <c r="A25" s="2"/>
      <c r="B25" s="206" t="s">
        <v>255</v>
      </c>
      <c r="C25" s="2"/>
      <c r="D25" s="2"/>
      <c r="E25" s="2"/>
      <c r="F25" s="2"/>
      <c r="G25" s="246" t="n">
        <v>0.4</v>
      </c>
      <c r="H25" s="246" t="n">
        <f aca="false">G25*1</f>
        <v>0.4</v>
      </c>
      <c r="I25" s="253" t="n">
        <f aca="false">H25*8</f>
        <v>3.2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</row>
    <row r="26" customFormat="false" ht="12.75" hidden="false" customHeight="false" outlineLevel="0" collapsed="false">
      <c r="A26" s="2"/>
      <c r="B26" s="206" t="s">
        <v>256</v>
      </c>
      <c r="C26" s="2"/>
      <c r="D26" s="2"/>
      <c r="E26" s="2"/>
      <c r="F26" s="2"/>
      <c r="G26" s="247" t="n">
        <v>0.6</v>
      </c>
      <c r="H26" s="247" t="n">
        <f aca="false">G26*1</f>
        <v>0.6</v>
      </c>
      <c r="I26" s="250" t="n">
        <f aca="false">20*H26</f>
        <v>12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</row>
    <row r="27" customFormat="false" ht="12.75" hidden="false" customHeight="false" outlineLevel="0" collapsed="false">
      <c r="A27" s="2"/>
      <c r="B27" s="206"/>
      <c r="C27" s="2"/>
      <c r="D27" s="2"/>
      <c r="E27" s="2"/>
      <c r="F27" s="2"/>
      <c r="G27" s="246" t="n">
        <f aca="false">SUM(G24:G26)</f>
        <v>1.6</v>
      </c>
      <c r="H27" s="246" t="n">
        <f aca="false">SUM(H24:H26)</f>
        <v>1.6</v>
      </c>
      <c r="I27" s="246" t="n">
        <f aca="false">SUM(I24:I26)</f>
        <v>27.2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</row>
    <row r="28" customFormat="false" ht="12.75" hidden="false" customHeight="false" outlineLevel="0" collapsed="false">
      <c r="A28" s="2"/>
      <c r="B28" s="206"/>
      <c r="C28" s="2"/>
      <c r="D28" s="2"/>
      <c r="E28" s="2"/>
      <c r="F28" s="2"/>
      <c r="G28" s="246"/>
      <c r="H28" s="246"/>
      <c r="I28" s="87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</row>
    <row r="29" customFormat="false" ht="12.75" hidden="false" customHeight="false" outlineLevel="0" collapsed="false">
      <c r="A29" s="77" t="s">
        <v>257</v>
      </c>
      <c r="B29" s="206"/>
      <c r="C29" s="2"/>
      <c r="D29" s="2"/>
      <c r="E29" s="2"/>
      <c r="F29" s="2"/>
      <c r="G29" s="246"/>
      <c r="H29" s="246"/>
      <c r="I29" s="87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</row>
    <row r="30" customFormat="false" ht="12.75" hidden="false" customHeight="false" outlineLevel="0" collapsed="false">
      <c r="A30" s="77"/>
      <c r="B30" s="206" t="s">
        <v>258</v>
      </c>
      <c r="C30" s="2"/>
      <c r="D30" s="2"/>
      <c r="E30" s="2"/>
      <c r="F30" s="2"/>
      <c r="G30" s="246" t="n">
        <v>1</v>
      </c>
      <c r="H30" s="246" t="n">
        <v>1</v>
      </c>
      <c r="I30" s="87" t="n">
        <f aca="false">H30*20</f>
        <v>20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</row>
    <row r="31" customFormat="false" ht="12.75" hidden="false" customHeight="false" outlineLevel="0" collapsed="false">
      <c r="A31" s="2"/>
      <c r="B31" s="0" t="s">
        <v>259</v>
      </c>
      <c r="C31" s="2"/>
      <c r="D31" s="2"/>
      <c r="E31" s="2"/>
      <c r="F31" s="2"/>
      <c r="G31" s="247" t="n">
        <v>0.6</v>
      </c>
      <c r="H31" s="254" t="n">
        <f aca="false">G31*1</f>
        <v>0.6</v>
      </c>
      <c r="I31" s="250" t="n">
        <f aca="false">8*H31</f>
        <v>4.8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</row>
    <row r="32" customFormat="false" ht="12.75" hidden="true" customHeight="false" outlineLevel="0" collapsed="false">
      <c r="A32" s="2"/>
      <c r="B32" s="206"/>
      <c r="C32" s="2"/>
      <c r="D32" s="2"/>
      <c r="E32" s="2"/>
      <c r="F32" s="2"/>
      <c r="G32" s="246" t="n">
        <f aca="false">SUM(G30:G31)</f>
        <v>1.6</v>
      </c>
      <c r="H32" s="246" t="n">
        <f aca="false">SUM(H30:H31)</f>
        <v>1.6</v>
      </c>
      <c r="I32" s="246" t="n">
        <f aca="false">SUM(I30:I31)</f>
        <v>24.8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customFormat="false" ht="12.75" hidden="false" customHeight="false" outlineLevel="0" collapsed="false">
      <c r="A33" s="2"/>
      <c r="B33" s="206"/>
      <c r="C33" s="2"/>
      <c r="D33" s="2"/>
      <c r="E33" s="2"/>
      <c r="F33" s="2"/>
      <c r="G33" s="246"/>
      <c r="H33" s="246"/>
      <c r="I33" s="25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customFormat="false" ht="12.75" hidden="false" customHeight="false" outlineLevel="0" collapsed="false">
      <c r="A34" s="77" t="s">
        <v>260</v>
      </c>
      <c r="B34" s="206"/>
      <c r="C34" s="2"/>
      <c r="D34" s="2"/>
      <c r="E34" s="2"/>
      <c r="F34" s="2"/>
      <c r="G34" s="246"/>
      <c r="H34" s="246"/>
      <c r="I34" s="87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customFormat="false" ht="12.75" hidden="false" customHeight="false" outlineLevel="0" collapsed="false">
      <c r="A35" s="2"/>
      <c r="B35" s="206" t="s">
        <v>261</v>
      </c>
      <c r="C35" s="2"/>
      <c r="D35" s="2"/>
      <c r="E35" s="2"/>
      <c r="F35" s="2"/>
      <c r="G35" s="246" t="n">
        <v>0.6</v>
      </c>
      <c r="H35" s="255" t="n">
        <f aca="false">G35*1</f>
        <v>0.6</v>
      </c>
      <c r="I35" s="253" t="n">
        <f aca="false">H35*20</f>
        <v>12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customFormat="false" ht="12.75" hidden="false" customHeight="false" outlineLevel="0" collapsed="false">
      <c r="A36" s="2"/>
      <c r="B36" s="206" t="s">
        <v>262</v>
      </c>
      <c r="C36" s="2"/>
      <c r="D36" s="2"/>
      <c r="E36" s="2"/>
      <c r="F36" s="2"/>
      <c r="G36" s="246" t="n">
        <v>0.4</v>
      </c>
      <c r="H36" s="255" t="n">
        <f aca="false">G36*1</f>
        <v>0.4</v>
      </c>
      <c r="I36" s="253" t="n">
        <f aca="false">H36*8</f>
        <v>3.2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customFormat="false" ht="12.75" hidden="false" customHeight="false" outlineLevel="0" collapsed="false">
      <c r="A37" s="2"/>
      <c r="B37" s="206" t="s">
        <v>263</v>
      </c>
      <c r="C37" s="2"/>
      <c r="D37" s="2"/>
      <c r="E37" s="2"/>
      <c r="F37" s="2"/>
      <c r="G37" s="256" t="n">
        <v>0.6</v>
      </c>
      <c r="H37" s="257" t="n">
        <f aca="false">G37*1</f>
        <v>0.6</v>
      </c>
      <c r="I37" s="253" t="n">
        <f aca="false">20*H37</f>
        <v>12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customFormat="false" ht="12.75" hidden="false" customHeight="false" outlineLevel="0" collapsed="false">
      <c r="A38" s="2"/>
      <c r="B38" s="206" t="s">
        <v>264</v>
      </c>
      <c r="C38" s="2"/>
      <c r="D38" s="2"/>
      <c r="E38" s="2"/>
      <c r="F38" s="2"/>
      <c r="G38" s="251" t="n">
        <v>2</v>
      </c>
      <c r="H38" s="258" t="n">
        <f aca="false">G38*1</f>
        <v>2</v>
      </c>
      <c r="I38" s="250" t="n">
        <f aca="false">10*H38</f>
        <v>20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customFormat="false" ht="12.75" hidden="false" customHeight="false" outlineLevel="0" collapsed="false">
      <c r="A39" s="2"/>
      <c r="B39" s="2"/>
      <c r="C39" s="2"/>
      <c r="D39" s="2"/>
      <c r="E39" s="2"/>
      <c r="F39" s="2"/>
      <c r="G39" s="246" t="n">
        <f aca="false">SUM(G35:G38)</f>
        <v>3.6</v>
      </c>
      <c r="H39" s="246" t="n">
        <f aca="false">SUM(H35:H38)</f>
        <v>3.6</v>
      </c>
      <c r="I39" s="255" t="n">
        <f aca="false">SUM(I35:I38)</f>
        <v>47.2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customFormat="false" ht="12.75" hidden="false" customHeight="false" outlineLevel="0" collapsed="false">
      <c r="A40" s="2"/>
      <c r="B40" s="2"/>
      <c r="C40" s="2"/>
      <c r="D40" s="2"/>
      <c r="E40" s="2"/>
      <c r="F40" s="2"/>
      <c r="G40" s="246"/>
      <c r="H40" s="255"/>
      <c r="I40" s="255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</row>
    <row r="41" customFormat="false" ht="12.75" hidden="false" customHeight="false" outlineLevel="0" collapsed="false">
      <c r="A41" s="77" t="s">
        <v>265</v>
      </c>
      <c r="B41" s="2"/>
      <c r="C41" s="2"/>
      <c r="D41" s="2"/>
      <c r="E41" s="2"/>
      <c r="F41" s="2"/>
      <c r="G41" s="246"/>
      <c r="H41" s="246" t="n">
        <f aca="false">H39+H32+H27+H21+H17+H11</f>
        <v>11.6</v>
      </c>
      <c r="I41" s="255" t="n">
        <f aca="false">I39+I32+I27+I21+I17+I11</f>
        <v>146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</row>
    <row r="42" customFormat="false" ht="12.75" hidden="false" customHeight="false" outlineLevel="0" collapsed="false">
      <c r="A42" s="2"/>
      <c r="B42" s="2"/>
      <c r="C42" s="2"/>
      <c r="D42" s="2"/>
      <c r="E42" s="2"/>
      <c r="F42" s="2"/>
      <c r="G42" s="246"/>
      <c r="H42" s="246"/>
      <c r="I42" s="87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customFormat="false" ht="12.75" hidden="false" customHeight="false" outlineLevel="0" collapsed="false">
      <c r="A43" s="77" t="s">
        <v>266</v>
      </c>
      <c r="B43" s="2"/>
      <c r="C43" s="2"/>
      <c r="D43" s="2"/>
      <c r="E43" s="2"/>
      <c r="F43" s="2"/>
      <c r="G43" s="246"/>
      <c r="H43" s="246"/>
      <c r="I43" s="87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customFormat="false" ht="12.75" hidden="false" customHeight="false" outlineLevel="0" collapsed="false">
      <c r="A44" s="2"/>
      <c r="B44" s="2" t="s">
        <v>267</v>
      </c>
      <c r="C44" s="2"/>
      <c r="D44" s="2"/>
      <c r="E44" s="2"/>
      <c r="F44" s="2"/>
      <c r="G44" s="246"/>
      <c r="H44" s="246"/>
      <c r="I44" s="253" t="n">
        <f aca="false">H41*7*150/1000</f>
        <v>12.18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customFormat="false" ht="12.75" hidden="false" customHeight="false" outlineLevel="0" collapsed="false">
      <c r="A45" s="2"/>
      <c r="B45" s="2" t="s">
        <v>268</v>
      </c>
      <c r="C45" s="2"/>
      <c r="D45" s="2"/>
      <c r="E45" s="2"/>
      <c r="F45" s="2"/>
      <c r="G45" s="246"/>
      <c r="H45" s="246"/>
      <c r="I45" s="253" t="n">
        <f aca="false">7*1</f>
        <v>7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</row>
    <row r="46" customFormat="false" ht="12.75" hidden="false" customHeight="false" outlineLevel="0" collapsed="false">
      <c r="B46" s="242" t="s">
        <v>269</v>
      </c>
      <c r="C46" s="2"/>
      <c r="D46" s="2"/>
      <c r="E46" s="2"/>
      <c r="F46" s="2"/>
      <c r="G46" s="246"/>
      <c r="H46" s="246"/>
      <c r="I46" s="259" t="n">
        <f aca="false">(4*2600+1000)/1000</f>
        <v>11.4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customFormat="false" ht="12.75" hidden="false" customHeight="false" outlineLevel="0" collapsed="false">
      <c r="A47" s="2"/>
      <c r="B47" s="2"/>
      <c r="C47" s="2"/>
      <c r="D47" s="2"/>
      <c r="E47" s="2"/>
      <c r="F47" s="2"/>
      <c r="G47" s="246"/>
      <c r="H47" s="246"/>
      <c r="I47" s="260" t="n">
        <f aca="false">SUM(I44:I46)</f>
        <v>30.58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customFormat="false" ht="12.75" hidden="false" customHeight="false" outlineLevel="0" collapsed="false">
      <c r="A48" s="2"/>
      <c r="B48" s="2"/>
      <c r="C48" s="2"/>
      <c r="D48" s="2"/>
      <c r="E48" s="2"/>
      <c r="F48" s="2"/>
      <c r="G48" s="246"/>
      <c r="H48" s="246"/>
      <c r="I48" s="260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customFormat="false" ht="12.75" hidden="false" customHeight="false" outlineLevel="0" collapsed="false">
      <c r="A49" s="77" t="s">
        <v>270</v>
      </c>
      <c r="B49" s="2"/>
      <c r="C49" s="2"/>
      <c r="D49" s="2"/>
      <c r="E49" s="77"/>
      <c r="F49" s="2"/>
      <c r="G49" s="246"/>
      <c r="H49" s="255"/>
      <c r="I49" s="87" t="n">
        <f aca="false">SUM(I44:I46)+I41</f>
        <v>176.58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</row>
    <row r="50" customFormat="false" ht="12.75" hidden="false" customHeight="false" outlineLevel="0" collapsed="false">
      <c r="A50" s="2"/>
      <c r="B50" s="77" t="s">
        <v>271</v>
      </c>
      <c r="C50" s="2"/>
      <c r="D50" s="2"/>
      <c r="E50" s="2"/>
      <c r="F50" s="2"/>
      <c r="G50" s="2"/>
      <c r="H50" s="2"/>
      <c r="I50" s="248" t="n">
        <f aca="false">I14</f>
        <v>20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</row>
    <row r="51" customFormat="false" ht="12.75" hidden="false" customHeight="false" outlineLevel="0" collapsed="false">
      <c r="A51" s="77" t="s">
        <v>272</v>
      </c>
      <c r="B51" s="77"/>
      <c r="C51" s="2"/>
      <c r="D51" s="2"/>
      <c r="E51" s="2"/>
      <c r="F51" s="2"/>
      <c r="G51" s="2"/>
      <c r="H51" s="2"/>
      <c r="I51" s="87" t="n">
        <f aca="false">I49-I50</f>
        <v>156.58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</row>
    <row r="52" customFormat="false" ht="12.75" hidden="false" customHeight="false" outlineLevel="0" collapsed="false">
      <c r="A52" s="2"/>
      <c r="B52" s="77"/>
      <c r="C52" s="2"/>
      <c r="D52" s="2"/>
      <c r="E52" s="2"/>
      <c r="F52" s="2"/>
      <c r="G52" s="2"/>
      <c r="H52" s="2"/>
      <c r="I52" s="87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</row>
    <row r="53" customFormat="false" ht="12.75" hidden="false" customHeight="false" outlineLevel="0" collapsed="false">
      <c r="A53" s="2" t="s">
        <v>273</v>
      </c>
      <c r="B53" s="2"/>
      <c r="C53" s="2"/>
      <c r="D53" s="2"/>
      <c r="E53" s="2"/>
      <c r="F53" s="2"/>
      <c r="G53" s="2"/>
      <c r="H53" s="2"/>
      <c r="I53" s="261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</row>
    <row r="54" customFormat="false" ht="12.75" hidden="false" customHeight="false" outlineLevel="0" collapsed="false">
      <c r="A54" s="2" t="s">
        <v>274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</row>
    <row r="55" customFormat="false" ht="12.75" hidden="false" customHeight="false" outlineLevel="0" collapsed="false">
      <c r="A55" s="2" t="s">
        <v>275</v>
      </c>
      <c r="B55" s="2" t="s">
        <v>276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</row>
    <row r="56" customFormat="false" ht="12.75" hidden="false" customHeight="false" outlineLevel="0" collapsed="false">
      <c r="A56" s="2"/>
      <c r="B56" s="2" t="s">
        <v>277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</row>
    <row r="57" customFormat="false" ht="12.75" hidden="false" customHeight="false" outlineLevel="0" collapsed="false">
      <c r="A57" s="2"/>
      <c r="B57" s="2" t="s">
        <v>278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</row>
    <row r="58" customFormat="false" ht="12.75" hidden="false" customHeight="false" outlineLevel="0" collapsed="false">
      <c r="A58" s="2" t="s">
        <v>279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</row>
    <row r="59" customFormat="false" ht="12.75" hidden="false" customHeight="false" outlineLevel="0" collapsed="false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</row>
    <row r="60" customFormat="false" ht="12.75" hidden="false" customHeight="false" outlineLevel="0" collapsed="false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customFormat="false" ht="12.75" hidden="false" customHeight="false" outlineLevel="0" collapsed="false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customFormat="false" ht="12.75" hidden="false" customHeight="false" outlineLevel="0" collapsed="false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customFormat="false" ht="12.75" hidden="false" customHeight="false" outlineLevel="0" collapsed="false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customFormat="false" ht="12.75" hidden="false" customHeight="false" outlineLevel="0" collapsed="false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customFormat="false" ht="12.75" hidden="false" customHeight="fals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  <row r="66" customFormat="false" ht="12.75" hidden="false" customHeight="fals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</row>
    <row r="67" customFormat="false" ht="12.75" hidden="false" customHeight="fals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</row>
    <row r="68" customFormat="false" ht="12.75" hidden="false" customHeight="fals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</row>
    <row r="69" customFormat="false" ht="12.75" hidden="false" customHeight="fals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</row>
    <row r="70" customFormat="false" ht="12.75" hidden="false" customHeight="fals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</row>
    <row r="71" customFormat="false" ht="12.75" hidden="false" customHeight="fals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</row>
    <row r="72" customFormat="false" ht="12.75" hidden="false" customHeight="fals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</row>
    <row r="73" customFormat="false" ht="12.75" hidden="false" customHeight="fals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</row>
    <row r="74" customFormat="false" ht="12.75" hidden="false" customHeight="fals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</row>
    <row r="75" customFormat="false" ht="12.75" hidden="false" customHeight="fals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</row>
    <row r="76" customFormat="false" ht="12.75" hidden="false" customHeight="fals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</row>
    <row r="77" customFormat="false" ht="12.75" hidden="false" customHeight="fals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</row>
    <row r="78" customFormat="false" ht="12.75" hidden="false" customHeight="fals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</row>
    <row r="79" customFormat="false" ht="12.75" hidden="false" customHeight="fals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</row>
    <row r="80" customFormat="false" ht="12.75" hidden="false" customHeight="fals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</row>
    <row r="81" customFormat="false" ht="12.75" hidden="false" customHeight="fals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</row>
    <row r="82" customFormat="false" ht="12.75" hidden="false" customHeight="fals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</row>
    <row r="83" customFormat="false" ht="12.75" hidden="false" customHeight="fals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</row>
    <row r="84" customFormat="false" ht="12.75" hidden="false" customHeight="fals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</row>
    <row r="85" customFormat="false" ht="12.75" hidden="false" customHeight="fals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</row>
    <row r="86" customFormat="false" ht="12.75" hidden="false" customHeight="fals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</row>
    <row r="87" customFormat="false" ht="12.75" hidden="false" customHeight="fals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</row>
    <row r="88" customFormat="false" ht="12.75" hidden="false" customHeight="fals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</row>
    <row r="89" customFormat="false" ht="12.75" hidden="false" customHeight="fals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</row>
    <row r="90" customFormat="false" ht="12.75" hidden="false" customHeight="fals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</row>
    <row r="91" customFormat="false" ht="12.75" hidden="false" customHeight="fals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</row>
    <row r="92" customFormat="false" ht="12.75" hidden="false" customHeight="fals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</row>
    <row r="93" customFormat="false" ht="12.75" hidden="false" customHeight="fals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</row>
    <row r="94" customFormat="false" ht="12.75" hidden="false" customHeight="fals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</row>
    <row r="95" customFormat="false" ht="12.75" hidden="false" customHeight="fals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</row>
    <row r="96" customFormat="false" ht="12.75" hidden="false" customHeight="fals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</row>
    <row r="97" customFormat="false" ht="12.75" hidden="false" customHeight="fals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</row>
    <row r="98" customFormat="false" ht="12.75" hidden="false" customHeight="fals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</row>
    <row r="99" customFormat="false" ht="12.75" hidden="false" customHeight="fals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</row>
    <row r="100" customFormat="false" ht="12.75" hidden="false" customHeight="fals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</row>
    <row r="101" customFormat="false" ht="12.75" hidden="false" customHeight="fals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</row>
    <row r="102" customFormat="false" ht="12.75" hidden="false" customHeight="fals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</row>
    <row r="103" customFormat="false" ht="12.75" hidden="false" customHeight="fals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</row>
    <row r="104" customFormat="false" ht="12.75" hidden="false" customHeight="fals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</row>
    <row r="105" customFormat="false" ht="12.75" hidden="false" customHeight="fals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</row>
    <row r="106" customFormat="false" ht="12.75" hidden="false" customHeight="fals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</row>
    <row r="107" customFormat="false" ht="12.75" hidden="false" customHeight="fals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</row>
    <row r="108" customFormat="false" ht="12.75" hidden="false" customHeight="fals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</row>
    <row r="109" customFormat="false" ht="12.75" hidden="false" customHeight="fals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</row>
    <row r="110" customFormat="false" ht="12.75" hidden="false" customHeight="fals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</row>
    <row r="111" customFormat="false" ht="12.75" hidden="false" customHeight="fals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</row>
    <row r="112" customFormat="false" ht="12.75" hidden="false" customHeight="fals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</row>
    <row r="113" customFormat="false" ht="12.75" hidden="false" customHeight="fals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</row>
    <row r="114" customFormat="false" ht="12.75" hidden="false" customHeight="fals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</row>
    <row r="115" customFormat="false" ht="12.75" hidden="false" customHeight="fals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</row>
    <row r="116" customFormat="false" ht="12.75" hidden="false" customHeight="fals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</row>
    <row r="117" customFormat="false" ht="12.75" hidden="false" customHeight="fals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</row>
    <row r="118" customFormat="false" ht="12.75" hidden="false" customHeight="fals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</row>
    <row r="119" customFormat="false" ht="12.75" hidden="false" customHeight="fals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</row>
    <row r="120" customFormat="false" ht="12.75" hidden="false" customHeight="fals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</row>
    <row r="121" customFormat="false" ht="12.75" hidden="false" customHeight="fals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</row>
    <row r="122" customFormat="false" ht="12.75" hidden="false" customHeight="fals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</row>
    <row r="123" customFormat="false" ht="12.75" hidden="false" customHeight="fals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</row>
    <row r="124" customFormat="false" ht="12.75" hidden="false" customHeight="fals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</row>
    <row r="125" customFormat="false" ht="12.75" hidden="false" customHeight="fals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</row>
    <row r="126" customFormat="false" ht="12.75" hidden="false" customHeight="fals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</row>
    <row r="127" customFormat="false" ht="12.75" hidden="false" customHeight="fals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</row>
    <row r="128" customFormat="false" ht="12.75" hidden="false" customHeight="fals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</row>
    <row r="129" customFormat="false" ht="12.75" hidden="false" customHeight="fals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</row>
    <row r="130" customFormat="false" ht="12.75" hidden="false" customHeight="fals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</row>
    <row r="131" customFormat="false" ht="12.75" hidden="false" customHeight="fals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</row>
    <row r="132" customFormat="false" ht="12.75" hidden="false" customHeight="fals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</row>
    <row r="133" customFormat="false" ht="12.75" hidden="false" customHeight="fals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</row>
    <row r="134" customFormat="false" ht="12.75" hidden="false" customHeight="fals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</row>
    <row r="135" customFormat="false" ht="12.75" hidden="false" customHeight="fals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</row>
    <row r="136" customFormat="false" ht="12.75" hidden="false" customHeight="fals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</row>
    <row r="137" customFormat="false" ht="12.75" hidden="false" customHeight="fals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</row>
    <row r="138" customFormat="false" ht="12.75" hidden="false" customHeight="fals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</row>
    <row r="139" customFormat="false" ht="12.75" hidden="false" customHeight="fals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</row>
    <row r="140" customFormat="false" ht="12.75" hidden="false" customHeight="fals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</row>
    <row r="141" customFormat="false" ht="12.75" hidden="false" customHeight="fals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</row>
    <row r="142" customFormat="false" ht="12.75" hidden="false" customHeight="fals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</row>
    <row r="143" customFormat="false" ht="12.75" hidden="false" customHeight="fals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</row>
    <row r="144" customFormat="false" ht="12.75" hidden="false" customHeight="fals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</row>
    <row r="145" customFormat="false" ht="12.75" hidden="false" customHeight="fals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</row>
    <row r="146" customFormat="false" ht="12.75" hidden="false" customHeight="fals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</row>
    <row r="147" customFormat="false" ht="12.75" hidden="false" customHeight="fals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</row>
    <row r="148" customFormat="false" ht="12.75" hidden="false" customHeight="fals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</row>
    <row r="149" customFormat="false" ht="12.75" hidden="false" customHeight="fals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</row>
    <row r="150" customFormat="false" ht="12.75" hidden="false" customHeight="fals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</row>
    <row r="151" customFormat="false" ht="12.75" hidden="false" customHeight="fals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</row>
    <row r="152" customFormat="false" ht="12.75" hidden="false" customHeight="fals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</row>
    <row r="153" customFormat="false" ht="12.75" hidden="false" customHeight="fals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</row>
    <row r="154" customFormat="false" ht="12.75" hidden="false" customHeight="fals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</row>
    <row r="155" customFormat="false" ht="12.75" hidden="false" customHeight="fals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</row>
    <row r="156" customFormat="false" ht="12.75" hidden="false" customHeight="fals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</row>
    <row r="157" customFormat="false" ht="12.75" hidden="false" customHeight="fals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</row>
    <row r="158" customFormat="false" ht="12.75" hidden="false" customHeight="fals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</row>
    <row r="159" customFormat="false" ht="12.75" hidden="false" customHeight="fals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</row>
    <row r="160" customFormat="false" ht="12.75" hidden="false" customHeight="fals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</row>
    <row r="161" customFormat="false" ht="12.75" hidden="false" customHeight="fals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</row>
    <row r="162" customFormat="false" ht="12.75" hidden="false" customHeight="fals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</row>
    <row r="163" customFormat="false" ht="12.75" hidden="false" customHeight="fals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</row>
    <row r="164" customFormat="false" ht="12.75" hidden="false" customHeight="fals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</row>
    <row r="165" customFormat="false" ht="12.75" hidden="false" customHeight="fals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</row>
    <row r="166" customFormat="false" ht="12.75" hidden="false" customHeight="fals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</row>
    <row r="167" customFormat="false" ht="12.75" hidden="false" customHeight="fals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</row>
    <row r="168" customFormat="false" ht="12.75" hidden="false" customHeight="fals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</row>
    <row r="169" customFormat="false" ht="12.75" hidden="false" customHeight="fals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</row>
    <row r="170" customFormat="false" ht="12.75" hidden="false" customHeight="fals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</row>
    <row r="171" customFormat="false" ht="12.75" hidden="false" customHeight="fals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</row>
    <row r="172" customFormat="false" ht="12.75" hidden="false" customHeight="fals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</row>
    <row r="173" customFormat="false" ht="12.75" hidden="false" customHeight="fals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</row>
    <row r="174" customFormat="false" ht="12.75" hidden="false" customHeight="fals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</row>
    <row r="175" customFormat="false" ht="12.75" hidden="false" customHeight="fals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</row>
    <row r="176" customFormat="false" ht="12.75" hidden="false" customHeight="fals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</row>
    <row r="177" customFormat="false" ht="12.75" hidden="false" customHeight="fals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</row>
    <row r="178" customFormat="false" ht="12.75" hidden="false" customHeight="fals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</row>
    <row r="179" customFormat="false" ht="12.7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</row>
    <row r="180" customFormat="false" ht="12.7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</row>
    <row r="181" customFormat="false" ht="12.75" hidden="false" customHeight="fals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</row>
    <row r="182" customFormat="false" ht="12.75" hidden="false" customHeight="fals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</row>
    <row r="183" customFormat="false" ht="12.75" hidden="false" customHeight="fals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</row>
    <row r="184" customFormat="false" ht="12.75" hidden="false" customHeight="fals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</row>
    <row r="185" customFormat="false" ht="12.75" hidden="false" customHeight="fals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</row>
    <row r="186" customFormat="false" ht="12.7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</row>
    <row r="187" customFormat="false" ht="12.7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</row>
    <row r="188" customFormat="false" ht="12.7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</row>
    <row r="189" customFormat="false" ht="12.75" hidden="false" customHeight="fals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</row>
    <row r="190" customFormat="false" ht="12.7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</row>
    <row r="191" customFormat="false" ht="12.7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</row>
    <row r="192" customFormat="false" ht="12.7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</row>
    <row r="193" customFormat="false" ht="12.7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</row>
    <row r="194" customFormat="false" ht="12.7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</row>
    <row r="195" customFormat="false" ht="12.7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</row>
    <row r="196" customFormat="false" ht="12.7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</row>
    <row r="197" customFormat="false" ht="12.7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</row>
    <row r="198" customFormat="false" ht="12.7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</row>
    <row r="199" customFormat="false" ht="12.7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</row>
    <row r="200" customFormat="false" ht="12.7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</row>
    <row r="201" customFormat="false" ht="12.7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</row>
    <row r="202" customFormat="false" ht="12.7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</row>
    <row r="203" customFormat="false" ht="12.7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</row>
    <row r="204" customFormat="false" ht="12.7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</row>
    <row r="205" customFormat="false" ht="12.7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</row>
    <row r="206" customFormat="false" ht="12.7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</row>
    <row r="207" customFormat="false" ht="12.7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</row>
    <row r="208" customFormat="false" ht="12.7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</row>
    <row r="209" customFormat="false" ht="12.7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</row>
    <row r="210" customFormat="false" ht="12.7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</row>
    <row r="211" customFormat="false" ht="12.7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</row>
    <row r="212" customFormat="false" ht="12.7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</row>
    <row r="213" customFormat="false" ht="12.7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</row>
    <row r="214" customFormat="false" ht="12.7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</row>
    <row r="215" customFormat="false" ht="12.7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</row>
    <row r="216" customFormat="false" ht="12.7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</row>
    <row r="217" customFormat="false" ht="12.7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</row>
    <row r="218" customFormat="false" ht="12.7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</row>
    <row r="219" customFormat="false" ht="12.7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</row>
    <row r="220" customFormat="false" ht="12.7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</row>
    <row r="221" customFormat="false" ht="12.7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</row>
    <row r="222" customFormat="false" ht="12.7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</row>
    <row r="223" customFormat="false" ht="12.7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</row>
    <row r="224" customFormat="false" ht="12.7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</row>
    <row r="225" customFormat="false" ht="12.7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</row>
    <row r="226" customFormat="false" ht="12.7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</row>
    <row r="227" customFormat="false" ht="12.7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</row>
    <row r="228" customFormat="false" ht="12.7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</row>
    <row r="229" customFormat="false" ht="12.7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</row>
    <row r="230" customFormat="false" ht="12.7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</row>
    <row r="231" customFormat="false" ht="12.7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</row>
    <row r="232" customFormat="false" ht="12.7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</row>
    <row r="233" customFormat="false" ht="12.7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</row>
    <row r="234" customFormat="false" ht="12.7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</row>
    <row r="235" customFormat="false" ht="12.7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</row>
    <row r="236" customFormat="false" ht="12.7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</row>
    <row r="237" customFormat="false" ht="12.7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</row>
    <row r="238" customFormat="false" ht="12.7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</row>
    <row r="239" customFormat="false" ht="12.7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</row>
    <row r="240" customFormat="false" ht="12.7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</row>
    <row r="241" customFormat="false" ht="12.7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</row>
    <row r="242" customFormat="false" ht="12.7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</row>
    <row r="243" customFormat="false" ht="12.7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</row>
    <row r="244" customFormat="false" ht="12.7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</row>
    <row r="245" customFormat="false" ht="12.7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</row>
    <row r="246" customFormat="false" ht="12.7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</row>
    <row r="247" customFormat="false" ht="12.7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</row>
    <row r="248" customFormat="false" ht="12.7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</row>
    <row r="249" customFormat="false" ht="12.7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</row>
    <row r="250" customFormat="false" ht="12.7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</row>
    <row r="251" customFormat="false" ht="12.7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</row>
    <row r="252" customFormat="false" ht="12.7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</row>
    <row r="253" customFormat="false" ht="12.7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</row>
    <row r="254" customFormat="false" ht="12.7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</row>
    <row r="255" customFormat="false" ht="12.7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</row>
    <row r="256" customFormat="false" ht="12.7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</row>
    <row r="257" customFormat="false" ht="12.7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</row>
    <row r="258" customFormat="false" ht="12.7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</row>
    <row r="259" customFormat="false" ht="12.7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</row>
    <row r="260" customFormat="false" ht="12.7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</row>
    <row r="261" customFormat="false" ht="12.7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</row>
    <row r="262" customFormat="false" ht="12.7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</row>
    <row r="263" customFormat="false" ht="12.7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</row>
    <row r="264" customFormat="false" ht="12.7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</row>
    <row r="265" customFormat="false" ht="12.7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</row>
    <row r="266" customFormat="false" ht="12.7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</row>
    <row r="267" customFormat="false" ht="12.7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</row>
    <row r="268" customFormat="false" ht="12.7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</row>
    <row r="269" customFormat="false" ht="12.7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</row>
    <row r="270" customFormat="false" ht="12.7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</row>
    <row r="271" customFormat="false" ht="12.7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</row>
    <row r="272" customFormat="false" ht="12.7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</row>
    <row r="273" customFormat="false" ht="12.7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</row>
    <row r="274" customFormat="false" ht="12.7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</row>
    <row r="275" customFormat="false" ht="12.7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</row>
    <row r="276" customFormat="false" ht="12.7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</row>
    <row r="277" customFormat="false" ht="12.7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</row>
    <row r="278" customFormat="false" ht="12.7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</row>
    <row r="279" customFormat="false" ht="12.7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</row>
    <row r="280" customFormat="false" ht="12.7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</row>
    <row r="281" customFormat="false" ht="12.7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</row>
    <row r="282" customFormat="false" ht="12.7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</row>
    <row r="283" customFormat="false" ht="12.7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</row>
    <row r="284" customFormat="false" ht="12.7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</row>
    <row r="285" customFormat="false" ht="12.7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</row>
    <row r="286" customFormat="false" ht="12.7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</row>
    <row r="287" customFormat="false" ht="12.7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</row>
    <row r="288" customFormat="false" ht="12.7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</row>
    <row r="289" customFormat="false" ht="12.7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</row>
    <row r="290" customFormat="false" ht="12.7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</row>
    <row r="291" customFormat="false" ht="12.7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</row>
    <row r="292" customFormat="false" ht="12.7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</row>
    <row r="293" customFormat="false" ht="12.7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</row>
    <row r="294" customFormat="false" ht="12.7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</row>
    <row r="295" customFormat="false" ht="12.75" hidden="false" customHeight="fals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</row>
    <row r="296" customFormat="false" ht="12.75" hidden="false" customHeight="fals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</row>
    <row r="297" customFormat="false" ht="12.75" hidden="false" customHeight="fals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</row>
    <row r="298" customFormat="false" ht="12.75" hidden="false" customHeight="fals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</row>
    <row r="299" customFormat="false" ht="12.75" hidden="false" customHeight="fals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</row>
    <row r="300" customFormat="false" ht="12.75" hidden="false" customHeight="fals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</row>
    <row r="301" customFormat="false" ht="12.75" hidden="false" customHeight="fals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</row>
    <row r="302" customFormat="false" ht="12.75" hidden="false" customHeight="fals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</row>
    <row r="303" customFormat="false" ht="12.75" hidden="false" customHeight="fals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</row>
    <row r="304" customFormat="false" ht="12.75" hidden="false" customHeight="fals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</row>
    <row r="305" customFormat="false" ht="12.75" hidden="false" customHeight="fals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</row>
    <row r="306" customFormat="false" ht="12.75" hidden="false" customHeight="fals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</row>
    <row r="307" customFormat="false" ht="12.75" hidden="false" customHeight="fals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</row>
    <row r="308" customFormat="false" ht="12.75" hidden="false" customHeight="fals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</row>
    <row r="309" customFormat="false" ht="12.75" hidden="false" customHeight="fals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</row>
    <row r="310" customFormat="false" ht="12.75" hidden="false" customHeight="fals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</row>
    <row r="311" customFormat="false" ht="12.75" hidden="false" customHeight="fals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</row>
    <row r="312" customFormat="false" ht="12.75" hidden="false" customHeight="fals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</row>
    <row r="313" customFormat="false" ht="12.75" hidden="false" customHeight="fals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</row>
    <row r="314" customFormat="false" ht="12.75" hidden="false" customHeight="fals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</row>
    <row r="315" customFormat="false" ht="12.75" hidden="false" customHeight="fals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</row>
    <row r="316" customFormat="false" ht="12.75" hidden="false" customHeight="fals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</row>
    <row r="317" customFormat="false" ht="12.75" hidden="false" customHeight="fals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</row>
    <row r="318" customFormat="false" ht="12.75" hidden="false" customHeight="fals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</row>
    <row r="319" customFormat="false" ht="12.75" hidden="false" customHeight="fals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</row>
    <row r="320" customFormat="false" ht="12.75" hidden="false" customHeight="fals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</row>
    <row r="321" customFormat="false" ht="12.75" hidden="false" customHeight="fals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</row>
    <row r="322" customFormat="false" ht="12.75" hidden="false" customHeight="fals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</row>
    <row r="323" customFormat="false" ht="12.75" hidden="false" customHeight="fals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</row>
    <row r="324" customFormat="false" ht="12.75" hidden="false" customHeight="fals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</row>
    <row r="325" customFormat="false" ht="12.75" hidden="false" customHeight="fals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</row>
    <row r="326" customFormat="false" ht="12.75" hidden="false" customHeight="fals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</row>
    <row r="327" customFormat="false" ht="12.75" hidden="false" customHeight="fals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</row>
    <row r="328" customFormat="false" ht="12.75" hidden="false" customHeight="fals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</row>
    <row r="329" customFormat="false" ht="12.75" hidden="false" customHeight="fals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</row>
    <row r="330" customFormat="false" ht="12.75" hidden="false" customHeight="fals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</row>
    <row r="331" customFormat="false" ht="12.75" hidden="false" customHeight="fals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</row>
    <row r="332" customFormat="false" ht="12.75" hidden="false" customHeight="fals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</row>
    <row r="333" customFormat="false" ht="12.75" hidden="false" customHeight="fals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</row>
    <row r="334" customFormat="false" ht="12.75" hidden="false" customHeight="fals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</row>
    <row r="335" customFormat="false" ht="12.75" hidden="false" customHeight="fals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</row>
    <row r="336" customFormat="false" ht="12.75" hidden="false" customHeight="fals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</row>
    <row r="337" customFormat="false" ht="12.75" hidden="false" customHeight="fals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</row>
    <row r="338" customFormat="false" ht="12.75" hidden="false" customHeight="fals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</row>
    <row r="339" customFormat="false" ht="12.75" hidden="false" customHeight="fals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</row>
    <row r="340" customFormat="false" ht="12.75" hidden="false" customHeight="fals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</row>
    <row r="341" customFormat="false" ht="12.75" hidden="false" customHeight="fals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</row>
    <row r="342" customFormat="false" ht="12.75" hidden="false" customHeight="fals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</row>
    <row r="343" customFormat="false" ht="12.75" hidden="false" customHeight="fals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</row>
    <row r="344" customFormat="false" ht="12.75" hidden="false" customHeight="fals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</row>
    <row r="345" customFormat="false" ht="12.75" hidden="false" customHeight="fals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</row>
    <row r="346" customFormat="false" ht="12.75" hidden="false" customHeight="fals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</row>
    <row r="347" customFormat="false" ht="12.75" hidden="false" customHeight="fals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</row>
    <row r="348" customFormat="false" ht="12.75" hidden="false" customHeight="fals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</row>
    <row r="349" customFormat="false" ht="12.75" hidden="false" customHeight="fals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</row>
    <row r="350" customFormat="false" ht="12.75" hidden="false" customHeight="fals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</row>
    <row r="351" customFormat="false" ht="12.75" hidden="false" customHeight="fals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</row>
    <row r="352" customFormat="false" ht="12.75" hidden="false" customHeight="fals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</row>
    <row r="353" customFormat="false" ht="12.75" hidden="false" customHeight="fals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</row>
  </sheetData>
  <mergeCells count="2">
    <mergeCell ref="A1:I1"/>
    <mergeCell ref="A2:I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&amp;L&amp;D&amp;CPage _____&amp;R&amp;F
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122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G40" activeCellId="0" sqref="G4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5.84"/>
    <col collapsed="false" customWidth="true" hidden="false" outlineLevel="0" max="2" min="2" style="0" width="8.99"/>
    <col collapsed="false" customWidth="true" hidden="false" outlineLevel="0" max="4" min="3" style="0" width="9.56"/>
    <col collapsed="false" customWidth="true" hidden="false" outlineLevel="0" max="5" min="5" style="0" width="9.99"/>
    <col collapsed="false" customWidth="true" hidden="false" outlineLevel="0" max="6" min="6" style="0" width="30.7"/>
    <col collapsed="false" customWidth="true" hidden="false" outlineLevel="0" max="7" min="7" style="0" width="9.41"/>
  </cols>
  <sheetData>
    <row r="1" customFormat="false" ht="15.75" hidden="false" customHeight="true" outlineLevel="0" collapsed="false">
      <c r="A1" s="262" t="str">
        <f aca="false">Summary!$A$1</f>
        <v>AES Corp, Dallas, TX (640 MW)</v>
      </c>
      <c r="B1" s="262"/>
      <c r="C1" s="262"/>
      <c r="D1" s="262"/>
      <c r="E1" s="262"/>
      <c r="F1" s="262"/>
      <c r="G1" s="262"/>
      <c r="H1" s="262"/>
    </row>
    <row r="2" customFormat="false" ht="15.75" hidden="false" customHeight="true" outlineLevel="0" collapsed="false">
      <c r="A2" s="263" t="s">
        <v>280</v>
      </c>
      <c r="B2" s="263"/>
      <c r="C2" s="263"/>
      <c r="D2" s="263"/>
      <c r="E2" s="263"/>
      <c r="F2" s="263"/>
      <c r="G2" s="263"/>
      <c r="H2" s="263"/>
    </row>
    <row r="4" customFormat="false" ht="12.75" hidden="false" customHeight="false" outlineLevel="0" collapsed="false">
      <c r="C4" s="17" t="s">
        <v>281</v>
      </c>
    </row>
    <row r="5" customFormat="false" ht="12.75" hidden="false" customHeight="false" outlineLevel="0" collapsed="false">
      <c r="C5" s="264" t="s">
        <v>282</v>
      </c>
      <c r="D5" s="264" t="s">
        <v>283</v>
      </c>
      <c r="E5" s="264" t="s">
        <v>284</v>
      </c>
      <c r="F5" s="265" t="s">
        <v>285</v>
      </c>
      <c r="G5" s="157"/>
      <c r="H5" s="157"/>
    </row>
    <row r="6" customFormat="false" ht="12.75" hidden="false" customHeight="false" outlineLevel="0" collapsed="false">
      <c r="A6" s="8" t="s">
        <v>286</v>
      </c>
      <c r="B6" s="8"/>
      <c r="C6" s="266"/>
      <c r="D6" s="267"/>
      <c r="E6" s="266"/>
      <c r="F6" s="153"/>
    </row>
    <row r="7" customFormat="false" ht="12.75" hidden="false" customHeight="false" outlineLevel="0" collapsed="false">
      <c r="A7" s="8"/>
      <c r="B7" s="8"/>
      <c r="C7" s="266"/>
      <c r="D7" s="267"/>
      <c r="E7" s="266"/>
      <c r="F7" s="153"/>
    </row>
    <row r="8" customFormat="false" ht="12.75" hidden="false" customHeight="false" outlineLevel="0" collapsed="false">
      <c r="A8" s="0" t="s">
        <v>287</v>
      </c>
      <c r="C8" s="268"/>
      <c r="D8" s="269"/>
      <c r="E8" s="268"/>
      <c r="F8" s="153"/>
    </row>
    <row r="9" customFormat="false" ht="12.75" hidden="false" customHeight="false" outlineLevel="0" collapsed="false">
      <c r="A9" s="0" t="s">
        <v>288</v>
      </c>
      <c r="C9" s="268"/>
      <c r="D9" s="269"/>
      <c r="E9" s="268" t="s">
        <v>289</v>
      </c>
      <c r="F9" s="153"/>
    </row>
    <row r="10" customFormat="false" ht="12.75" hidden="false" customHeight="false" outlineLevel="0" collapsed="false">
      <c r="A10" s="0" t="s">
        <v>290</v>
      </c>
      <c r="C10" s="268"/>
      <c r="D10" s="268" t="s">
        <v>289</v>
      </c>
      <c r="E10" s="268"/>
      <c r="F10" s="153"/>
    </row>
    <row r="11" customFormat="false" ht="12.75" hidden="false" customHeight="false" outlineLevel="0" collapsed="false">
      <c r="A11" s="0" t="s">
        <v>291</v>
      </c>
      <c r="C11" s="268" t="s">
        <v>289</v>
      </c>
      <c r="D11" s="268"/>
      <c r="E11" s="268"/>
      <c r="F11" s="153"/>
    </row>
    <row r="12" customFormat="false" ht="12.75" hidden="false" customHeight="false" outlineLevel="0" collapsed="false">
      <c r="A12" s="0" t="s">
        <v>292</v>
      </c>
      <c r="C12" s="268"/>
      <c r="D12" s="268"/>
      <c r="E12" s="268"/>
      <c r="F12" s="153"/>
    </row>
    <row r="13" customFormat="false" ht="12.75" hidden="false" customHeight="false" outlineLevel="0" collapsed="false">
      <c r="A13" s="0" t="s">
        <v>288</v>
      </c>
      <c r="C13" s="268"/>
      <c r="D13" s="268"/>
      <c r="E13" s="268" t="s">
        <v>289</v>
      </c>
      <c r="F13" s="153"/>
    </row>
    <row r="14" customFormat="false" ht="12.75" hidden="false" customHeight="false" outlineLevel="0" collapsed="false">
      <c r="A14" s="0" t="s">
        <v>290</v>
      </c>
      <c r="C14" s="268"/>
      <c r="D14" s="268" t="s">
        <v>289</v>
      </c>
      <c r="E14" s="268"/>
      <c r="F14" s="153"/>
    </row>
    <row r="15" customFormat="false" ht="12.75" hidden="false" customHeight="false" outlineLevel="0" collapsed="false">
      <c r="A15" s="0" t="s">
        <v>291</v>
      </c>
      <c r="C15" s="268" t="s">
        <v>289</v>
      </c>
      <c r="D15" s="268"/>
      <c r="E15" s="268"/>
      <c r="F15" s="153"/>
    </row>
    <row r="16" customFormat="false" ht="12.75" hidden="false" customHeight="false" outlineLevel="0" collapsed="false">
      <c r="A16" s="0" t="s">
        <v>182</v>
      </c>
      <c r="C16" s="268"/>
      <c r="D16" s="268"/>
      <c r="E16" s="268"/>
      <c r="F16" s="153"/>
    </row>
    <row r="17" customFormat="false" ht="12.75" hidden="false" customHeight="false" outlineLevel="0" collapsed="false">
      <c r="A17" s="0" t="s">
        <v>293</v>
      </c>
      <c r="C17" s="268" t="s">
        <v>289</v>
      </c>
      <c r="D17" s="268"/>
      <c r="E17" s="268"/>
      <c r="F17" s="153"/>
    </row>
    <row r="18" customFormat="false" ht="12.75" hidden="false" customHeight="false" outlineLevel="0" collapsed="false">
      <c r="A18" s="0" t="s">
        <v>294</v>
      </c>
      <c r="C18" s="268" t="s">
        <v>289</v>
      </c>
      <c r="D18" s="268"/>
      <c r="E18" s="268"/>
      <c r="F18" s="153"/>
    </row>
    <row r="19" customFormat="false" ht="12.75" hidden="false" customHeight="false" outlineLevel="0" collapsed="false">
      <c r="A19" s="0" t="s">
        <v>295</v>
      </c>
      <c r="C19" s="268" t="s">
        <v>289</v>
      </c>
      <c r="D19" s="268"/>
      <c r="E19" s="268"/>
      <c r="F19" s="153"/>
    </row>
    <row r="20" customFormat="false" ht="12.75" hidden="false" customHeight="false" outlineLevel="0" collapsed="false">
      <c r="A20" s="0" t="s">
        <v>296</v>
      </c>
      <c r="C20" s="268"/>
      <c r="D20" s="268" t="s">
        <v>289</v>
      </c>
      <c r="E20" s="268"/>
      <c r="F20" s="153"/>
    </row>
    <row r="21" customFormat="false" ht="12.75" hidden="false" customHeight="false" outlineLevel="0" collapsed="false">
      <c r="A21" s="0" t="s">
        <v>297</v>
      </c>
      <c r="C21" s="268"/>
      <c r="D21" s="268" t="s">
        <v>289</v>
      </c>
      <c r="E21" s="268"/>
      <c r="F21" s="153"/>
    </row>
    <row r="22" customFormat="false" ht="12.75" hidden="false" customHeight="false" outlineLevel="0" collapsed="false">
      <c r="A22" s="0" t="s">
        <v>298</v>
      </c>
      <c r="C22" s="268"/>
      <c r="D22" s="268" t="s">
        <v>289</v>
      </c>
      <c r="E22" s="268"/>
      <c r="F22" s="153" t="s">
        <v>299</v>
      </c>
    </row>
    <row r="23" customFormat="false" ht="12.75" hidden="false" customHeight="false" outlineLevel="0" collapsed="false">
      <c r="A23" s="0" t="s">
        <v>300</v>
      </c>
      <c r="C23" s="268" t="s">
        <v>289</v>
      </c>
      <c r="D23" s="268"/>
      <c r="E23" s="268"/>
      <c r="F23" s="153" t="s">
        <v>301</v>
      </c>
    </row>
    <row r="24" customFormat="false" ht="12.75" hidden="false" customHeight="false" outlineLevel="0" collapsed="false">
      <c r="A24" s="0" t="s">
        <v>183</v>
      </c>
      <c r="C24" s="268"/>
      <c r="D24" s="268"/>
      <c r="E24" s="268"/>
      <c r="F24" s="153"/>
    </row>
    <row r="25" customFormat="false" ht="12.75" hidden="false" customHeight="false" outlineLevel="0" collapsed="false">
      <c r="A25" s="0" t="s">
        <v>290</v>
      </c>
      <c r="C25" s="268"/>
      <c r="D25" s="268" t="s">
        <v>289</v>
      </c>
      <c r="E25" s="268"/>
      <c r="F25" s="153"/>
    </row>
    <row r="26" customFormat="false" ht="12.75" hidden="false" customHeight="false" outlineLevel="0" collapsed="false">
      <c r="A26" s="0" t="s">
        <v>291</v>
      </c>
      <c r="C26" s="268" t="s">
        <v>289</v>
      </c>
      <c r="D26" s="268"/>
      <c r="E26" s="268"/>
      <c r="F26" s="153"/>
    </row>
    <row r="27" customFormat="false" ht="12.75" hidden="false" customHeight="false" outlineLevel="0" collapsed="false">
      <c r="A27" s="0" t="s">
        <v>302</v>
      </c>
      <c r="C27" s="268"/>
      <c r="D27" s="268"/>
      <c r="E27" s="268"/>
      <c r="F27" s="153"/>
    </row>
    <row r="28" customFormat="false" ht="12.75" hidden="false" customHeight="false" outlineLevel="0" collapsed="false">
      <c r="A28" s="0" t="s">
        <v>290</v>
      </c>
      <c r="C28" s="268"/>
      <c r="D28" s="268" t="s">
        <v>289</v>
      </c>
      <c r="E28" s="268"/>
      <c r="F28" s="153"/>
    </row>
    <row r="29" customFormat="false" ht="12.75" hidden="false" customHeight="false" outlineLevel="0" collapsed="false">
      <c r="A29" s="0" t="s">
        <v>303</v>
      </c>
      <c r="C29" s="268" t="s">
        <v>289</v>
      </c>
      <c r="D29" s="268"/>
      <c r="E29" s="268"/>
      <c r="F29" s="153"/>
    </row>
    <row r="30" customFormat="false" ht="12.75" hidden="false" customHeight="false" outlineLevel="0" collapsed="false">
      <c r="A30" s="0" t="s">
        <v>304</v>
      </c>
      <c r="C30" s="268"/>
      <c r="D30" s="268"/>
      <c r="E30" s="268"/>
      <c r="F30" s="153"/>
    </row>
    <row r="31" customFormat="false" ht="12.75" hidden="false" customHeight="false" outlineLevel="0" collapsed="false">
      <c r="A31" s="0" t="s">
        <v>305</v>
      </c>
      <c r="C31" s="268"/>
      <c r="D31" s="268" t="s">
        <v>289</v>
      </c>
      <c r="E31" s="268"/>
      <c r="F31" s="153"/>
    </row>
    <row r="32" customFormat="false" ht="12.75" hidden="false" customHeight="false" outlineLevel="0" collapsed="false">
      <c r="A32" s="0" t="s">
        <v>306</v>
      </c>
      <c r="C32" s="268" t="s">
        <v>289</v>
      </c>
      <c r="D32" s="268"/>
      <c r="E32" s="268"/>
      <c r="F32" s="153"/>
    </row>
    <row r="33" customFormat="false" ht="12.75" hidden="false" customHeight="false" outlineLevel="0" collapsed="false">
      <c r="A33" s="0" t="s">
        <v>307</v>
      </c>
      <c r="C33" s="268"/>
      <c r="D33" s="268"/>
      <c r="E33" s="268"/>
      <c r="F33" s="153"/>
    </row>
    <row r="34" customFormat="false" ht="12.75" hidden="false" customHeight="false" outlineLevel="0" collapsed="false">
      <c r="A34" s="0" t="s">
        <v>308</v>
      </c>
      <c r="C34" s="268" t="s">
        <v>289</v>
      </c>
      <c r="D34" s="268"/>
      <c r="E34" s="268"/>
      <c r="F34" s="153" t="s">
        <v>309</v>
      </c>
    </row>
    <row r="35" customFormat="false" ht="12.75" hidden="false" customHeight="false" outlineLevel="0" collapsed="false">
      <c r="A35" s="270" t="s">
        <v>310</v>
      </c>
      <c r="C35" s="268" t="s">
        <v>289</v>
      </c>
      <c r="D35" s="268"/>
      <c r="E35" s="268"/>
      <c r="F35" s="153" t="s">
        <v>309</v>
      </c>
    </row>
    <row r="36" customFormat="false" ht="12.75" hidden="false" customHeight="false" outlineLevel="0" collapsed="false">
      <c r="A36" s="0" t="s">
        <v>311</v>
      </c>
      <c r="C36" s="268" t="s">
        <v>289</v>
      </c>
      <c r="D36" s="268"/>
      <c r="E36" s="268"/>
      <c r="F36" s="153" t="s">
        <v>309</v>
      </c>
    </row>
    <row r="37" customFormat="false" ht="12.75" hidden="false" customHeight="false" outlineLevel="0" collapsed="false">
      <c r="A37" s="270" t="s">
        <v>312</v>
      </c>
      <c r="C37" s="268" t="s">
        <v>289</v>
      </c>
      <c r="D37" s="271"/>
      <c r="E37" s="268"/>
      <c r="F37" s="153" t="s">
        <v>309</v>
      </c>
    </row>
    <row r="38" customFormat="false" ht="12.75" hidden="false" customHeight="false" outlineLevel="0" collapsed="false">
      <c r="A38" s="0" t="s">
        <v>313</v>
      </c>
      <c r="C38" s="268"/>
      <c r="D38" s="268"/>
      <c r="E38" s="268"/>
      <c r="F38" s="153"/>
    </row>
    <row r="39" customFormat="false" ht="12.75" hidden="false" customHeight="false" outlineLevel="0" collapsed="false">
      <c r="A39" s="0" t="s">
        <v>314</v>
      </c>
      <c r="C39" s="268" t="s">
        <v>289</v>
      </c>
      <c r="D39" s="268"/>
      <c r="E39" s="268"/>
      <c r="F39" s="153" t="s">
        <v>315</v>
      </c>
    </row>
    <row r="40" customFormat="false" ht="12.75" hidden="false" customHeight="false" outlineLevel="0" collapsed="false">
      <c r="A40" s="0" t="s">
        <v>316</v>
      </c>
      <c r="C40" s="268"/>
      <c r="D40" s="268" t="s">
        <v>289</v>
      </c>
      <c r="E40" s="268"/>
      <c r="F40" s="153" t="s">
        <v>317</v>
      </c>
    </row>
    <row r="41" customFormat="false" ht="12.75" hidden="false" customHeight="false" outlineLevel="0" collapsed="false">
      <c r="A41" s="0" t="s">
        <v>318</v>
      </c>
      <c r="C41" s="268"/>
      <c r="D41" s="268"/>
      <c r="E41" s="268" t="s">
        <v>289</v>
      </c>
      <c r="F41" s="153" t="s">
        <v>317</v>
      </c>
    </row>
    <row r="42" customFormat="false" ht="12.75" hidden="false" customHeight="false" outlineLevel="0" collapsed="false">
      <c r="A42" s="0" t="s">
        <v>319</v>
      </c>
      <c r="C42" s="268"/>
      <c r="D42" s="268"/>
      <c r="E42" s="268"/>
      <c r="F42" s="153"/>
    </row>
    <row r="43" customFormat="false" ht="12.75" hidden="false" customHeight="false" outlineLevel="0" collapsed="false">
      <c r="A43" s="0" t="s">
        <v>320</v>
      </c>
      <c r="C43" s="268" t="s">
        <v>289</v>
      </c>
      <c r="D43" s="268"/>
      <c r="E43" s="268"/>
      <c r="F43" s="153"/>
    </row>
    <row r="44" customFormat="false" ht="12.75" hidden="false" customHeight="false" outlineLevel="0" collapsed="false">
      <c r="A44" s="0" t="s">
        <v>321</v>
      </c>
      <c r="C44" s="268" t="s">
        <v>289</v>
      </c>
      <c r="D44" s="268"/>
      <c r="E44" s="268"/>
      <c r="F44" s="153"/>
    </row>
    <row r="45" customFormat="false" ht="12.75" hidden="false" customHeight="false" outlineLevel="0" collapsed="false">
      <c r="A45" s="270" t="s">
        <v>322</v>
      </c>
      <c r="C45" s="268" t="s">
        <v>289</v>
      </c>
      <c r="D45" s="268"/>
      <c r="E45" s="268"/>
      <c r="F45" s="272" t="s">
        <v>323</v>
      </c>
    </row>
    <row r="46" customFormat="false" ht="12.75" hidden="false" customHeight="false" outlineLevel="0" collapsed="false">
      <c r="A46" s="0" t="s">
        <v>324</v>
      </c>
      <c r="C46" s="268" t="s">
        <v>289</v>
      </c>
      <c r="D46" s="268"/>
      <c r="E46" s="268"/>
      <c r="F46" s="272"/>
    </row>
    <row r="47" customFormat="false" ht="12.75" hidden="false" customHeight="false" outlineLevel="0" collapsed="false">
      <c r="A47" s="0" t="s">
        <v>325</v>
      </c>
      <c r="C47" s="268" t="s">
        <v>289</v>
      </c>
      <c r="D47" s="268"/>
      <c r="E47" s="268"/>
      <c r="F47" s="153"/>
    </row>
    <row r="48" customFormat="false" ht="12.75" hidden="false" customHeight="false" outlineLevel="0" collapsed="false">
      <c r="A48" s="0" t="s">
        <v>326</v>
      </c>
      <c r="C48" s="268"/>
      <c r="D48" s="268" t="s">
        <v>289</v>
      </c>
      <c r="E48" s="268"/>
      <c r="F48" s="153"/>
    </row>
    <row r="49" customFormat="false" ht="12.75" hidden="false" customHeight="false" outlineLevel="0" collapsed="false">
      <c r="A49" s="0" t="s">
        <v>327</v>
      </c>
      <c r="C49" s="268"/>
      <c r="D49" s="268" t="s">
        <v>289</v>
      </c>
      <c r="E49" s="268"/>
      <c r="F49" s="153"/>
    </row>
    <row r="50" customFormat="false" ht="12.75" hidden="false" customHeight="false" outlineLevel="0" collapsed="false">
      <c r="A50" s="270" t="s">
        <v>328</v>
      </c>
      <c r="C50" s="268" t="s">
        <v>289</v>
      </c>
      <c r="D50" s="268"/>
      <c r="E50" s="268"/>
      <c r="F50" s="272" t="s">
        <v>329</v>
      </c>
    </row>
    <row r="51" customFormat="false" ht="12.75" hidden="false" customHeight="false" outlineLevel="0" collapsed="false">
      <c r="A51" s="270" t="s">
        <v>330</v>
      </c>
      <c r="C51" s="268" t="s">
        <v>289</v>
      </c>
      <c r="D51" s="268"/>
      <c r="E51" s="271"/>
      <c r="F51" s="153" t="s">
        <v>331</v>
      </c>
    </row>
    <row r="52" customFormat="false" ht="12.75" hidden="false" customHeight="false" outlineLevel="0" collapsed="false">
      <c r="A52" s="270" t="s">
        <v>332</v>
      </c>
      <c r="C52" s="268"/>
      <c r="D52" s="268" t="s">
        <v>289</v>
      </c>
      <c r="E52" s="268"/>
      <c r="F52" s="153"/>
    </row>
    <row r="53" customFormat="false" ht="12.75" hidden="false" customHeight="false" outlineLevel="0" collapsed="false">
      <c r="A53" s="270" t="s">
        <v>333</v>
      </c>
      <c r="C53" s="271"/>
      <c r="D53" s="268"/>
      <c r="E53" s="268" t="s">
        <v>289</v>
      </c>
      <c r="F53" s="153"/>
    </row>
    <row r="54" customFormat="false" ht="12.75" hidden="false" customHeight="false" outlineLevel="0" collapsed="false">
      <c r="A54" s="270" t="s">
        <v>334</v>
      </c>
      <c r="C54" s="268" t="s">
        <v>289</v>
      </c>
      <c r="D54" s="268"/>
      <c r="E54" s="271"/>
      <c r="F54" s="153"/>
    </row>
    <row r="55" customFormat="false" ht="12.75" hidden="false" customHeight="false" outlineLevel="0" collapsed="false">
      <c r="A55" s="0" t="s">
        <v>335</v>
      </c>
      <c r="C55" s="268" t="s">
        <v>289</v>
      </c>
      <c r="D55" s="268"/>
      <c r="E55" s="268"/>
      <c r="F55" s="153"/>
    </row>
    <row r="56" customFormat="false" ht="12.75" hidden="false" customHeight="false" outlineLevel="0" collapsed="false">
      <c r="A56" s="0" t="s">
        <v>336</v>
      </c>
      <c r="C56" s="268" t="s">
        <v>289</v>
      </c>
      <c r="D56" s="268"/>
      <c r="E56" s="268"/>
      <c r="F56" s="153" t="s">
        <v>337</v>
      </c>
    </row>
    <row r="57" customFormat="false" ht="12.75" hidden="false" customHeight="false" outlineLevel="0" collapsed="false">
      <c r="A57" s="0" t="s">
        <v>338</v>
      </c>
      <c r="C57" s="268" t="s">
        <v>289</v>
      </c>
      <c r="D57" s="268"/>
      <c r="E57" s="268"/>
      <c r="F57" s="153"/>
    </row>
    <row r="58" customFormat="false" ht="12.75" hidden="false" customHeight="false" outlineLevel="0" collapsed="false">
      <c r="A58" s="0" t="s">
        <v>339</v>
      </c>
      <c r="C58" s="268" t="s">
        <v>289</v>
      </c>
      <c r="D58" s="268"/>
      <c r="E58" s="268"/>
      <c r="F58" s="153"/>
    </row>
    <row r="59" customFormat="false" ht="12.75" hidden="false" customHeight="false" outlineLevel="0" collapsed="false">
      <c r="C59" s="273"/>
      <c r="D59" s="273"/>
      <c r="E59" s="273"/>
    </row>
    <row r="60" customFormat="false" ht="12.75" hidden="false" customHeight="false" outlineLevel="0" collapsed="false">
      <c r="A60" s="0" t="s">
        <v>340</v>
      </c>
      <c r="C60" s="273"/>
      <c r="D60" s="273"/>
      <c r="E60" s="273"/>
    </row>
    <row r="61" customFormat="false" ht="12.75" hidden="false" customHeight="false" outlineLevel="0" collapsed="false">
      <c r="A61" s="0" t="s">
        <v>341</v>
      </c>
      <c r="C61" s="273"/>
      <c r="D61" s="273"/>
      <c r="E61" s="273"/>
    </row>
    <row r="62" customFormat="false" ht="12.75" hidden="false" customHeight="false" outlineLevel="0" collapsed="false">
      <c r="C62" s="17" t="s">
        <v>281</v>
      </c>
      <c r="D62" s="20"/>
      <c r="E62" s="20"/>
      <c r="F62" s="20"/>
    </row>
    <row r="63" customFormat="false" ht="12.75" hidden="false" customHeight="false" outlineLevel="0" collapsed="false">
      <c r="C63" s="126" t="s">
        <v>282</v>
      </c>
      <c r="D63" s="126" t="s">
        <v>283</v>
      </c>
      <c r="E63" s="126" t="s">
        <v>284</v>
      </c>
      <c r="F63" s="17" t="s">
        <v>285</v>
      </c>
    </row>
    <row r="64" customFormat="false" ht="12.75" hidden="false" customHeight="false" outlineLevel="0" collapsed="false">
      <c r="A64" s="0" t="s">
        <v>342</v>
      </c>
      <c r="C64" s="268" t="s">
        <v>289</v>
      </c>
      <c r="D64" s="268"/>
      <c r="E64" s="268"/>
      <c r="F64" s="153" t="s">
        <v>343</v>
      </c>
    </row>
    <row r="65" customFormat="false" ht="12.75" hidden="false" customHeight="false" outlineLevel="0" collapsed="false">
      <c r="A65" s="0" t="s">
        <v>344</v>
      </c>
      <c r="C65" s="268"/>
      <c r="D65" s="268"/>
      <c r="E65" s="268"/>
      <c r="F65" s="153"/>
    </row>
    <row r="66" customFormat="false" ht="12.75" hidden="false" customHeight="false" outlineLevel="0" collapsed="false">
      <c r="A66" s="0" t="s">
        <v>345</v>
      </c>
      <c r="C66" s="268"/>
      <c r="D66" s="268" t="s">
        <v>289</v>
      </c>
      <c r="E66" s="268"/>
      <c r="F66" s="153"/>
    </row>
    <row r="67" customFormat="false" ht="12.75" hidden="false" customHeight="false" outlineLevel="0" collapsed="false">
      <c r="A67" s="0" t="s">
        <v>346</v>
      </c>
      <c r="C67" s="268"/>
      <c r="D67" s="268" t="s">
        <v>289</v>
      </c>
      <c r="E67" s="268"/>
      <c r="F67" s="153"/>
    </row>
    <row r="68" customFormat="false" ht="12.75" hidden="false" customHeight="false" outlineLevel="0" collapsed="false">
      <c r="A68" s="0" t="s">
        <v>347</v>
      </c>
      <c r="C68" s="268"/>
      <c r="D68" s="268" t="s">
        <v>289</v>
      </c>
      <c r="E68" s="268"/>
      <c r="F68" s="153"/>
    </row>
    <row r="69" customFormat="false" ht="12.75" hidden="false" customHeight="false" outlineLevel="0" collapsed="false">
      <c r="A69" s="270" t="s">
        <v>348</v>
      </c>
      <c r="C69" s="268" t="s">
        <v>289</v>
      </c>
      <c r="D69" s="268"/>
      <c r="E69" s="268"/>
      <c r="F69" s="153"/>
    </row>
    <row r="70" customFormat="false" ht="12.75" hidden="false" customHeight="false" outlineLevel="0" collapsed="false">
      <c r="C70" s="268"/>
      <c r="D70" s="268"/>
      <c r="E70" s="268"/>
      <c r="F70" s="153"/>
    </row>
    <row r="71" customFormat="false" ht="12.75" hidden="false" customHeight="false" outlineLevel="0" collapsed="false">
      <c r="A71" s="8" t="s">
        <v>349</v>
      </c>
      <c r="B71" s="8"/>
      <c r="C71" s="268"/>
      <c r="D71" s="268"/>
      <c r="E71" s="268"/>
      <c r="F71" s="153"/>
    </row>
    <row r="72" customFormat="false" ht="12.75" hidden="false" customHeight="false" outlineLevel="0" collapsed="false">
      <c r="A72" s="8"/>
      <c r="B72" s="8"/>
      <c r="C72" s="268"/>
      <c r="D72" s="268"/>
      <c r="E72" s="268"/>
      <c r="F72" s="153"/>
    </row>
    <row r="73" customFormat="false" ht="12.75" hidden="false" customHeight="false" outlineLevel="0" collapsed="false">
      <c r="A73" s="0" t="s">
        <v>192</v>
      </c>
      <c r="C73" s="268"/>
      <c r="D73" s="268"/>
      <c r="E73" s="268"/>
      <c r="F73" s="153"/>
    </row>
    <row r="74" customFormat="false" ht="12.75" hidden="false" customHeight="false" outlineLevel="0" collapsed="false">
      <c r="A74" s="0" t="s">
        <v>350</v>
      </c>
      <c r="C74" s="268" t="s">
        <v>289</v>
      </c>
      <c r="D74" s="268"/>
      <c r="E74" s="268"/>
      <c r="F74" s="153"/>
    </row>
    <row r="75" customFormat="false" ht="12.75" hidden="false" customHeight="false" outlineLevel="0" collapsed="false">
      <c r="A75" s="0" t="s">
        <v>351</v>
      </c>
      <c r="C75" s="268" t="s">
        <v>289</v>
      </c>
      <c r="D75" s="268"/>
      <c r="E75" s="268"/>
      <c r="F75" s="153"/>
    </row>
    <row r="76" customFormat="false" ht="12.75" hidden="false" customHeight="false" outlineLevel="0" collapsed="false">
      <c r="A76" s="0" t="s">
        <v>352</v>
      </c>
      <c r="C76" s="268" t="s">
        <v>289</v>
      </c>
      <c r="D76" s="268"/>
      <c r="E76" s="268"/>
      <c r="F76" s="153"/>
    </row>
    <row r="77" customFormat="false" ht="12.75" hidden="false" customHeight="false" outlineLevel="0" collapsed="false">
      <c r="A77" s="0" t="s">
        <v>353</v>
      </c>
      <c r="C77" s="268"/>
      <c r="D77" s="268"/>
      <c r="E77" s="268" t="s">
        <v>289</v>
      </c>
      <c r="F77" s="153"/>
    </row>
    <row r="78" customFormat="false" ht="12.75" hidden="false" customHeight="false" outlineLevel="0" collapsed="false">
      <c r="A78" s="0" t="s">
        <v>354</v>
      </c>
      <c r="C78" s="268"/>
      <c r="D78" s="268" t="s">
        <v>289</v>
      </c>
      <c r="E78" s="268"/>
      <c r="F78" s="153"/>
    </row>
    <row r="79" customFormat="false" ht="12.75" hidden="false" customHeight="false" outlineLevel="0" collapsed="false">
      <c r="A79" s="0" t="s">
        <v>355</v>
      </c>
      <c r="C79" s="268"/>
      <c r="D79" s="268" t="s">
        <v>289</v>
      </c>
      <c r="E79" s="268"/>
      <c r="F79" s="153"/>
    </row>
    <row r="80" customFormat="false" ht="12.75" hidden="false" customHeight="false" outlineLevel="0" collapsed="false">
      <c r="A80" s="0" t="s">
        <v>356</v>
      </c>
      <c r="C80" s="268"/>
      <c r="D80" s="268" t="s">
        <v>289</v>
      </c>
      <c r="E80" s="268"/>
      <c r="F80" s="153"/>
    </row>
    <row r="81" customFormat="false" ht="12.75" hidden="false" customHeight="false" outlineLevel="0" collapsed="false">
      <c r="A81" s="0" t="s">
        <v>357</v>
      </c>
      <c r="C81" s="268"/>
      <c r="D81" s="268" t="s">
        <v>289</v>
      </c>
      <c r="E81" s="268"/>
      <c r="F81" s="153" t="s">
        <v>358</v>
      </c>
    </row>
    <row r="82" customFormat="false" ht="12.75" hidden="false" customHeight="false" outlineLevel="0" collapsed="false">
      <c r="A82" s="0" t="s">
        <v>359</v>
      </c>
      <c r="C82" s="268"/>
      <c r="D82" s="268"/>
      <c r="E82" s="268"/>
      <c r="F82" s="153"/>
    </row>
    <row r="83" customFormat="false" ht="12.75" hidden="false" customHeight="false" outlineLevel="0" collapsed="false">
      <c r="A83" s="0" t="s">
        <v>360</v>
      </c>
      <c r="C83" s="268" t="s">
        <v>289</v>
      </c>
      <c r="D83" s="268"/>
      <c r="E83" s="268"/>
      <c r="F83" s="153"/>
    </row>
    <row r="84" customFormat="false" ht="12.75" hidden="false" customHeight="false" outlineLevel="0" collapsed="false">
      <c r="A84" s="0" t="s">
        <v>361</v>
      </c>
      <c r="C84" s="268" t="s">
        <v>289</v>
      </c>
      <c r="D84" s="268"/>
      <c r="E84" s="268"/>
      <c r="F84" s="153"/>
    </row>
    <row r="85" customFormat="false" ht="12.75" hidden="false" customHeight="false" outlineLevel="0" collapsed="false">
      <c r="A85" s="0" t="s">
        <v>362</v>
      </c>
      <c r="C85" s="268" t="s">
        <v>289</v>
      </c>
      <c r="D85" s="271"/>
      <c r="E85" s="268"/>
      <c r="F85" s="153"/>
    </row>
    <row r="86" customFormat="false" ht="12.75" hidden="false" customHeight="false" outlineLevel="0" collapsed="false">
      <c r="A86" s="0" t="s">
        <v>363</v>
      </c>
      <c r="C86" s="268" t="s">
        <v>289</v>
      </c>
      <c r="D86" s="268"/>
      <c r="E86" s="268"/>
      <c r="F86" s="153"/>
    </row>
    <row r="87" customFormat="false" ht="12.75" hidden="false" customHeight="false" outlineLevel="0" collapsed="false">
      <c r="A87" s="0" t="s">
        <v>364</v>
      </c>
      <c r="C87" s="268" t="s">
        <v>289</v>
      </c>
      <c r="D87" s="268"/>
      <c r="E87" s="268"/>
      <c r="F87" s="153" t="s">
        <v>365</v>
      </c>
    </row>
    <row r="88" customFormat="false" ht="12.75" hidden="false" customHeight="false" outlineLevel="0" collapsed="false">
      <c r="A88" s="0" t="s">
        <v>366</v>
      </c>
      <c r="C88" s="268"/>
      <c r="D88" s="268" t="s">
        <v>289</v>
      </c>
      <c r="E88" s="268"/>
      <c r="F88" s="153"/>
    </row>
    <row r="89" customFormat="false" ht="12.75" hidden="false" customHeight="false" outlineLevel="0" collapsed="false">
      <c r="A89" s="0" t="s">
        <v>367</v>
      </c>
      <c r="C89" s="268"/>
      <c r="D89" s="268" t="s">
        <v>289</v>
      </c>
      <c r="E89" s="268"/>
      <c r="F89" s="153"/>
    </row>
    <row r="90" customFormat="false" ht="12.75" hidden="false" customHeight="false" outlineLevel="0" collapsed="false">
      <c r="A90" s="0" t="s">
        <v>368</v>
      </c>
      <c r="C90" s="268"/>
      <c r="D90" s="268"/>
      <c r="E90" s="268"/>
      <c r="F90" s="153"/>
    </row>
    <row r="91" customFormat="false" ht="12.75" hidden="false" customHeight="false" outlineLevel="0" collapsed="false">
      <c r="A91" s="0" t="s">
        <v>369</v>
      </c>
      <c r="C91" s="268" t="s">
        <v>289</v>
      </c>
      <c r="D91" s="268"/>
      <c r="E91" s="268"/>
      <c r="F91" s="153"/>
    </row>
    <row r="92" customFormat="false" ht="12.75" hidden="false" customHeight="false" outlineLevel="0" collapsed="false">
      <c r="A92" s="0" t="s">
        <v>370</v>
      </c>
      <c r="C92" s="268"/>
      <c r="D92" s="268" t="s">
        <v>289</v>
      </c>
      <c r="E92" s="268"/>
      <c r="F92" s="153"/>
    </row>
    <row r="93" customFormat="false" ht="12.75" hidden="false" customHeight="false" outlineLevel="0" collapsed="false">
      <c r="A93" s="0" t="s">
        <v>371</v>
      </c>
      <c r="C93" s="268"/>
      <c r="D93" s="268"/>
      <c r="E93" s="268"/>
      <c r="F93" s="153"/>
    </row>
    <row r="94" customFormat="false" ht="12.75" hidden="false" customHeight="false" outlineLevel="0" collapsed="false">
      <c r="A94" s="0" t="s">
        <v>372</v>
      </c>
      <c r="C94" s="268" t="s">
        <v>289</v>
      </c>
      <c r="D94" s="268"/>
      <c r="E94" s="268"/>
      <c r="F94" s="153"/>
    </row>
    <row r="95" customFormat="false" ht="12.75" hidden="false" customHeight="false" outlineLevel="0" collapsed="false">
      <c r="A95" s="0" t="s">
        <v>373</v>
      </c>
      <c r="C95" s="268"/>
      <c r="D95" s="268" t="s">
        <v>289</v>
      </c>
      <c r="E95" s="268"/>
      <c r="F95" s="153"/>
    </row>
    <row r="96" customFormat="false" ht="12.75" hidden="false" customHeight="false" outlineLevel="0" collapsed="false">
      <c r="A96" s="0" t="s">
        <v>374</v>
      </c>
      <c r="C96" s="268"/>
      <c r="D96" s="268"/>
      <c r="E96" s="268"/>
      <c r="F96" s="153"/>
    </row>
    <row r="97" customFormat="false" ht="12.75" hidden="false" customHeight="false" outlineLevel="0" collapsed="false">
      <c r="A97" s="0" t="s">
        <v>375</v>
      </c>
      <c r="C97" s="268" t="s">
        <v>289</v>
      </c>
      <c r="D97" s="268"/>
      <c r="E97" s="268"/>
      <c r="F97" s="153"/>
    </row>
    <row r="98" customFormat="false" ht="12.75" hidden="false" customHeight="false" outlineLevel="0" collapsed="false">
      <c r="A98" s="0" t="s">
        <v>376</v>
      </c>
      <c r="C98" s="268" t="s">
        <v>289</v>
      </c>
      <c r="D98" s="268"/>
      <c r="E98" s="268"/>
      <c r="F98" s="153"/>
    </row>
    <row r="99" customFormat="false" ht="12.75" hidden="false" customHeight="false" outlineLevel="0" collapsed="false">
      <c r="A99" s="0" t="s">
        <v>377</v>
      </c>
      <c r="C99" s="268"/>
      <c r="D99" s="268" t="s">
        <v>289</v>
      </c>
      <c r="E99" s="268"/>
      <c r="F99" s="153"/>
    </row>
    <row r="100" customFormat="false" ht="12.75" hidden="false" customHeight="false" outlineLevel="0" collapsed="false">
      <c r="A100" s="0" t="s">
        <v>378</v>
      </c>
      <c r="C100" s="268"/>
      <c r="D100" s="268"/>
      <c r="E100" s="268"/>
      <c r="F100" s="153"/>
    </row>
    <row r="101" customFormat="false" ht="12.75" hidden="false" customHeight="false" outlineLevel="0" collapsed="false">
      <c r="A101" s="0" t="s">
        <v>379</v>
      </c>
      <c r="C101" s="268"/>
      <c r="D101" s="268" t="s">
        <v>289</v>
      </c>
      <c r="E101" s="268"/>
      <c r="F101" s="153"/>
    </row>
    <row r="102" customFormat="false" ht="12.75" hidden="false" customHeight="false" outlineLevel="0" collapsed="false">
      <c r="A102" s="0" t="s">
        <v>380</v>
      </c>
      <c r="C102" s="268"/>
      <c r="D102" s="268" t="s">
        <v>289</v>
      </c>
      <c r="E102" s="268"/>
      <c r="F102" s="153"/>
    </row>
    <row r="103" customFormat="false" ht="12.75" hidden="false" customHeight="false" outlineLevel="0" collapsed="false">
      <c r="A103" s="0" t="s">
        <v>381</v>
      </c>
      <c r="C103" s="268"/>
      <c r="D103" s="268" t="s">
        <v>289</v>
      </c>
      <c r="E103" s="268"/>
      <c r="F103" s="153"/>
    </row>
    <row r="104" customFormat="false" ht="12.75" hidden="false" customHeight="false" outlineLevel="0" collapsed="false">
      <c r="A104" s="0" t="s">
        <v>382</v>
      </c>
      <c r="C104" s="268"/>
      <c r="D104" s="268" t="s">
        <v>289</v>
      </c>
      <c r="E104" s="268"/>
      <c r="F104" s="153"/>
    </row>
    <row r="105" customFormat="false" ht="12.75" hidden="false" customHeight="false" outlineLevel="0" collapsed="false">
      <c r="A105" s="0" t="s">
        <v>383</v>
      </c>
      <c r="C105" s="268" t="s">
        <v>289</v>
      </c>
      <c r="D105" s="268"/>
      <c r="E105" s="268"/>
      <c r="F105" s="153"/>
    </row>
    <row r="106" customFormat="false" ht="12.75" hidden="false" customHeight="false" outlineLevel="0" collapsed="false">
      <c r="A106" s="0" t="s">
        <v>384</v>
      </c>
      <c r="C106" s="268"/>
      <c r="D106" s="268"/>
      <c r="E106" s="268"/>
      <c r="F106" s="153"/>
    </row>
    <row r="107" customFormat="false" ht="12.75" hidden="false" customHeight="false" outlineLevel="0" collapsed="false">
      <c r="A107" s="0" t="s">
        <v>385</v>
      </c>
      <c r="C107" s="268" t="s">
        <v>289</v>
      </c>
      <c r="D107" s="268"/>
      <c r="E107" s="268"/>
      <c r="F107" s="153"/>
    </row>
    <row r="108" customFormat="false" ht="12.75" hidden="false" customHeight="false" outlineLevel="0" collapsed="false">
      <c r="A108" s="0" t="s">
        <v>386</v>
      </c>
      <c r="C108" s="268"/>
      <c r="D108" s="268" t="s">
        <v>289</v>
      </c>
      <c r="E108" s="268"/>
      <c r="F108" s="153" t="s">
        <v>387</v>
      </c>
    </row>
    <row r="109" customFormat="false" ht="12.75" hidden="false" customHeight="false" outlineLevel="0" collapsed="false">
      <c r="A109" s="0" t="s">
        <v>388</v>
      </c>
      <c r="C109" s="268"/>
      <c r="D109" s="268"/>
      <c r="E109" s="268"/>
      <c r="F109" s="153"/>
    </row>
    <row r="110" customFormat="false" ht="12.75" hidden="false" customHeight="false" outlineLevel="0" collapsed="false">
      <c r="A110" s="0" t="s">
        <v>389</v>
      </c>
      <c r="C110" s="268" t="s">
        <v>289</v>
      </c>
      <c r="D110" s="268"/>
      <c r="E110" s="268"/>
      <c r="F110" s="153"/>
    </row>
    <row r="111" customFormat="false" ht="12.75" hidden="false" customHeight="false" outlineLevel="0" collapsed="false">
      <c r="A111" s="0" t="s">
        <v>390</v>
      </c>
      <c r="C111" s="268" t="s">
        <v>289</v>
      </c>
      <c r="D111" s="268"/>
      <c r="E111" s="268"/>
      <c r="F111" s="153"/>
    </row>
    <row r="112" customFormat="false" ht="12.75" hidden="false" customHeight="false" outlineLevel="0" collapsed="false">
      <c r="A112" s="0" t="s">
        <v>391</v>
      </c>
      <c r="C112" s="268"/>
      <c r="D112" s="268" t="s">
        <v>289</v>
      </c>
      <c r="E112" s="268"/>
      <c r="F112" s="153"/>
    </row>
    <row r="113" customFormat="false" ht="12.75" hidden="false" customHeight="false" outlineLevel="0" collapsed="false">
      <c r="A113" s="0" t="s">
        <v>392</v>
      </c>
      <c r="C113" s="268"/>
      <c r="D113" s="268" t="s">
        <v>289</v>
      </c>
      <c r="E113" s="268"/>
      <c r="F113" s="153"/>
    </row>
    <row r="114" customFormat="false" ht="12.75" hidden="false" customHeight="false" outlineLevel="0" collapsed="false">
      <c r="A114" s="0" t="s">
        <v>393</v>
      </c>
      <c r="C114" s="268"/>
      <c r="D114" s="268"/>
      <c r="E114" s="268"/>
      <c r="F114" s="153"/>
    </row>
    <row r="115" customFormat="false" ht="12.75" hidden="false" customHeight="false" outlineLevel="0" collapsed="false">
      <c r="A115" s="0" t="s">
        <v>390</v>
      </c>
      <c r="C115" s="268" t="s">
        <v>289</v>
      </c>
      <c r="D115" s="268"/>
      <c r="E115" s="268"/>
      <c r="F115" s="153"/>
    </row>
    <row r="116" customFormat="false" ht="12.75" hidden="false" customHeight="false" outlineLevel="0" collapsed="false">
      <c r="A116" s="0" t="s">
        <v>391</v>
      </c>
      <c r="C116" s="268"/>
      <c r="D116" s="268" t="s">
        <v>289</v>
      </c>
      <c r="E116" s="268"/>
      <c r="F116" s="153"/>
    </row>
    <row r="117" customFormat="false" ht="12.75" hidden="false" customHeight="false" outlineLevel="0" collapsed="false">
      <c r="A117" s="0" t="s">
        <v>394</v>
      </c>
      <c r="C117" s="271"/>
      <c r="D117" s="268" t="s">
        <v>289</v>
      </c>
      <c r="E117" s="268"/>
      <c r="F117" s="153" t="s">
        <v>395</v>
      </c>
    </row>
    <row r="118" customFormat="false" ht="12.75" hidden="false" customHeight="false" outlineLevel="0" collapsed="false">
      <c r="A118" s="0" t="s">
        <v>396</v>
      </c>
      <c r="C118" s="271"/>
      <c r="D118" s="268" t="s">
        <v>289</v>
      </c>
      <c r="E118" s="268"/>
      <c r="F118" s="153" t="s">
        <v>395</v>
      </c>
    </row>
    <row r="119" customFormat="false" ht="12.75" hidden="false" customHeight="false" outlineLevel="0" collapsed="false">
      <c r="A119" s="0" t="s">
        <v>397</v>
      </c>
      <c r="C119" s="268"/>
      <c r="D119" s="268" t="s">
        <v>289</v>
      </c>
      <c r="E119" s="268"/>
      <c r="F119" s="153"/>
    </row>
    <row r="120" customFormat="false" ht="12.75" hidden="false" customHeight="false" outlineLevel="0" collapsed="false">
      <c r="A120" s="0" t="s">
        <v>398</v>
      </c>
      <c r="C120" s="268" t="s">
        <v>289</v>
      </c>
      <c r="D120" s="268"/>
      <c r="E120" s="268"/>
      <c r="F120" s="153"/>
    </row>
    <row r="121" customFormat="false" ht="12.75" hidden="false" customHeight="false" outlineLevel="0" collapsed="false">
      <c r="A121" s="0" t="s">
        <v>399</v>
      </c>
    </row>
    <row r="122" customFormat="false" ht="12.75" hidden="false" customHeight="false" outlineLevel="0" collapsed="false">
      <c r="A122" s="0" t="s">
        <v>400</v>
      </c>
    </row>
  </sheetData>
  <mergeCells count="2">
    <mergeCell ref="A1:H1"/>
    <mergeCell ref="A2:H2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"/>
  <pageSetup paperSize="1" scale="67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&amp;L&amp;D&amp;CPage _____&amp;R&amp;F
&amp;A</oddFooter>
  </headerFooter>
  <rowBreaks count="1" manualBreakCount="1">
    <brk id="61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1997-11-25T19:41:07Z</dcterms:created>
  <dc:creator/>
  <dc:description/>
  <dc:language>en-US</dc:language>
  <cp:lastModifiedBy>Richard Bickings</cp:lastModifiedBy>
  <cp:lastPrinted>2000-05-18T11:43:53Z</cp:lastPrinted>
  <cp:revision>0</cp:revision>
  <dc:subject/>
  <dc:title/>
</cp:coreProperties>
</file>