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 4-3" sheetId="2" state="visible" r:id="rId4"/>
    <sheet name="Table 4-4" sheetId="3" state="visible" r:id="rId5"/>
    <sheet name="Table 4-5" sheetId="4" state="visible" r:id="rId6"/>
    <sheet name="Table 4-6" sheetId="5" state="visible" r:id="rId7"/>
    <sheet name="Table 4-7" sheetId="6" state="visible" r:id="rId8"/>
    <sheet name="Table 4-8" sheetId="7" state="visible" r:id="rId9"/>
    <sheet name="Table 4-9" sheetId="8" state="visible" r:id="rId10"/>
    <sheet name="Table 4-10" sheetId="9" state="visible" r:id="rId11"/>
    <sheet name="Table 4-11" sheetId="10" state="visible" r:id="rId12"/>
    <sheet name="Table 4-12" sheetId="11" state="visible" r:id="rId13"/>
    <sheet name="Table 4-13" sheetId="12" state="visible" r:id="rId14"/>
    <sheet name="Table 4-14" sheetId="13" state="visible" r:id="rId15"/>
    <sheet name="Table 4-15" sheetId="14" state="visible" r:id="rId16"/>
    <sheet name="Table 4-16" sheetId="15" state="visible" r:id="rId17"/>
    <sheet name="Table 4-17" sheetId="16" state="visible" r:id="rId18"/>
    <sheet name="Sheet1" sheetId="17" state="visible" r:id="rId19"/>
  </sheets>
  <externalReferences>
    <externalReference r:id="rId20"/>
  </externalReferences>
  <definedNames>
    <definedName function="false" hidden="false" localSheetId="15" name="_xlnm.Print_Area" vbProcedure="false">'Table 4-17'!$A$1:$AH$33</definedName>
    <definedName function="false" hidden="false" localSheetId="15" name="_xlnm.Print_Titles" vbProcedure="false">'Table 4-17'!$A:$A,'Table 4-17'!$1:$4</definedName>
    <definedName function="false" hidden="false" localSheetId="1" name="_xlnm.Print_Area" vbProcedure="false">'Table 4-3'!$A$1:$AH$33</definedName>
    <definedName function="false" hidden="false" localSheetId="1" name="_xlnm.Print_Titles" vbProcedure="false">'Table 4-3'!$A:$A,'Table 4-3'!$1:$4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<sst xmlns="http://schemas.openxmlformats.org/spreadsheetml/2006/main" count="679" uniqueCount="197">
  <si>
    <t xml:space="preserve">Chapter 4</t>
  </si>
  <si>
    <t xml:space="preserve">List of Tables</t>
  </si>
  <si>
    <t xml:space="preserve">Page No.</t>
  </si>
  <si>
    <t xml:space="preserve">Table No.</t>
  </si>
  <si>
    <t xml:space="preserve">Title</t>
  </si>
  <si>
    <t xml:space="preserve">4-1</t>
  </si>
  <si>
    <t xml:space="preserve">CLASS DEFINITION</t>
  </si>
  <si>
    <t xml:space="preserve">4-2</t>
  </si>
  <si>
    <t xml:space="preserve">ALLOCATION METHODOLOGY</t>
  </si>
  <si>
    <t xml:space="preserve">19-20</t>
  </si>
  <si>
    <t xml:space="preserve">4-3</t>
  </si>
  <si>
    <t xml:space="preserve">FUNCTIONAL REVENUE ALLOCATION AND AVERAGE RATES</t>
  </si>
  <si>
    <t xml:space="preserve">4-4</t>
  </si>
  <si>
    <t xml:space="preserve">MARGINAL COST REVENUE</t>
  </si>
  <si>
    <t xml:space="preserve">4-5</t>
  </si>
  <si>
    <t xml:space="preserve">EPMC ALLOCATION FACTORS</t>
  </si>
  <si>
    <t xml:space="preserve">4-6</t>
  </si>
  <si>
    <t xml:space="preserve">MARGINAL CUSTOMER COST </t>
  </si>
  <si>
    <t xml:space="preserve">4-7</t>
  </si>
  <si>
    <t xml:space="preserve">MARGINAL HOOKUP COST REVENUE</t>
  </si>
  <si>
    <t xml:space="preserve">4-8</t>
  </si>
  <si>
    <t xml:space="preserve">ONGOING MARGINAL COST REVENUE</t>
  </si>
  <si>
    <t xml:space="preserve">4-9</t>
  </si>
  <si>
    <t xml:space="preserve">MARGINAL DEMAND-RELATED COST REVENUE</t>
  </si>
  <si>
    <t xml:space="preserve">4-10</t>
  </si>
  <si>
    <t xml:space="preserve">DISTRIBUTION REVENUE</t>
  </si>
  <si>
    <t xml:space="preserve">4-11</t>
  </si>
  <si>
    <t xml:space="preserve">DISTRIBUTION AVERAGE RATES</t>
  </si>
  <si>
    <t xml:space="preserve">4-12</t>
  </si>
  <si>
    <t xml:space="preserve">CTC, PPP &amp; ND REVENUES</t>
  </si>
  <si>
    <t xml:space="preserve">4-13</t>
  </si>
  <si>
    <t xml:space="preserve">CLASS REVENUE SHARES</t>
  </si>
  <si>
    <t xml:space="preserve">4-14</t>
  </si>
  <si>
    <t xml:space="preserve">POST-FREEZE TOTAL AVERAGE RATES</t>
  </si>
  <si>
    <t xml:space="preserve">4-15</t>
  </si>
  <si>
    <t xml:space="preserve">TOTAL PERCENT CHANGE</t>
  </si>
  <si>
    <t xml:space="preserve">4-16</t>
  </si>
  <si>
    <t xml:space="preserve">UPDATED AND ESTIMATED CHANGES IN FUNCTIONAL REVENUE REQUIREMENT FOR 2001</t>
  </si>
  <si>
    <t xml:space="preserve">34-35</t>
  </si>
  <si>
    <t xml:space="preserve">4-17</t>
  </si>
  <si>
    <t xml:space="preserve">(Scenario No. 1)</t>
  </si>
  <si>
    <t xml:space="preserve">V</t>
  </si>
  <si>
    <t xml:space="preserve">Revenue</t>
  </si>
  <si>
    <t xml:space="preserve">Generation</t>
  </si>
  <si>
    <t xml:space="preserve">Reliability</t>
  </si>
  <si>
    <t xml:space="preserve">Total</t>
  </si>
  <si>
    <t xml:space="preserve">Total,</t>
  </si>
  <si>
    <t xml:space="preserve">Average</t>
  </si>
  <si>
    <t xml:space="preserve">Public </t>
  </si>
  <si>
    <t xml:space="preserve">Nuclear</t>
  </si>
  <si>
    <t xml:space="preserve">Percent</t>
  </si>
  <si>
    <t xml:space="preserve">o</t>
  </si>
  <si>
    <t xml:space="preserve">at</t>
  </si>
  <si>
    <t xml:space="preserve">CTC</t>
  </si>
  <si>
    <t xml:space="preserve">Transmission</t>
  </si>
  <si>
    <t xml:space="preserve">Distribution</t>
  </si>
  <si>
    <t xml:space="preserve">Publ. Purpose</t>
  </si>
  <si>
    <t xml:space="preserve">Nuc. Dec.</t>
  </si>
  <si>
    <t xml:space="preserve">Services</t>
  </si>
  <si>
    <t xml:space="preserve">Post-Freeze</t>
  </si>
  <si>
    <t xml:space="preserve">FTA</t>
  </si>
  <si>
    <t xml:space="preserve">RRB Mem</t>
  </si>
  <si>
    <t xml:space="preserve">with FTA</t>
  </si>
  <si>
    <t xml:space="preserve">Purpose</t>
  </si>
  <si>
    <t xml:space="preserve">Decomm.</t>
  </si>
  <si>
    <t xml:space="preserve">Change</t>
  </si>
  <si>
    <t xml:space="preserve">Class/Schedule</t>
  </si>
  <si>
    <t xml:space="preserve">l</t>
  </si>
  <si>
    <t xml:space="preserve">Annual Sales</t>
  </si>
  <si>
    <t xml:space="preserve">1/1/99 Rates</t>
  </si>
  <si>
    <t xml:space="preserve">6/10/96 Rates </t>
  </si>
  <si>
    <t xml:space="preserve">(PX Proxy)</t>
  </si>
  <si>
    <t xml:space="preserve">and RRB</t>
  </si>
  <si>
    <t xml:space="preserve">Rates</t>
  </si>
  <si>
    <t xml:space="preserve">1996</t>
  </si>
  <si>
    <t xml:space="preserve">1999</t>
  </si>
  <si>
    <t xml:space="preserve">t</t>
  </si>
  <si>
    <t xml:space="preserve">[A]</t>
  </si>
  <si>
    <t xml:space="preserve">[B]</t>
  </si>
  <si>
    <t xml:space="preserve">[C]</t>
  </si>
  <si>
    <t xml:space="preserve">[D]</t>
  </si>
  <si>
    <t xml:space="preserve">[E]</t>
  </si>
  <si>
    <t xml:space="preserve">[F]</t>
  </si>
  <si>
    <t xml:space="preserve">[G]</t>
  </si>
  <si>
    <t xml:space="preserve">[H]</t>
  </si>
  <si>
    <t xml:space="preserve">[I]</t>
  </si>
  <si>
    <t xml:space="preserve">[J]</t>
  </si>
  <si>
    <t xml:space="preserve">[K]</t>
  </si>
  <si>
    <t xml:space="preserve">[L]</t>
  </si>
  <si>
    <t xml:space="preserve">[M]</t>
  </si>
  <si>
    <t xml:space="preserve">[N]</t>
  </si>
  <si>
    <t xml:space="preserve">[O]</t>
  </si>
  <si>
    <t xml:space="preserve">Residential</t>
  </si>
  <si>
    <t xml:space="preserve">Small L&amp;P</t>
  </si>
  <si>
    <t xml:space="preserve">Medium L&amp;P</t>
  </si>
  <si>
    <t xml:space="preserve">Agriculture</t>
  </si>
  <si>
    <t xml:space="preserve">Large E-19</t>
  </si>
  <si>
    <t xml:space="preserve">T</t>
  </si>
  <si>
    <t xml:space="preserve">P</t>
  </si>
  <si>
    <t xml:space="preserve">S</t>
  </si>
  <si>
    <t xml:space="preserve">Total E-19</t>
  </si>
  <si>
    <t xml:space="preserve">Large E-20</t>
  </si>
  <si>
    <t xml:space="preserve">Total E-20</t>
  </si>
  <si>
    <t xml:space="preserve">Standby</t>
  </si>
  <si>
    <t xml:space="preserve">Streetlights</t>
  </si>
  <si>
    <t xml:space="preserve">Traffic Lights</t>
  </si>
  <si>
    <t xml:space="preserve">Contracts</t>
  </si>
  <si>
    <t xml:space="preserve">System</t>
  </si>
  <si>
    <t xml:space="preserve">TABLE 4-4</t>
  </si>
  <si>
    <t xml:space="preserve">Rate Class</t>
  </si>
  <si>
    <t xml:space="preserve">Present</t>
  </si>
  <si>
    <t xml:space="preserve">PG&amp;E</t>
  </si>
  <si>
    <t xml:space="preserve">ORA</t>
  </si>
  <si>
    <t xml:space="preserve">1/</t>
  </si>
  <si>
    <t xml:space="preserve">Base Case 1/</t>
  </si>
  <si>
    <t xml:space="preserve">Alternate MC  2/</t>
  </si>
  <si>
    <t xml:space="preserve">E-19</t>
  </si>
  <si>
    <t xml:space="preserve">E-20</t>
  </si>
  <si>
    <t xml:space="preserve">1/ Demand-related distribution and customer marginal costs.</t>
  </si>
  <si>
    <t xml:space="preserve">2/ Demand-related distribution marginal costs only.</t>
  </si>
  <si>
    <t xml:space="preserve">TABLE 4-5</t>
  </si>
  <si>
    <t xml:space="preserve">1/  Demand-related distribution and customer marginal costs.</t>
  </si>
  <si>
    <t xml:space="preserve">2/  Demand-related distribution marginal costs only.</t>
  </si>
  <si>
    <t xml:space="preserve">TABLE 4-6</t>
  </si>
  <si>
    <t xml:space="preserve">Present  1/</t>
  </si>
  <si>
    <t xml:space="preserve">%</t>
  </si>
  <si>
    <t xml:space="preserve">PG&amp;E  2/</t>
  </si>
  <si>
    <t xml:space="preserve">ORA   3/</t>
  </si>
  <si>
    <t xml:space="preserve">1/  Based on PG&amp;E's current class definitions.</t>
  </si>
  <si>
    <t xml:space="preserve">2/  Based on PG&amp;E's proposed class definitions.</t>
  </si>
  <si>
    <t xml:space="preserve">3/  Based on ORA's proposed class definitions.</t>
  </si>
  <si>
    <t xml:space="preserve">TABLE 4-7</t>
  </si>
  <si>
    <t xml:space="preserve">PG&amp;E  1/</t>
  </si>
  <si>
    <t xml:space="preserve">ORA  2/</t>
  </si>
  <si>
    <t xml:space="preserve">1/  Based on PG&amp;E's proposed class definitions.</t>
  </si>
  <si>
    <t xml:space="preserve">2/  Based on ORA's proposed class definitions</t>
  </si>
  <si>
    <t xml:space="preserve">TABLE 4-8</t>
  </si>
  <si>
    <t xml:space="preserve">2/  Based on ORA's proposed class definitions.</t>
  </si>
  <si>
    <t xml:space="preserve">TABLE 4-9</t>
  </si>
  <si>
    <t xml:space="preserve">ORA  3/</t>
  </si>
  <si>
    <t xml:space="preserve">TABLE 4-10</t>
  </si>
  <si>
    <t xml:space="preserve">(Thousands of Dollars)</t>
  </si>
  <si>
    <t xml:space="preserve">Proposed</t>
  </si>
  <si>
    <t xml:space="preserve">No Ag</t>
  </si>
  <si>
    <t xml:space="preserve">Full EPMC</t>
  </si>
  <si>
    <t xml:space="preserve">15% Capped EPMC</t>
  </si>
  <si>
    <t xml:space="preserve">TABLE 4-11</t>
  </si>
  <si>
    <t xml:space="preserve">(Cents/kWh)</t>
  </si>
  <si>
    <t xml:space="preserve">1/ Based on 1/1/99 present rates and current class definition.</t>
  </si>
  <si>
    <t xml:space="preserve">TABLE 4-12</t>
  </si>
  <si>
    <t xml:space="preserve">CTC, PPP &amp; ND REVENUES  1/</t>
  </si>
  <si>
    <t xml:space="preserve">PPP</t>
  </si>
  <si>
    <t xml:space="preserve">ND</t>
  </si>
  <si>
    <t xml:space="preserve">1/  The differences between PG&amp;E's and ORA's revenues are due to different proposed class definitions and CARE revenues.</t>
  </si>
  <si>
    <t xml:space="preserve">TABLE 4-13</t>
  </si>
  <si>
    <t xml:space="preserve">CLASS REVENUE SHARES  1/</t>
  </si>
  <si>
    <t xml:space="preserve">1/   6/10/96 &amp; 1/1/99 percents are based on current class definition.  </t>
  </si>
  <si>
    <t xml:space="preserve">      PG&amp;E's and ORA's percents are based on proposed class definitions and a PX proxy of 3.0 cents/kWh.</t>
  </si>
  <si>
    <t xml:space="preserve">TABLE 4-14</t>
  </si>
  <si>
    <t xml:space="preserve">PX @ 3.0</t>
  </si>
  <si>
    <t xml:space="preserve">PX @ 6.0</t>
  </si>
  <si>
    <t xml:space="preserve">PX @ 10.0</t>
  </si>
  <si>
    <t xml:space="preserve">1/  Based on 1/1/99 present rates and current class definitions.</t>
  </si>
  <si>
    <t xml:space="preserve">TABLE 4-15</t>
  </si>
  <si>
    <t xml:space="preserve">ILLUSTRATIVE POST-FREEZE TOTAL PERCENT CHANGE  1/</t>
  </si>
  <si>
    <t xml:space="preserve">(From 1/1/99)</t>
  </si>
  <si>
    <t xml:space="preserve">1/ Percent Change is from the present rates based on proposed class definitions. </t>
  </si>
  <si>
    <t xml:space="preserve">TABLE 4-16</t>
  </si>
  <si>
    <t xml:space="preserve">UPDATED AND ESTIMATED CHANGES </t>
  </si>
  <si>
    <t xml:space="preserve">FUNCTIONAL REVENUE REQUIREMENT  </t>
  </si>
  <si>
    <t xml:space="preserve">(2001)</t>
  </si>
  <si>
    <t xml:space="preserve">Authorized or</t>
  </si>
  <si>
    <t xml:space="preserve">Amount Incl.</t>
  </si>
  <si>
    <t xml:space="preserve">Line No.</t>
  </si>
  <si>
    <t xml:space="preserve">Function</t>
  </si>
  <si>
    <t xml:space="preserve">Proceeding</t>
  </si>
  <si>
    <t xml:space="preserve">Proposed Change</t>
  </si>
  <si>
    <t xml:space="preserve">in ORA Scenario No 1</t>
  </si>
  <si>
    <t xml:space="preserve">Reference</t>
  </si>
  <si>
    <t xml:space="preserve">($ Million)</t>
  </si>
  <si>
    <t xml:space="preserve">2001 Attrition</t>
  </si>
  <si>
    <t xml:space="preserve">(To be determined)</t>
  </si>
  <si>
    <t xml:space="preserve">2000 Cost of Capital</t>
  </si>
  <si>
    <t xml:space="preserve">D.00-06-040</t>
  </si>
  <si>
    <t xml:space="preserve">Page 23, OP 3</t>
  </si>
  <si>
    <t xml:space="preserve">2001 Cost of Capital</t>
  </si>
  <si>
    <t xml:space="preserve">A.00-05-013</t>
  </si>
  <si>
    <t xml:space="preserve">Exh. B, Table 2</t>
  </si>
  <si>
    <t xml:space="preserve">Subtotal</t>
  </si>
  <si>
    <t xml:space="preserve">CTC  1/</t>
  </si>
  <si>
    <t xml:space="preserve">ERCA Adjustments:</t>
  </si>
  <si>
    <t xml:space="preserve">A.00-07-013</t>
  </si>
  <si>
    <t xml:space="preserve">Page 7-1</t>
  </si>
  <si>
    <t xml:space="preserve">FF&amp;U and Interests</t>
  </si>
  <si>
    <t xml:space="preserve">ORA includes $0 if PG&amp;E will recover the increases through TRA prior to rate freeze or the increases are to be determined.</t>
  </si>
  <si>
    <t xml:space="preserve">2/</t>
  </si>
  <si>
    <t xml:space="preserve">Restructuring implementation related costs, presumably based on CTC top 100 hour allocation. 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</si>
</sst>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d\-mmm"/>
    <numFmt numFmtId="166" formatCode="_(* #,##0.00_);_(* \(#,##0.00\);_(* \-??_);_(@_)"/>
    <numFmt numFmtId="167" formatCode="0"/>
    <numFmt numFmtId="168" formatCode="\$#,##0_);&quot;($&quot;#,##0\)"/>
    <numFmt numFmtId="169" formatCode="0%"/>
    <numFmt numFmtId="170" formatCode="m/d/yy"/>
    <numFmt numFmtId="171" formatCode=".0000;\(.0000\)"/>
    <numFmt numFmtId="172" formatCode="#,###,"/>
    <numFmt numFmtId="173" formatCode="\$#,###,"/>
    <numFmt numFmtId="174" formatCode="0.00%"/>
    <numFmt numFmtId="175" formatCode="\$#,##0"/>
    <numFmt numFmtId="176" formatCode="0.0%"/>
    <numFmt numFmtId="177" formatCode="[$-409]#,##0.00_);\(#,##0.00\)"/>
    <numFmt numFmtId="178" formatCode="[$-409]d\-mmm\-yy"/>
    <numFmt numFmtId="179" formatCode="\$#,##0.0_);&quot;($&quot;#,##0.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12"/>
      <name val="Times New Roman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sz val="10"/>
      <color rgb="FF000000"/>
      <name val="Times New Roman"/>
      <family val="1"/>
    </font>
    <font>
      <i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false">
      <alignment horizontal="general" vertical="bottom" textRotation="0" wrapText="false" indent="0" shrinkToFit="false"/>
    </xf>
  </cellStyleXfs>
  <cellXfs count="2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0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0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2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7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1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7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2" borderId="15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75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2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2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15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76" fontId="6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3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2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2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6" fillId="2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2" borderId="7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illing Det" xfId="20"/>
    <cellStyle name="Normal_Total RRQ including ICIP" xfId="21"/>
    <cellStyle name="Normal_TRAlloc 98 sales, 96 MC'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IRM%20Scenarios/ORA%20Base%20Case%20Rerun/Rev_alloc%20Capped%20EPMC%209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ss Items"/>
      <sheetName val="Class Names"/>
      <sheetName val="Assumptions"/>
      <sheetName val="Inputs and Toggles"/>
      <sheetName val="Ag Rates"/>
      <sheetName val="Table A-1"/>
      <sheetName val="Table A-2"/>
      <sheetName val="2.1"/>
      <sheetName val="For rate design"/>
      <sheetName val="Tran Revenue"/>
      <sheetName val="N-Tran Rev"/>
      <sheetName val="F-Tran Rev"/>
      <sheetName val="P-Tran Rev"/>
      <sheetName val="O-Tran Rev"/>
      <sheetName val="I-Tran Rev"/>
      <sheetName val="Dist"/>
      <sheetName val="CTC"/>
      <sheetName val="PPP"/>
      <sheetName val="ND"/>
      <sheetName val="RRB"/>
      <sheetName val="FTA"/>
      <sheetName val="MCR"/>
      <sheetName val="MC"/>
      <sheetName val="N-MC"/>
      <sheetName val="F-MC"/>
      <sheetName val="P-MC"/>
      <sheetName val="O-MC"/>
      <sheetName val="Trans Rates"/>
      <sheetName val="Bill Det"/>
      <sheetName val="Bill Data"/>
      <sheetName val="Nonalloc"/>
      <sheetName val="Nonalloc Data"/>
      <sheetName val="Energy"/>
      <sheetName val="Energy Data"/>
      <sheetName val="STLIGHT"/>
      <sheetName val="Standby Alloc Fact -- Proposed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 t="str">
            <v>Option 3</v>
          </cell>
        </row>
        <row r="10">
          <cell r="AN10">
            <v>1002244329.82795</v>
          </cell>
        </row>
        <row r="14">
          <cell r="AN14">
            <v>226963729.631122</v>
          </cell>
        </row>
        <row r="15">
          <cell r="AN15">
            <v>38172893.6171891</v>
          </cell>
        </row>
        <row r="16">
          <cell r="AN16">
            <v>309145.650399645</v>
          </cell>
        </row>
        <row r="17">
          <cell r="AN17">
            <v>6059322.79556717</v>
          </cell>
        </row>
        <row r="28">
          <cell r="AN28">
            <v>365226550.098424</v>
          </cell>
        </row>
        <row r="50">
          <cell r="AN50">
            <v>76354.4861926776</v>
          </cell>
        </row>
        <row r="51">
          <cell r="AN51">
            <v>6136691.65955857</v>
          </cell>
        </row>
        <row r="52">
          <cell r="AN52">
            <v>70257982.0274823</v>
          </cell>
        </row>
        <row r="55">
          <cell r="AN55">
            <v>25766917.864452</v>
          </cell>
        </row>
        <row r="69">
          <cell r="AN69">
            <v>4386481.41287018</v>
          </cell>
        </row>
        <row r="89">
          <cell r="AN89">
            <v>133359561.387986</v>
          </cell>
        </row>
        <row r="110">
          <cell r="AN110">
            <v>9259808.32643838</v>
          </cell>
        </row>
        <row r="111">
          <cell r="AN111">
            <v>65617606.0013161</v>
          </cell>
        </row>
        <row r="112">
          <cell r="AN112">
            <v>74730237.2607958</v>
          </cell>
        </row>
        <row r="118">
          <cell r="AN118">
            <v>1283819.004739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21" customHeight="true" zeroHeight="false" outlineLevelRow="0" outlineLevelCol="0"/>
  <cols>
    <col collapsed="false" customWidth="true" hidden="false" outlineLevel="0" max="1" min="1" style="1" width="8.87"/>
    <col collapsed="false" customWidth="true" hidden="false" outlineLevel="0" max="2" min="2" style="1" width="11.66"/>
    <col collapsed="false" customWidth="true" hidden="false" outlineLevel="0" max="3" min="3" style="2" width="84.1"/>
    <col collapsed="false" customWidth="true" hidden="false" outlineLevel="0" max="4" min="4" style="2" width="13.33"/>
    <col collapsed="false" customWidth="false" hidden="false" outlineLevel="0" max="257" min="5" style="2" width="9.33"/>
  </cols>
  <sheetData>
    <row r="1" customFormat="false" ht="21" hidden="false" customHeight="true" outlineLevel="0" collapsed="false">
      <c r="B1" s="3" t="s">
        <v>0</v>
      </c>
      <c r="C1" s="1" t="s">
        <v>1</v>
      </c>
    </row>
    <row r="2" customFormat="false" ht="21" hidden="false" customHeight="true" outlineLevel="0" collapsed="false">
      <c r="A2" s="1" t="s">
        <v>2</v>
      </c>
      <c r="B2" s="1" t="s">
        <v>3</v>
      </c>
      <c r="C2" s="2" t="s">
        <v>4</v>
      </c>
    </row>
    <row r="3" customFormat="false" ht="21" hidden="false" customHeight="true" outlineLevel="0" collapsed="false">
      <c r="A3" s="1" t="n">
        <v>17</v>
      </c>
      <c r="B3" s="4" t="s">
        <v>5</v>
      </c>
      <c r="C3" s="2" t="s">
        <v>6</v>
      </c>
    </row>
    <row r="4" customFormat="false" ht="21" hidden="false" customHeight="true" outlineLevel="0" collapsed="false">
      <c r="A4" s="1" t="n">
        <v>18</v>
      </c>
      <c r="B4" s="4" t="s">
        <v>7</v>
      </c>
      <c r="C4" s="2" t="s">
        <v>8</v>
      </c>
    </row>
    <row r="5" customFormat="false" ht="21" hidden="false" customHeight="true" outlineLevel="0" collapsed="false">
      <c r="A5" s="1" t="s">
        <v>9</v>
      </c>
      <c r="B5" s="4" t="s">
        <v>10</v>
      </c>
      <c r="C5" s="2" t="s">
        <v>11</v>
      </c>
    </row>
    <row r="6" customFormat="false" ht="21" hidden="false" customHeight="true" outlineLevel="0" collapsed="false">
      <c r="A6" s="1" t="n">
        <v>21</v>
      </c>
      <c r="B6" s="4" t="s">
        <v>12</v>
      </c>
      <c r="C6" s="2" t="s">
        <v>13</v>
      </c>
    </row>
    <row r="7" customFormat="false" ht="21" hidden="false" customHeight="true" outlineLevel="0" collapsed="false">
      <c r="A7" s="1" t="n">
        <v>22</v>
      </c>
      <c r="B7" s="4" t="s">
        <v>14</v>
      </c>
      <c r="C7" s="2" t="s">
        <v>15</v>
      </c>
    </row>
    <row r="8" customFormat="false" ht="21" hidden="false" customHeight="true" outlineLevel="0" collapsed="false">
      <c r="A8" s="1" t="n">
        <v>23</v>
      </c>
      <c r="B8" s="4" t="s">
        <v>16</v>
      </c>
      <c r="C8" s="2" t="s">
        <v>17</v>
      </c>
    </row>
    <row r="9" customFormat="false" ht="21" hidden="false" customHeight="true" outlineLevel="0" collapsed="false">
      <c r="A9" s="1" t="n">
        <v>24</v>
      </c>
      <c r="B9" s="4" t="s">
        <v>18</v>
      </c>
      <c r="C9" s="2" t="s">
        <v>19</v>
      </c>
    </row>
    <row r="10" customFormat="false" ht="21" hidden="false" customHeight="true" outlineLevel="0" collapsed="false">
      <c r="A10" s="1" t="n">
        <v>25</v>
      </c>
      <c r="B10" s="4" t="s">
        <v>20</v>
      </c>
      <c r="C10" s="2" t="s">
        <v>21</v>
      </c>
    </row>
    <row r="11" customFormat="false" ht="21" hidden="false" customHeight="true" outlineLevel="0" collapsed="false">
      <c r="A11" s="1" t="n">
        <v>26</v>
      </c>
      <c r="B11" s="4" t="s">
        <v>22</v>
      </c>
      <c r="C11" s="2" t="s">
        <v>23</v>
      </c>
    </row>
    <row r="12" customFormat="false" ht="21" hidden="false" customHeight="true" outlineLevel="0" collapsed="false">
      <c r="A12" s="1" t="n">
        <v>27</v>
      </c>
      <c r="B12" s="4" t="s">
        <v>24</v>
      </c>
      <c r="C12" s="2" t="s">
        <v>25</v>
      </c>
    </row>
    <row r="13" customFormat="false" ht="21" hidden="false" customHeight="true" outlineLevel="0" collapsed="false">
      <c r="A13" s="1" t="n">
        <v>28</v>
      </c>
      <c r="B13" s="4" t="s">
        <v>26</v>
      </c>
      <c r="C13" s="2" t="s">
        <v>27</v>
      </c>
    </row>
    <row r="14" customFormat="false" ht="21" hidden="false" customHeight="true" outlineLevel="0" collapsed="false">
      <c r="A14" s="1" t="n">
        <v>29</v>
      </c>
      <c r="B14" s="4" t="s">
        <v>28</v>
      </c>
      <c r="C14" s="2" t="s">
        <v>29</v>
      </c>
    </row>
    <row r="15" customFormat="false" ht="21" hidden="false" customHeight="true" outlineLevel="0" collapsed="false">
      <c r="A15" s="1" t="n">
        <v>30</v>
      </c>
      <c r="B15" s="4" t="s">
        <v>30</v>
      </c>
      <c r="C15" s="2" t="s">
        <v>31</v>
      </c>
    </row>
    <row r="16" customFormat="false" ht="21" hidden="false" customHeight="true" outlineLevel="0" collapsed="false">
      <c r="A16" s="1" t="n">
        <v>31</v>
      </c>
      <c r="B16" s="4" t="s">
        <v>32</v>
      </c>
      <c r="C16" s="2" t="s">
        <v>33</v>
      </c>
    </row>
    <row r="17" customFormat="false" ht="21" hidden="false" customHeight="true" outlineLevel="0" collapsed="false">
      <c r="A17" s="1" t="n">
        <v>32</v>
      </c>
      <c r="B17" s="4" t="s">
        <v>34</v>
      </c>
      <c r="C17" s="2" t="s">
        <v>35</v>
      </c>
    </row>
    <row r="18" customFormat="false" ht="21" hidden="false" customHeight="true" outlineLevel="0" collapsed="false">
      <c r="A18" s="1" t="n">
        <v>33</v>
      </c>
      <c r="B18" s="4" t="s">
        <v>36</v>
      </c>
      <c r="C18" s="2" t="s">
        <v>37</v>
      </c>
    </row>
    <row r="19" customFormat="false" ht="21" hidden="false" customHeight="true" outlineLevel="0" collapsed="false">
      <c r="A19" s="1" t="s">
        <v>38</v>
      </c>
      <c r="B19" s="4" t="s">
        <v>39</v>
      </c>
      <c r="C19" s="2" t="s">
        <v>11</v>
      </c>
    </row>
    <row r="20" customFormat="false" ht="21" hidden="false" customHeight="true" outlineLevel="0" collapsed="false">
      <c r="C20" s="2" t="s">
        <v>40</v>
      </c>
    </row>
    <row r="21" customFormat="false" ht="21" hidden="false" customHeight="true" outlineLevel="0" collapsed="false">
      <c r="B2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
&amp;T&amp;R&amp;F
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J1"/>
    </sheetView>
  </sheetViews>
  <sheetFormatPr defaultColWidth="9.1015625" defaultRowHeight="27" customHeight="true" zeroHeight="false" outlineLevelRow="0" outlineLevelCol="0"/>
  <cols>
    <col collapsed="false" customWidth="true" hidden="false" outlineLevel="0" max="1" min="1" style="154" width="17.55"/>
    <col collapsed="false" customWidth="true" hidden="false" outlineLevel="0" max="3" min="2" style="154" width="15.66"/>
    <col collapsed="false" customWidth="true" hidden="false" outlineLevel="0" max="4" min="4" style="154" width="12.32"/>
    <col collapsed="false" customWidth="true" hidden="false" outlineLevel="0" max="5" min="5" style="154" width="15.66"/>
    <col collapsed="false" customWidth="true" hidden="false" outlineLevel="0" max="6" min="6" style="111" width="11.66"/>
    <col collapsed="false" customWidth="true" hidden="false" outlineLevel="0" max="7" min="7" style="154" width="16.99"/>
    <col collapsed="false" customWidth="true" hidden="false" outlineLevel="0" max="8" min="8" style="111" width="10.1"/>
    <col collapsed="false" customWidth="true" hidden="false" outlineLevel="0" max="9" min="9" style="154" width="16.55"/>
    <col collapsed="false" customWidth="true" hidden="false" outlineLevel="0" max="10" min="10" style="111" width="9.66"/>
    <col collapsed="false" customWidth="false" hidden="false" outlineLevel="0" max="257" min="11" style="154" width="9.1"/>
  </cols>
  <sheetData>
    <row r="1" customFormat="false" ht="27" hidden="false" customHeight="true" outlineLevel="0" collapsed="false">
      <c r="A1" s="127" t="s">
        <v>146</v>
      </c>
      <c r="B1" s="127"/>
      <c r="C1" s="127"/>
      <c r="D1" s="127"/>
      <c r="E1" s="127"/>
      <c r="F1" s="127"/>
      <c r="G1" s="127"/>
      <c r="H1" s="127"/>
      <c r="I1" s="127"/>
      <c r="J1" s="127"/>
    </row>
    <row r="2" customFormat="false" ht="27" hidden="false" customHeight="true" outlineLevel="0" collapsed="false">
      <c r="A2" s="128" t="s">
        <v>27</v>
      </c>
      <c r="B2" s="128"/>
      <c r="C2" s="128"/>
      <c r="D2" s="128"/>
      <c r="E2" s="128"/>
      <c r="F2" s="128"/>
      <c r="G2" s="128"/>
      <c r="H2" s="128"/>
      <c r="I2" s="128"/>
      <c r="J2" s="128"/>
    </row>
    <row r="3" customFormat="false" ht="27" hidden="false" customHeight="true" outlineLevel="0" collapsed="false">
      <c r="A3" s="155" t="s">
        <v>147</v>
      </c>
      <c r="B3" s="155"/>
      <c r="C3" s="155"/>
      <c r="D3" s="155"/>
      <c r="E3" s="155"/>
      <c r="F3" s="155"/>
      <c r="G3" s="155"/>
      <c r="H3" s="155"/>
      <c r="I3" s="155"/>
      <c r="J3" s="155"/>
    </row>
    <row r="4" customFormat="false" ht="27" hidden="false" customHeight="true" outlineLevel="0" collapsed="false">
      <c r="A4" s="156" t="s">
        <v>109</v>
      </c>
      <c r="B4" s="157" t="s">
        <v>110</v>
      </c>
      <c r="C4" s="114" t="s">
        <v>111</v>
      </c>
      <c r="D4" s="114"/>
      <c r="E4" s="114"/>
      <c r="F4" s="114"/>
      <c r="G4" s="114" t="s">
        <v>112</v>
      </c>
      <c r="H4" s="114"/>
      <c r="I4" s="114"/>
      <c r="J4" s="114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</row>
    <row r="5" customFormat="false" ht="27" hidden="false" customHeight="true" outlineLevel="0" collapsed="false">
      <c r="A5" s="159"/>
      <c r="B5" s="160" t="s">
        <v>113</v>
      </c>
      <c r="C5" s="160" t="s">
        <v>142</v>
      </c>
      <c r="D5" s="160" t="s">
        <v>125</v>
      </c>
      <c r="E5" s="160" t="s">
        <v>143</v>
      </c>
      <c r="F5" s="161" t="s">
        <v>125</v>
      </c>
      <c r="G5" s="160" t="s">
        <v>144</v>
      </c>
      <c r="H5" s="161" t="s">
        <v>125</v>
      </c>
      <c r="I5" s="162" t="s">
        <v>145</v>
      </c>
      <c r="J5" s="161" t="s">
        <v>125</v>
      </c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</row>
    <row r="6" customFormat="false" ht="40.2" hidden="false" customHeight="true" outlineLevel="0" collapsed="false">
      <c r="A6" s="163" t="s">
        <v>92</v>
      </c>
      <c r="B6" s="164" t="n">
        <v>3.73</v>
      </c>
      <c r="C6" s="164" t="n">
        <v>3.98</v>
      </c>
      <c r="D6" s="95" t="n">
        <f aca="false">C6/B6-1</f>
        <v>0.0670241286863271</v>
      </c>
      <c r="E6" s="164" t="n">
        <v>3.98</v>
      </c>
      <c r="F6" s="95" t="n">
        <f aca="false">E6/B6-1</f>
        <v>0.0670241286863271</v>
      </c>
      <c r="G6" s="164" t="n">
        <v>3.71</v>
      </c>
      <c r="H6" s="95" t="n">
        <f aca="false">G6/B6-1</f>
        <v>-0.00536193029490617</v>
      </c>
      <c r="I6" s="164" t="n">
        <v>3.77</v>
      </c>
      <c r="J6" s="95" t="n">
        <f aca="false">I6/B6-1</f>
        <v>0.0107238605898123</v>
      </c>
    </row>
    <row r="7" customFormat="false" ht="27" hidden="false" customHeight="true" outlineLevel="0" collapsed="false">
      <c r="A7" s="163" t="s">
        <v>93</v>
      </c>
      <c r="B7" s="164" t="n">
        <v>3.62</v>
      </c>
      <c r="C7" s="164" t="n">
        <v>4.49</v>
      </c>
      <c r="D7" s="95" t="n">
        <f aca="false">C7/B7-1</f>
        <v>0.240331491712707</v>
      </c>
      <c r="E7" s="164" t="n">
        <v>4.09</v>
      </c>
      <c r="F7" s="95" t="n">
        <f aca="false">E7/B7-1</f>
        <v>0.129834254143646</v>
      </c>
      <c r="G7" s="164" t="n">
        <v>3.83</v>
      </c>
      <c r="H7" s="95" t="n">
        <f aca="false">G7/B7-1</f>
        <v>0.0580110497237569</v>
      </c>
      <c r="I7" s="164" t="n">
        <v>3.89</v>
      </c>
      <c r="J7" s="95" t="n">
        <f aca="false">I7/B7-1</f>
        <v>0.0745856353591161</v>
      </c>
    </row>
    <row r="8" customFormat="false" ht="27" hidden="false" customHeight="true" outlineLevel="0" collapsed="false">
      <c r="A8" s="163" t="s">
        <v>94</v>
      </c>
      <c r="B8" s="164" t="n">
        <v>2.31</v>
      </c>
      <c r="C8" s="164" t="n">
        <v>1.94</v>
      </c>
      <c r="D8" s="95" t="n">
        <f aca="false">C8/B8-1</f>
        <v>-0.16017316017316</v>
      </c>
      <c r="E8" s="164" t="n">
        <v>1.86</v>
      </c>
      <c r="F8" s="95" t="n">
        <f aca="false">E8/B8-1</f>
        <v>-0.194805194805195</v>
      </c>
      <c r="G8" s="164" t="n">
        <v>1.99</v>
      </c>
      <c r="H8" s="95" t="n">
        <f aca="false">G8/B8-1</f>
        <v>-0.138528138528139</v>
      </c>
      <c r="I8" s="164" t="n">
        <v>2.02</v>
      </c>
      <c r="J8" s="95" t="n">
        <f aca="false">I8/B8-1</f>
        <v>-0.125541125541126</v>
      </c>
    </row>
    <row r="9" customFormat="false" ht="27" hidden="false" customHeight="true" outlineLevel="0" collapsed="false">
      <c r="A9" s="163" t="s">
        <v>95</v>
      </c>
      <c r="B9" s="164" t="n">
        <v>3.76</v>
      </c>
      <c r="C9" s="164" t="n">
        <v>1.99</v>
      </c>
      <c r="D9" s="95" t="n">
        <f aca="false">C9/B9-1</f>
        <v>-0.470744680851064</v>
      </c>
      <c r="E9" s="164" t="n">
        <v>3.64</v>
      </c>
      <c r="F9" s="95" t="n">
        <f aca="false">E9/B9-1</f>
        <v>-0.0319148936170212</v>
      </c>
      <c r="G9" s="164" t="n">
        <v>4.76</v>
      </c>
      <c r="H9" s="95" t="n">
        <f aca="false">G9/B9-1</f>
        <v>0.265957446808511</v>
      </c>
      <c r="I9" s="164" t="n">
        <v>4.23</v>
      </c>
      <c r="J9" s="95" t="n">
        <f aca="false">I9/B9-1</f>
        <v>0.125</v>
      </c>
    </row>
    <row r="10" customFormat="false" ht="27" hidden="false" customHeight="true" outlineLevel="0" collapsed="false">
      <c r="A10" s="165" t="s">
        <v>116</v>
      </c>
      <c r="B10" s="166"/>
      <c r="C10" s="166"/>
      <c r="D10" s="98"/>
      <c r="E10" s="166"/>
      <c r="F10" s="98"/>
      <c r="G10" s="166"/>
      <c r="H10" s="98"/>
      <c r="I10" s="166"/>
      <c r="J10" s="98"/>
    </row>
    <row r="11" customFormat="false" ht="27" hidden="false" customHeight="true" outlineLevel="0" collapsed="false">
      <c r="A11" s="167" t="s">
        <v>97</v>
      </c>
      <c r="B11" s="168" t="n">
        <v>1.21</v>
      </c>
      <c r="C11" s="168" t="n">
        <v>1.29</v>
      </c>
      <c r="D11" s="101" t="n">
        <f aca="false">C11/B11-1</f>
        <v>0.0661157024793388</v>
      </c>
      <c r="E11" s="168" t="n">
        <v>1.29</v>
      </c>
      <c r="F11" s="101" t="n">
        <f aca="false">E11/B11-1</f>
        <v>0.0661157024793388</v>
      </c>
      <c r="G11" s="168" t="n">
        <v>0.81</v>
      </c>
      <c r="H11" s="101" t="n">
        <f aca="false">G11/B11-1</f>
        <v>-0.330578512396694</v>
      </c>
      <c r="I11" s="168" t="n">
        <v>0.84</v>
      </c>
      <c r="J11" s="101" t="n">
        <f aca="false">I11/B11-1</f>
        <v>-0.305785123966942</v>
      </c>
    </row>
    <row r="12" customFormat="false" ht="27" hidden="false" customHeight="true" outlineLevel="0" collapsed="false">
      <c r="A12" s="167" t="s">
        <v>98</v>
      </c>
      <c r="B12" s="168" t="n">
        <v>1.14</v>
      </c>
      <c r="C12" s="168" t="n">
        <v>1.1</v>
      </c>
      <c r="D12" s="101" t="n">
        <f aca="false">C12/B12-1</f>
        <v>-0.0350877192982455</v>
      </c>
      <c r="E12" s="168" t="n">
        <v>1.1</v>
      </c>
      <c r="F12" s="101" t="n">
        <f aca="false">E12/B12-1</f>
        <v>-0.0350877192982455</v>
      </c>
      <c r="G12" s="168" t="n">
        <v>1.47</v>
      </c>
      <c r="H12" s="101" t="n">
        <f aca="false">G12/B12-1</f>
        <v>0.289473684210526</v>
      </c>
      <c r="I12" s="168" t="n">
        <v>1.28</v>
      </c>
      <c r="J12" s="101" t="n">
        <f aca="false">I12/B12-1</f>
        <v>0.12280701754386</v>
      </c>
    </row>
    <row r="13" customFormat="false" ht="27" hidden="false" customHeight="true" outlineLevel="0" collapsed="false">
      <c r="A13" s="169" t="s">
        <v>99</v>
      </c>
      <c r="B13" s="170" t="n">
        <v>1.79</v>
      </c>
      <c r="C13" s="170" t="n">
        <v>1.32</v>
      </c>
      <c r="D13" s="101" t="n">
        <f aca="false">C13/B13-1</f>
        <v>-0.262569832402235</v>
      </c>
      <c r="E13" s="170" t="n">
        <v>1.32</v>
      </c>
      <c r="F13" s="101" t="n">
        <f aca="false">E13/B13-1</f>
        <v>-0.262569832402235</v>
      </c>
      <c r="G13" s="170" t="n">
        <v>1.57</v>
      </c>
      <c r="H13" s="101" t="n">
        <f aca="false">G13/B13-1</f>
        <v>-0.122905027932961</v>
      </c>
      <c r="I13" s="170" t="n">
        <v>1.62</v>
      </c>
      <c r="J13" s="101" t="n">
        <f aca="false">I13/B13-1</f>
        <v>-0.0949720670391061</v>
      </c>
    </row>
    <row r="14" customFormat="false" ht="27" hidden="false" customHeight="true" outlineLevel="0" collapsed="false">
      <c r="A14" s="165" t="s">
        <v>117</v>
      </c>
      <c r="B14" s="166"/>
      <c r="C14" s="166"/>
      <c r="D14" s="98"/>
      <c r="E14" s="166"/>
      <c r="F14" s="98"/>
      <c r="G14" s="166"/>
      <c r="H14" s="98"/>
      <c r="I14" s="166"/>
      <c r="J14" s="98"/>
    </row>
    <row r="15" customFormat="false" ht="27" hidden="false" customHeight="true" outlineLevel="0" collapsed="false">
      <c r="A15" s="167" t="s">
        <v>97</v>
      </c>
      <c r="B15" s="168" t="n">
        <v>0.15</v>
      </c>
      <c r="C15" s="168" t="n">
        <v>-0.03</v>
      </c>
      <c r="D15" s="101" t="n">
        <f aca="false">C15/B15-1</f>
        <v>-1.2</v>
      </c>
      <c r="E15" s="168" t="n">
        <v>-0.03</v>
      </c>
      <c r="F15" s="101" t="n">
        <f aca="false">E15/B15-1</f>
        <v>-1.2</v>
      </c>
      <c r="G15" s="168" t="n">
        <v>-0.06</v>
      </c>
      <c r="H15" s="101" t="n">
        <f aca="false">G15/B15-1</f>
        <v>-1.4</v>
      </c>
      <c r="I15" s="168" t="n">
        <v>-0.07</v>
      </c>
      <c r="J15" s="101" t="n">
        <f aca="false">I15/B15-1</f>
        <v>-1.46666666666667</v>
      </c>
    </row>
    <row r="16" customFormat="false" ht="27" hidden="false" customHeight="true" outlineLevel="0" collapsed="false">
      <c r="A16" s="167" t="s">
        <v>98</v>
      </c>
      <c r="B16" s="168" t="n">
        <v>1</v>
      </c>
      <c r="C16" s="168" t="n">
        <v>1.09</v>
      </c>
      <c r="D16" s="101" t="n">
        <f aca="false">C16/B16-1</f>
        <v>0.0900000000000001</v>
      </c>
      <c r="E16" s="168" t="n">
        <v>1.09</v>
      </c>
      <c r="F16" s="101" t="n">
        <f aca="false">E16/B16-1</f>
        <v>0.0900000000000001</v>
      </c>
      <c r="G16" s="168" t="n">
        <v>1.29</v>
      </c>
      <c r="H16" s="101" t="n">
        <f aca="false">G16/B16-1</f>
        <v>0.29</v>
      </c>
      <c r="I16" s="168" t="n">
        <v>1.09</v>
      </c>
      <c r="J16" s="101" t="n">
        <f aca="false">I16/B16-1</f>
        <v>0.0900000000000001</v>
      </c>
    </row>
    <row r="17" customFormat="false" ht="27" hidden="false" customHeight="true" outlineLevel="0" collapsed="false">
      <c r="A17" s="169" t="s">
        <v>99</v>
      </c>
      <c r="B17" s="170" t="n">
        <v>1.83</v>
      </c>
      <c r="C17" s="170" t="n">
        <v>1.07</v>
      </c>
      <c r="D17" s="92" t="n">
        <f aca="false">C17/B17-1</f>
        <v>-0.415300546448087</v>
      </c>
      <c r="E17" s="170" t="n">
        <v>1.07</v>
      </c>
      <c r="F17" s="92" t="n">
        <f aca="false">E17/B17-1</f>
        <v>-0.415300546448087</v>
      </c>
      <c r="G17" s="170" t="n">
        <v>1.39</v>
      </c>
      <c r="H17" s="92" t="n">
        <f aca="false">G17/B17-1</f>
        <v>-0.240437158469945</v>
      </c>
      <c r="I17" s="170" t="n">
        <v>1.48</v>
      </c>
      <c r="J17" s="101" t="n">
        <f aca="false">I17/B17-1</f>
        <v>-0.191256830601093</v>
      </c>
    </row>
    <row r="18" customFormat="false" ht="27" hidden="false" customHeight="true" outlineLevel="0" collapsed="false">
      <c r="A18" s="163" t="s">
        <v>103</v>
      </c>
      <c r="B18" s="164" t="n">
        <v>1.85</v>
      </c>
      <c r="C18" s="164" t="n">
        <v>1.95</v>
      </c>
      <c r="D18" s="95" t="n">
        <f aca="false">C18/B18-1</f>
        <v>0.0540540540540539</v>
      </c>
      <c r="E18" s="164" t="n">
        <v>1.95</v>
      </c>
      <c r="F18" s="95" t="n">
        <f aca="false">E18/B18-1</f>
        <v>0.0540540540540539</v>
      </c>
      <c r="G18" s="164" t="n">
        <v>1.59</v>
      </c>
      <c r="H18" s="95" t="n">
        <f aca="false">G18/B18-1</f>
        <v>-0.140540540540541</v>
      </c>
      <c r="I18" s="164" t="n">
        <v>1.62</v>
      </c>
      <c r="J18" s="95" t="n">
        <f aca="false">I18/B18-1</f>
        <v>-0.124324324324324</v>
      </c>
    </row>
    <row r="19" customFormat="false" ht="27" hidden="false" customHeight="true" outlineLevel="0" collapsed="false">
      <c r="A19" s="163" t="s">
        <v>104</v>
      </c>
      <c r="B19" s="164" t="n">
        <v>7.66</v>
      </c>
      <c r="C19" s="164" t="n">
        <v>8.33</v>
      </c>
      <c r="D19" s="95" t="n">
        <f aca="false">C19/B19-1</f>
        <v>0.0874673629242819</v>
      </c>
      <c r="E19" s="164" t="n">
        <v>8.33</v>
      </c>
      <c r="F19" s="95" t="n">
        <f aca="false">E19/B19-1</f>
        <v>0.0874673629242819</v>
      </c>
      <c r="G19" s="164" t="n">
        <v>7.72</v>
      </c>
      <c r="H19" s="95" t="n">
        <f aca="false">G19/B19-1</f>
        <v>0.00783289817232369</v>
      </c>
      <c r="I19" s="164" t="n">
        <v>7.82</v>
      </c>
      <c r="J19" s="95" t="n">
        <f aca="false">I19/B19-1</f>
        <v>0.0208877284595301</v>
      </c>
    </row>
    <row r="20" customFormat="false" ht="27" hidden="false" customHeight="true" outlineLevel="0" collapsed="false">
      <c r="A20" s="163" t="s">
        <v>105</v>
      </c>
      <c r="B20" s="164" t="n">
        <v>4.32</v>
      </c>
      <c r="C20" s="164" t="n">
        <v>4.8</v>
      </c>
      <c r="D20" s="95" t="n">
        <f aca="false">C20/B20-1</f>
        <v>0.111111111111111</v>
      </c>
      <c r="E20" s="164" t="n">
        <v>4.63</v>
      </c>
      <c r="F20" s="95" t="n">
        <f aca="false">E20/B20-1</f>
        <v>0.0717592592592591</v>
      </c>
      <c r="G20" s="164" t="n">
        <v>2.7</v>
      </c>
      <c r="H20" s="95" t="n">
        <f aca="false">G20/B20-1</f>
        <v>-0.375</v>
      </c>
      <c r="I20" s="164" t="n">
        <v>2.9</v>
      </c>
      <c r="J20" s="101" t="n">
        <f aca="false">I20/B20-1</f>
        <v>-0.328703703703704</v>
      </c>
    </row>
    <row r="21" customFormat="false" ht="27" hidden="false" customHeight="true" outlineLevel="0" collapsed="false">
      <c r="A21" s="163" t="s">
        <v>106</v>
      </c>
      <c r="B21" s="164" t="n">
        <v>0.16</v>
      </c>
      <c r="C21" s="164" t="n">
        <v>0.07</v>
      </c>
      <c r="D21" s="101" t="n">
        <f aca="false">C21/B21-1</f>
        <v>-0.5625</v>
      </c>
      <c r="E21" s="164" t="n">
        <v>0.07</v>
      </c>
      <c r="F21" s="101" t="n">
        <f aca="false">E21/B21-1</f>
        <v>-0.5625</v>
      </c>
      <c r="G21" s="164" t="n">
        <v>0.07</v>
      </c>
      <c r="H21" s="95" t="n">
        <f aca="false">G21/B21-1</f>
        <v>-0.5625</v>
      </c>
      <c r="I21" s="164" t="n">
        <v>0.08</v>
      </c>
      <c r="J21" s="95" t="n">
        <f aca="false">I21/B21-1</f>
        <v>-0.5</v>
      </c>
    </row>
    <row r="22" customFormat="false" ht="27" hidden="false" customHeight="true" outlineLevel="0" collapsed="false">
      <c r="A22" s="171" t="s">
        <v>45</v>
      </c>
      <c r="B22" s="172" t="n">
        <v>2.61</v>
      </c>
      <c r="C22" s="172" t="n">
        <v>2.61</v>
      </c>
      <c r="D22" s="109" t="n">
        <f aca="false">C22/B22-1</f>
        <v>0</v>
      </c>
      <c r="E22" s="172" t="n">
        <v>2.61</v>
      </c>
      <c r="F22" s="109" t="n">
        <f aca="false">E22/B22-1</f>
        <v>0</v>
      </c>
      <c r="G22" s="172" t="n">
        <v>2.61</v>
      </c>
      <c r="H22" s="109" t="n">
        <f aca="false">G22/B22-1</f>
        <v>0</v>
      </c>
      <c r="I22" s="172" t="n">
        <v>2.61</v>
      </c>
      <c r="J22" s="109" t="n">
        <f aca="false">I22/B22-1</f>
        <v>0</v>
      </c>
    </row>
    <row r="23" customFormat="false" ht="27" hidden="false" customHeight="true" outlineLevel="0" collapsed="false">
      <c r="A23" s="154" t="s">
        <v>148</v>
      </c>
    </row>
  </sheetData>
  <mergeCells count="5">
    <mergeCell ref="A1:J1"/>
    <mergeCell ref="A2:J2"/>
    <mergeCell ref="A3:J3"/>
    <mergeCell ref="C4:F4"/>
    <mergeCell ref="G4:J4"/>
  </mergeCells>
  <printOptions headings="false" gridLines="false" gridLinesSet="true" horizontalCentered="false" verticalCentered="false"/>
  <pageMargins left="0.747916666666667" right="0.55" top="0.490277777777778" bottom="0.630555555555556" header="0.511811023622047" footer="0.3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Roman,Regular"4-28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1"/>
    </sheetView>
  </sheetViews>
  <sheetFormatPr defaultColWidth="9.1015625" defaultRowHeight="24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5" min="2" style="88" width="13.66"/>
    <col collapsed="false" customWidth="true" hidden="false" outlineLevel="0" max="7" min="6" style="2" width="13.66"/>
    <col collapsed="false" customWidth="false" hidden="false" outlineLevel="0" max="257" min="8" style="2" width="9.1"/>
  </cols>
  <sheetData>
    <row r="1" customFormat="false" ht="24" hidden="false" customHeight="true" outlineLevel="0" collapsed="false">
      <c r="A1" s="89" t="s">
        <v>149</v>
      </c>
      <c r="B1" s="89"/>
      <c r="C1" s="89"/>
      <c r="D1" s="89"/>
      <c r="E1" s="89"/>
      <c r="F1" s="89"/>
      <c r="G1" s="89"/>
    </row>
    <row r="2" customFormat="false" ht="24" hidden="false" customHeight="true" outlineLevel="0" collapsed="false">
      <c r="A2" s="90" t="s">
        <v>150</v>
      </c>
      <c r="B2" s="90"/>
      <c r="C2" s="90"/>
      <c r="D2" s="90"/>
      <c r="E2" s="90"/>
      <c r="F2" s="90"/>
      <c r="G2" s="90"/>
    </row>
    <row r="3" customFormat="false" ht="24" hidden="false" customHeight="true" outlineLevel="0" collapsed="false">
      <c r="A3" s="144" t="s">
        <v>141</v>
      </c>
      <c r="B3" s="144"/>
      <c r="C3" s="144"/>
      <c r="D3" s="144"/>
      <c r="E3" s="144"/>
      <c r="F3" s="144"/>
      <c r="G3" s="144"/>
      <c r="H3" s="89"/>
    </row>
    <row r="4" customFormat="false" ht="24" hidden="false" customHeight="true" outlineLevel="0" collapsed="false">
      <c r="A4" s="173"/>
      <c r="B4" s="174" t="s">
        <v>53</v>
      </c>
      <c r="C4" s="174"/>
      <c r="D4" s="174" t="s">
        <v>151</v>
      </c>
      <c r="E4" s="174"/>
      <c r="F4" s="175" t="s">
        <v>152</v>
      </c>
      <c r="G4" s="17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24" hidden="false" customHeight="true" outlineLevel="0" collapsed="false">
      <c r="A5" s="176" t="s">
        <v>109</v>
      </c>
      <c r="B5" s="113" t="s">
        <v>111</v>
      </c>
      <c r="C5" s="113" t="s">
        <v>112</v>
      </c>
      <c r="D5" s="113" t="s">
        <v>111</v>
      </c>
      <c r="E5" s="113" t="s">
        <v>112</v>
      </c>
      <c r="F5" s="113" t="s">
        <v>111</v>
      </c>
      <c r="G5" s="145" t="s">
        <v>112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0" hidden="false" customHeight="true" outlineLevel="0" collapsed="false">
      <c r="A6" s="94" t="s">
        <v>92</v>
      </c>
      <c r="B6" s="119" t="n">
        <v>201921.5</v>
      </c>
      <c r="C6" s="119" t="n">
        <v>201920</v>
      </c>
      <c r="D6" s="119" t="n">
        <v>93489</v>
      </c>
      <c r="E6" s="119" t="n">
        <v>93532.5</v>
      </c>
      <c r="F6" s="119" t="n">
        <v>11303</v>
      </c>
      <c r="G6" s="149" t="n">
        <v>11303</v>
      </c>
    </row>
    <row r="7" customFormat="false" ht="24" hidden="false" customHeight="true" outlineLevel="0" collapsed="false">
      <c r="A7" s="94" t="s">
        <v>93</v>
      </c>
      <c r="B7" s="119" t="n">
        <v>59974</v>
      </c>
      <c r="C7" s="119" t="n">
        <v>55119</v>
      </c>
      <c r="D7" s="119" t="n">
        <v>29983</v>
      </c>
      <c r="E7" s="119" t="n">
        <v>26971.5</v>
      </c>
      <c r="F7" s="119" t="n">
        <v>3351</v>
      </c>
      <c r="G7" s="149" t="n">
        <v>3091</v>
      </c>
    </row>
    <row r="8" customFormat="false" ht="24" hidden="false" customHeight="true" outlineLevel="0" collapsed="false">
      <c r="A8" s="94" t="s">
        <v>94</v>
      </c>
      <c r="B8" s="119" t="n">
        <v>120880</v>
      </c>
      <c r="C8" s="119" t="n">
        <v>111067</v>
      </c>
      <c r="D8" s="119" t="n">
        <v>54488</v>
      </c>
      <c r="E8" s="119" t="n">
        <v>50367</v>
      </c>
      <c r="F8" s="119" t="n">
        <v>7797</v>
      </c>
      <c r="G8" s="149" t="n">
        <v>7292</v>
      </c>
    </row>
    <row r="9" customFormat="false" ht="24" hidden="false" customHeight="true" outlineLevel="0" collapsed="false">
      <c r="A9" s="94" t="s">
        <v>95</v>
      </c>
      <c r="B9" s="119" t="n">
        <v>13400</v>
      </c>
      <c r="C9" s="119" t="n">
        <v>28066</v>
      </c>
      <c r="D9" s="119" t="n">
        <v>4430</v>
      </c>
      <c r="E9" s="119" t="n">
        <v>11565</v>
      </c>
      <c r="F9" s="119" t="n">
        <v>728</v>
      </c>
      <c r="G9" s="149" t="n">
        <v>1494</v>
      </c>
    </row>
    <row r="10" customFormat="false" ht="24" hidden="false" customHeight="true" outlineLevel="0" collapsed="false">
      <c r="A10" s="97" t="s">
        <v>116</v>
      </c>
      <c r="B10" s="121"/>
      <c r="C10" s="121"/>
      <c r="D10" s="121"/>
      <c r="E10" s="121"/>
      <c r="F10" s="121"/>
      <c r="G10" s="177"/>
    </row>
    <row r="11" customFormat="false" ht="24" hidden="false" customHeight="true" outlineLevel="0" collapsed="false">
      <c r="A11" s="100" t="s">
        <v>97</v>
      </c>
      <c r="B11" s="123" t="n">
        <v>31</v>
      </c>
      <c r="C11" s="123" t="n">
        <v>31</v>
      </c>
      <c r="D11" s="123" t="n">
        <v>15</v>
      </c>
      <c r="E11" s="123" t="n">
        <v>15</v>
      </c>
      <c r="F11" s="123" t="n">
        <v>2</v>
      </c>
      <c r="G11" s="178" t="n">
        <v>2</v>
      </c>
    </row>
    <row r="12" customFormat="false" ht="24" hidden="false" customHeight="true" outlineLevel="0" collapsed="false">
      <c r="A12" s="100" t="s">
        <v>98</v>
      </c>
      <c r="B12" s="123" t="n">
        <v>2759</v>
      </c>
      <c r="C12" s="123" t="n">
        <v>2759</v>
      </c>
      <c r="D12" s="123" t="n">
        <v>1288</v>
      </c>
      <c r="E12" s="123" t="n">
        <v>1287</v>
      </c>
      <c r="F12" s="123" t="n">
        <v>225</v>
      </c>
      <c r="G12" s="178" t="n">
        <v>225</v>
      </c>
    </row>
    <row r="13" customFormat="false" ht="24" hidden="false" customHeight="true" outlineLevel="0" collapsed="false">
      <c r="A13" s="103" t="s">
        <v>99</v>
      </c>
      <c r="B13" s="117" t="n">
        <v>22010</v>
      </c>
      <c r="C13" s="117" t="n">
        <v>22010</v>
      </c>
      <c r="D13" s="117" t="n">
        <v>10486</v>
      </c>
      <c r="E13" s="117" t="n">
        <v>10483</v>
      </c>
      <c r="F13" s="117" t="n">
        <v>1569</v>
      </c>
      <c r="G13" s="179" t="n">
        <v>1569</v>
      </c>
    </row>
    <row r="14" customFormat="false" ht="24" hidden="false" customHeight="true" outlineLevel="0" collapsed="false">
      <c r="A14" s="97" t="s">
        <v>117</v>
      </c>
      <c r="B14" s="121"/>
      <c r="C14" s="121"/>
      <c r="D14" s="121"/>
      <c r="E14" s="121"/>
      <c r="F14" s="121"/>
      <c r="G14" s="177"/>
    </row>
    <row r="15" customFormat="false" ht="24" hidden="false" customHeight="true" outlineLevel="0" collapsed="false">
      <c r="A15" s="100" t="s">
        <v>97</v>
      </c>
      <c r="B15" s="123" t="n">
        <v>27127</v>
      </c>
      <c r="C15" s="123" t="n">
        <v>27127</v>
      </c>
      <c r="D15" s="123" t="n">
        <v>10133</v>
      </c>
      <c r="E15" s="123" t="n">
        <v>10107</v>
      </c>
      <c r="F15" s="123" t="n">
        <v>2661</v>
      </c>
      <c r="G15" s="178" t="n">
        <v>2661</v>
      </c>
    </row>
    <row r="16" customFormat="false" ht="24" hidden="false" customHeight="true" outlineLevel="0" collapsed="false">
      <c r="A16" s="100" t="s">
        <v>98</v>
      </c>
      <c r="B16" s="123" t="n">
        <v>32863</v>
      </c>
      <c r="C16" s="123" t="n">
        <v>32863</v>
      </c>
      <c r="D16" s="123" t="n">
        <v>14170</v>
      </c>
      <c r="E16" s="123" t="n">
        <v>14152.5</v>
      </c>
      <c r="F16" s="123" t="n">
        <v>2755</v>
      </c>
      <c r="G16" s="178" t="n">
        <v>2755</v>
      </c>
    </row>
    <row r="17" customFormat="false" ht="24" hidden="false" customHeight="true" outlineLevel="0" collapsed="false">
      <c r="A17" s="103" t="s">
        <v>99</v>
      </c>
      <c r="B17" s="117" t="n">
        <v>22582</v>
      </c>
      <c r="C17" s="117" t="n">
        <v>22582</v>
      </c>
      <c r="D17" s="117" t="n">
        <v>10505</v>
      </c>
      <c r="E17" s="117" t="n">
        <v>10498.5</v>
      </c>
      <c r="F17" s="117" t="n">
        <v>1723</v>
      </c>
      <c r="G17" s="179" t="n">
        <v>1723</v>
      </c>
    </row>
    <row r="18" customFormat="false" ht="24" hidden="false" customHeight="true" outlineLevel="0" collapsed="false">
      <c r="A18" s="94" t="s">
        <v>103</v>
      </c>
      <c r="B18" s="119" t="n">
        <v>541</v>
      </c>
      <c r="C18" s="119" t="n">
        <v>541</v>
      </c>
      <c r="D18" s="119" t="n">
        <v>617</v>
      </c>
      <c r="E18" s="119" t="n">
        <v>617</v>
      </c>
      <c r="F18" s="119" t="n">
        <v>100</v>
      </c>
      <c r="G18" s="149" t="n">
        <v>100</v>
      </c>
    </row>
    <row r="19" customFormat="false" ht="24" hidden="false" customHeight="true" outlineLevel="0" collapsed="false">
      <c r="A19" s="94" t="s">
        <v>104</v>
      </c>
      <c r="B19" s="119" t="n">
        <v>403</v>
      </c>
      <c r="C19" s="119" t="n">
        <v>403</v>
      </c>
      <c r="D19" s="119" t="n">
        <v>1134</v>
      </c>
      <c r="E19" s="119" t="n">
        <v>1137</v>
      </c>
      <c r="F19" s="119" t="n">
        <v>142</v>
      </c>
      <c r="G19" s="149" t="n">
        <v>142</v>
      </c>
    </row>
    <row r="20" customFormat="false" ht="24" hidden="false" customHeight="true" outlineLevel="0" collapsed="false">
      <c r="A20" s="94" t="s">
        <v>105</v>
      </c>
      <c r="B20" s="119" t="n">
        <v>528</v>
      </c>
      <c r="C20" s="119" t="n">
        <v>528</v>
      </c>
      <c r="D20" s="119" t="n">
        <v>401</v>
      </c>
      <c r="E20" s="119" t="n">
        <v>403</v>
      </c>
      <c r="F20" s="119" t="n">
        <v>59</v>
      </c>
      <c r="G20" s="149" t="n">
        <v>59</v>
      </c>
    </row>
    <row r="21" customFormat="false" ht="24" hidden="false" customHeight="true" outlineLevel="0" collapsed="false">
      <c r="A21" s="94" t="s">
        <v>106</v>
      </c>
      <c r="B21" s="119" t="n">
        <v>3554</v>
      </c>
      <c r="C21" s="119" t="n">
        <v>3554</v>
      </c>
      <c r="D21" s="119" t="n">
        <v>1053</v>
      </c>
      <c r="E21" s="119" t="n">
        <v>1056</v>
      </c>
      <c r="F21" s="119" t="n">
        <v>345</v>
      </c>
      <c r="G21" s="149" t="n">
        <v>345</v>
      </c>
    </row>
    <row r="22" customFormat="false" ht="24" hidden="false" customHeight="true" outlineLevel="0" collapsed="false">
      <c r="A22" s="108" t="s">
        <v>45</v>
      </c>
      <c r="B22" s="125" t="n">
        <v>508570</v>
      </c>
      <c r="C22" s="125" t="n">
        <f aca="false">SUM(C6:C21)</f>
        <v>508570</v>
      </c>
      <c r="D22" s="125" t="n">
        <v>232192</v>
      </c>
      <c r="E22" s="125" t="n">
        <f aca="false">SUM(E6:E21)</f>
        <v>232192</v>
      </c>
      <c r="F22" s="125" t="n">
        <v>32761</v>
      </c>
      <c r="G22" s="153" t="n">
        <f aca="false">SUM(G6:G21)</f>
        <v>32761</v>
      </c>
    </row>
    <row r="23" customFormat="false" ht="29.25" hidden="false" customHeight="true" outlineLevel="0" collapsed="false">
      <c r="A23" s="5" t="s">
        <v>153</v>
      </c>
      <c r="F23" s="88"/>
      <c r="G23" s="88"/>
    </row>
    <row r="24" customFormat="false" ht="21" hidden="false" customHeight="true" outlineLevel="0" collapsed="false">
      <c r="A24" s="5"/>
    </row>
  </sheetData>
  <mergeCells count="6">
    <mergeCell ref="A1:G1"/>
    <mergeCell ref="A2:G2"/>
    <mergeCell ref="A3:G3"/>
    <mergeCell ref="B4:C4"/>
    <mergeCell ref="D4:E4"/>
    <mergeCell ref="F4:G4"/>
  </mergeCells>
  <printOptions headings="false" gridLines="false" gridLinesSet="true" horizontalCentered="true" verticalCentered="false"/>
  <pageMargins left="1.05" right="0.747916666666667" top="0.329861111111111" bottom="0.440277777777778" header="0.511811023622047" footer="0.25"/>
  <pageSetup paperSize="1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Roman,Regular"4-29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1"/>
    </sheetView>
  </sheetViews>
  <sheetFormatPr defaultColWidth="9.1015625" defaultRowHeight="27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4" min="2" style="88" width="15.66"/>
    <col collapsed="false" customWidth="true" hidden="false" outlineLevel="0" max="5" min="5" style="2" width="16.43"/>
    <col collapsed="false" customWidth="true" hidden="false" outlineLevel="0" max="6" min="6" style="2" width="16.99"/>
    <col collapsed="false" customWidth="false" hidden="false" outlineLevel="0" max="257" min="7" style="2" width="9.1"/>
  </cols>
  <sheetData>
    <row r="1" customFormat="false" ht="27" hidden="false" customHeight="true" outlineLevel="0" collapsed="false">
      <c r="A1" s="89" t="s">
        <v>154</v>
      </c>
      <c r="B1" s="89"/>
      <c r="C1" s="89"/>
      <c r="D1" s="89"/>
      <c r="E1" s="89"/>
      <c r="F1" s="89"/>
    </row>
    <row r="2" customFormat="false" ht="27" hidden="false" customHeight="true" outlineLevel="0" collapsed="false">
      <c r="A2" s="90" t="s">
        <v>155</v>
      </c>
      <c r="B2" s="90"/>
      <c r="C2" s="90"/>
      <c r="D2" s="90"/>
      <c r="E2" s="90"/>
      <c r="F2" s="90"/>
    </row>
    <row r="4" customFormat="false" ht="27" hidden="false" customHeight="true" outlineLevel="0" collapsed="false">
      <c r="A4" s="173"/>
      <c r="B4" s="180"/>
      <c r="C4" s="180"/>
      <c r="D4" s="181"/>
      <c r="E4" s="182" t="s">
        <v>112</v>
      </c>
      <c r="F4" s="18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27" hidden="false" customHeight="true" outlineLevel="0" collapsed="false">
      <c r="A5" s="176" t="s">
        <v>109</v>
      </c>
      <c r="B5" s="183" t="n">
        <v>35226</v>
      </c>
      <c r="C5" s="183" t="n">
        <v>36161</v>
      </c>
      <c r="D5" s="184" t="s">
        <v>111</v>
      </c>
      <c r="E5" s="147" t="s">
        <v>144</v>
      </c>
      <c r="F5" s="185" t="s">
        <v>145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40.2" hidden="false" customHeight="true" outlineLevel="0" collapsed="false">
      <c r="A6" s="94" t="s">
        <v>92</v>
      </c>
      <c r="B6" s="186" t="n">
        <f aca="false">3192164/7748829</f>
        <v>0.411954374009286</v>
      </c>
      <c r="C6" s="186" t="n">
        <f aca="false">2872948/7334450</f>
        <v>0.391705990224216</v>
      </c>
      <c r="D6" s="186" t="n">
        <f aca="false">2763310/6411549</f>
        <v>0.430989453562626</v>
      </c>
      <c r="E6" s="186" t="n">
        <f aca="false">2691688/6411549</f>
        <v>0.419818674083283</v>
      </c>
      <c r="F6" s="138" t="n">
        <f aca="false">2707517/6411549</f>
        <v>0.422287500259298</v>
      </c>
    </row>
    <row r="7" customFormat="false" ht="27" hidden="false" customHeight="true" outlineLevel="0" collapsed="false">
      <c r="A7" s="94" t="s">
        <v>93</v>
      </c>
      <c r="B7" s="186" t="n">
        <f aca="false">918985/7748829</f>
        <v>0.118596629245529</v>
      </c>
      <c r="C7" s="186" t="n">
        <f aca="false">827131/7334450</f>
        <v>0.112773418593078</v>
      </c>
      <c r="D7" s="186" t="n">
        <f aca="false">871287/6411549</f>
        <v>0.135893369917316</v>
      </c>
      <c r="E7" s="186" t="n">
        <f aca="false">761239/6411549</f>
        <v>0.118729342940372</v>
      </c>
      <c r="F7" s="138" t="n">
        <f aca="false">765526/6411549</f>
        <v>0.119397980113698</v>
      </c>
    </row>
    <row r="8" customFormat="false" ht="27" hidden="false" customHeight="true" outlineLevel="0" collapsed="false">
      <c r="A8" s="94" t="s">
        <v>94</v>
      </c>
      <c r="B8" s="186" t="n">
        <f aca="false">1161273/7748829</f>
        <v>0.14986432143489</v>
      </c>
      <c r="C8" s="186" t="n">
        <f aca="false">1158471/7334450</f>
        <v>0.157949266816189</v>
      </c>
      <c r="D8" s="186" t="n">
        <f aca="false">1346466/6411549</f>
        <v>0.210006349479666</v>
      </c>
      <c r="E8" s="186" t="n">
        <f aca="false">1265867/6411549</f>
        <v>0.19743544032807</v>
      </c>
      <c r="F8" s="138" t="n">
        <f aca="false">1272291/6411549</f>
        <v>0.198437382292485</v>
      </c>
    </row>
    <row r="9" customFormat="false" ht="27" hidden="false" customHeight="true" outlineLevel="0" collapsed="false">
      <c r="A9" s="94" t="s">
        <v>95</v>
      </c>
      <c r="B9" s="186" t="n">
        <f aca="false">388433/7748829</f>
        <v>0.050127961270019</v>
      </c>
      <c r="C9" s="186" t="n">
        <f aca="false">388433/7334450</f>
        <v>0.052960071989038</v>
      </c>
      <c r="D9" s="186" t="n">
        <f aca="false">124580/6411549</f>
        <v>0.0194305619437674</v>
      </c>
      <c r="E9" s="186" t="n">
        <f aca="false">357487/6411549</f>
        <v>0.0557567289901395</v>
      </c>
      <c r="F9" s="138" t="n">
        <f aca="false">338615/6411549</f>
        <v>0.052813290516847</v>
      </c>
    </row>
    <row r="10" customFormat="false" ht="27" hidden="false" customHeight="true" outlineLevel="0" collapsed="false">
      <c r="A10" s="97" t="s">
        <v>116</v>
      </c>
      <c r="B10" s="187"/>
      <c r="C10" s="187"/>
      <c r="D10" s="187"/>
      <c r="E10" s="187"/>
      <c r="F10" s="139"/>
    </row>
    <row r="11" customFormat="false" ht="27" hidden="false" customHeight="true" outlineLevel="0" collapsed="false">
      <c r="A11" s="100" t="s">
        <v>97</v>
      </c>
      <c r="B11" s="188" t="n">
        <f aca="false">930/7748829</f>
        <v>0.000120018134352945</v>
      </c>
      <c r="C11" s="188" t="n">
        <f aca="false">930/7334450</f>
        <v>0.000126798873807852</v>
      </c>
      <c r="D11" s="188" t="n">
        <f aca="false">360/6411549</f>
        <v>5.61486779559822E-005</v>
      </c>
      <c r="E11" s="188" t="n">
        <f aca="false">331/6411549</f>
        <v>5.16255900095281E-005</v>
      </c>
      <c r="F11" s="140" t="n">
        <f aca="false">333/6411549</f>
        <v>5.19375271092836E-005</v>
      </c>
    </row>
    <row r="12" customFormat="false" ht="27" hidden="false" customHeight="true" outlineLevel="0" collapsed="false">
      <c r="A12" s="100" t="s">
        <v>98</v>
      </c>
      <c r="B12" s="188" t="n">
        <f aca="false">50563/7748829</f>
        <v>0.00652524400783654</v>
      </c>
      <c r="C12" s="188" t="n">
        <f aca="false">50562/7334450</f>
        <v>0.00689376844889528</v>
      </c>
      <c r="D12" s="188" t="n">
        <f aca="false">31721/6411549</f>
        <v>0.00494747837067142</v>
      </c>
      <c r="E12" s="188" t="n">
        <f aca="false">33732/6411549</f>
        <v>0.00526113112447554</v>
      </c>
      <c r="F12" s="140" t="n">
        <f aca="false">32687/6411549</f>
        <v>0.00509814398985331</v>
      </c>
    </row>
    <row r="13" customFormat="false" ht="27" hidden="false" customHeight="true" outlineLevel="0" collapsed="false">
      <c r="A13" s="103" t="s">
        <v>99</v>
      </c>
      <c r="B13" s="189" t="n">
        <f aca="false">839272/7748829</f>
        <v>0.108309526510393</v>
      </c>
      <c r="C13" s="189" t="n">
        <f aca="false">838765/7334450</f>
        <v>0.114359631601552</v>
      </c>
      <c r="D13" s="189" t="n">
        <f aca="false">239726/6411549</f>
        <v>0.0373897165879883</v>
      </c>
      <c r="E13" s="189" t="n">
        <f aca="false">249000/6411549</f>
        <v>0.0388361689195544</v>
      </c>
      <c r="F13" s="136" t="n">
        <f aca="false">251065/6411549</f>
        <v>0.0391582439750519</v>
      </c>
    </row>
    <row r="14" customFormat="false" ht="27" hidden="false" customHeight="true" outlineLevel="0" collapsed="false">
      <c r="A14" s="97" t="s">
        <v>117</v>
      </c>
      <c r="B14" s="187"/>
      <c r="C14" s="187"/>
      <c r="D14" s="187"/>
      <c r="E14" s="187"/>
      <c r="F14" s="139"/>
    </row>
    <row r="15" customFormat="false" ht="27" hidden="false" customHeight="true" outlineLevel="0" collapsed="false">
      <c r="A15" s="100" t="s">
        <v>97</v>
      </c>
      <c r="B15" s="188" t="n">
        <f aca="false">294235/7748829</f>
        <v>0.0379715438293967</v>
      </c>
      <c r="C15" s="188" t="n">
        <f aca="false">294235/7334450</f>
        <v>0.0401168458439283</v>
      </c>
      <c r="D15" s="188" t="n">
        <f aca="false">281268/6411549</f>
        <v>0.0438689620870089</v>
      </c>
      <c r="E15" s="188" t="n">
        <f aca="false">279446/6411549</f>
        <v>0.0435847873891317</v>
      </c>
      <c r="F15" s="140" t="n">
        <f aca="false">278900/6411549</f>
        <v>0.0434996285608985</v>
      </c>
    </row>
    <row r="16" customFormat="false" ht="27" hidden="false" customHeight="true" outlineLevel="0" collapsed="false">
      <c r="A16" s="100" t="s">
        <v>98</v>
      </c>
      <c r="B16" s="188" t="n">
        <f aca="false">444415/7748829</f>
        <v>0.0573525367510368</v>
      </c>
      <c r="C16" s="188" t="n">
        <f aca="false">444415/7334450</f>
        <v>0.0605928188207705</v>
      </c>
      <c r="D16" s="188" t="n">
        <f aca="false">387364/6411549</f>
        <v>0.0604166013548364</v>
      </c>
      <c r="E16" s="188" t="n">
        <f aca="false">400031/6411549</f>
        <v>0.0623922549761376</v>
      </c>
      <c r="F16" s="140" t="n">
        <f aca="false">387472/6411549</f>
        <v>0.0604334459582232</v>
      </c>
    </row>
    <row r="17" customFormat="false" ht="27" hidden="false" customHeight="true" outlineLevel="0" collapsed="false">
      <c r="A17" s="103" t="s">
        <v>99</v>
      </c>
      <c r="B17" s="189" t="n">
        <f aca="false">340382/7748829</f>
        <v>0.0439268952766928</v>
      </c>
      <c r="C17" s="189" t="n">
        <f aca="false">340382/7334450</f>
        <v>0.046408660499424</v>
      </c>
      <c r="D17" s="189" t="n">
        <f aca="false">252547/6411549</f>
        <v>0.0393893893659707</v>
      </c>
      <c r="E17" s="189" t="n">
        <f aca="false">265621/6411549</f>
        <v>0.0414285221870721</v>
      </c>
      <c r="F17" s="136" t="n">
        <f aca="false">269269/6411549</f>
        <v>0.0419974954570261</v>
      </c>
    </row>
    <row r="18" customFormat="false" ht="27" hidden="false" customHeight="true" outlineLevel="0" collapsed="false">
      <c r="A18" s="94" t="s">
        <v>103</v>
      </c>
      <c r="B18" s="186" t="n">
        <f aca="false">20028/7748829</f>
        <v>0.0025846485965815</v>
      </c>
      <c r="C18" s="186" t="n">
        <f aca="false">20028/7334450</f>
        <v>0.00273067510174587</v>
      </c>
      <c r="D18" s="186" t="n">
        <f aca="false">21678/6411549</f>
        <v>0.0033810862242494</v>
      </c>
      <c r="E18" s="186" t="n">
        <f aca="false">20823/6411549</f>
        <v>0.00324773311410394</v>
      </c>
      <c r="F18" s="138" t="n">
        <f aca="false">20897/6411549</f>
        <v>0.00325927478679489</v>
      </c>
    </row>
    <row r="19" customFormat="false" ht="27" hidden="false" customHeight="true" outlineLevel="0" collapsed="false">
      <c r="A19" s="94" t="s">
        <v>104</v>
      </c>
      <c r="B19" s="186" t="n">
        <f aca="false">42872/7748829</f>
        <v>0.00553270694191342</v>
      </c>
      <c r="C19" s="186" t="n">
        <f aca="false">42872/7334450</f>
        <v>0.00584529173966691</v>
      </c>
      <c r="D19" s="186" t="n">
        <f aca="false">40869/6411549</f>
        <v>0.00637427866495288</v>
      </c>
      <c r="E19" s="186" t="n">
        <f aca="false">38809/6411549</f>
        <v>0.00605298345220476</v>
      </c>
      <c r="F19" s="138" t="n">
        <f aca="false">39153/6411549</f>
        <v>0.0061066366333627</v>
      </c>
    </row>
    <row r="20" customFormat="false" ht="27" hidden="false" customHeight="true" outlineLevel="0" collapsed="false">
      <c r="A20" s="94" t="s">
        <v>105</v>
      </c>
      <c r="B20" s="186" t="n">
        <f aca="false">15253/7748829</f>
        <v>0.00196842645514567</v>
      </c>
      <c r="C20" s="186" t="n">
        <f aca="false">15253/7334450</f>
        <v>0.00207963787332383</v>
      </c>
      <c r="D20" s="186" t="n">
        <f aca="false">13575/6411549</f>
        <v>0.00211727306459016</v>
      </c>
      <c r="E20" s="186" t="n">
        <f aca="false">10632/6411549</f>
        <v>0.00165825762230001</v>
      </c>
      <c r="F20" s="138" t="n">
        <f aca="false">10909/6411549</f>
        <v>0.00170146091061614</v>
      </c>
    </row>
    <row r="21" customFormat="false" ht="27" hidden="false" customHeight="true" outlineLevel="0" collapsed="false">
      <c r="A21" s="94" t="s">
        <v>106</v>
      </c>
      <c r="B21" s="186" t="n">
        <f aca="false">40026/7748829</f>
        <v>0.00516542564044193</v>
      </c>
      <c r="C21" s="186" t="n">
        <f aca="false">40026/7334450</f>
        <v>0.00545725991723988</v>
      </c>
      <c r="D21" s="186" t="n">
        <f aca="false">36797/6411549</f>
        <v>0.00573917472985077</v>
      </c>
      <c r="E21" s="186" t="n">
        <f aca="false">36842/6411549</f>
        <v>0.00574619331459527</v>
      </c>
      <c r="F21" s="138" t="n">
        <f aca="false">36915/6411549</f>
        <v>0.00575757901873635</v>
      </c>
    </row>
    <row r="22" customFormat="false" ht="27" hidden="false" customHeight="true" outlineLevel="0" collapsed="false">
      <c r="A22" s="108" t="s">
        <v>45</v>
      </c>
      <c r="B22" s="190" t="n">
        <f aca="false">SUM(B6:B21)</f>
        <v>1.00000025810351</v>
      </c>
      <c r="C22" s="190" t="n">
        <f aca="false">SUM(C6:C21)</f>
        <v>1.00000013634288</v>
      </c>
      <c r="D22" s="190" t="n">
        <f aca="false">SUM(D6:D21)</f>
        <v>0.99999984403145</v>
      </c>
      <c r="E22" s="190" t="n">
        <f aca="false">SUM(E6:E21)</f>
        <v>0.99999984403145</v>
      </c>
      <c r="F22" s="142" t="n">
        <f aca="false">SUM(F6:F21)</f>
        <v>1</v>
      </c>
    </row>
    <row r="23" customFormat="false" ht="27" hidden="false" customHeight="true" outlineLevel="0" collapsed="false">
      <c r="A23" s="2" t="s">
        <v>156</v>
      </c>
    </row>
    <row r="24" customFormat="false" ht="27" hidden="false" customHeight="true" outlineLevel="0" collapsed="false">
      <c r="A24" s="2" t="s">
        <v>157</v>
      </c>
    </row>
  </sheetData>
  <mergeCells count="3">
    <mergeCell ref="A1:F1"/>
    <mergeCell ref="A2:F2"/>
    <mergeCell ref="E4:F4"/>
  </mergeCells>
  <printOptions headings="false" gridLines="false" gridLinesSet="true" horizontalCentered="false" verticalCentered="false"/>
  <pageMargins left="0.929861111111111" right="0.440277777777778" top="0.720138888888889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Roman,Regular"4-30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015625" defaultRowHeight="24" customHeight="true" zeroHeight="false" outlineLevelRow="0" outlineLevelCol="0"/>
  <cols>
    <col collapsed="false" customWidth="true" hidden="false" outlineLevel="0" max="1" min="1" style="191" width="17.55"/>
    <col collapsed="false" customWidth="true" hidden="false" outlineLevel="0" max="8" min="2" style="191" width="13.66"/>
    <col collapsed="false" customWidth="false" hidden="false" outlineLevel="0" max="257" min="9" style="191" width="9.1"/>
  </cols>
  <sheetData>
    <row r="1" customFormat="false" ht="27" hidden="false" customHeight="true" outlineLevel="0" collapsed="false">
      <c r="A1" s="89" t="s">
        <v>158</v>
      </c>
      <c r="B1" s="89"/>
      <c r="C1" s="89"/>
      <c r="D1" s="89"/>
      <c r="E1" s="89"/>
      <c r="F1" s="89"/>
      <c r="G1" s="89"/>
      <c r="H1" s="8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7" hidden="false" customHeight="true" outlineLevel="0" collapsed="false">
      <c r="A2" s="90" t="s">
        <v>33</v>
      </c>
      <c r="B2" s="90"/>
      <c r="C2" s="90"/>
      <c r="D2" s="90"/>
      <c r="E2" s="90"/>
      <c r="F2" s="90"/>
      <c r="G2" s="90"/>
      <c r="H2" s="9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4" hidden="false" customHeight="true" outlineLevel="0" collapsed="false">
      <c r="A3" s="192" t="s">
        <v>147</v>
      </c>
      <c r="B3" s="192"/>
      <c r="C3" s="192"/>
      <c r="D3" s="192"/>
      <c r="E3" s="192"/>
      <c r="F3" s="192"/>
      <c r="G3" s="192"/>
      <c r="H3" s="192"/>
    </row>
    <row r="4" customFormat="false" ht="24" hidden="false" customHeight="true" outlineLevel="0" collapsed="false">
      <c r="A4" s="193"/>
      <c r="B4" s="194"/>
      <c r="C4" s="195" t="s">
        <v>111</v>
      </c>
      <c r="D4" s="195"/>
      <c r="E4" s="196" t="s">
        <v>112</v>
      </c>
      <c r="F4" s="196"/>
      <c r="G4" s="196"/>
      <c r="H4" s="196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  <c r="IT4" s="197"/>
      <c r="IU4" s="197"/>
      <c r="IV4" s="197"/>
      <c r="IW4" s="197"/>
    </row>
    <row r="5" customFormat="false" ht="24" hidden="false" customHeight="true" outlineLevel="0" collapsed="false">
      <c r="A5" s="198" t="s">
        <v>109</v>
      </c>
      <c r="B5" s="199" t="s">
        <v>110</v>
      </c>
      <c r="C5" s="200" t="s">
        <v>142</v>
      </c>
      <c r="D5" s="201" t="s">
        <v>143</v>
      </c>
      <c r="E5" s="201" t="s">
        <v>144</v>
      </c>
      <c r="F5" s="202" t="s">
        <v>145</v>
      </c>
      <c r="G5" s="202"/>
      <c r="H5" s="202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  <c r="IW5" s="197"/>
    </row>
    <row r="6" customFormat="false" ht="24" hidden="false" customHeight="true" outlineLevel="0" collapsed="false">
      <c r="A6" s="203"/>
      <c r="B6" s="204" t="s">
        <v>113</v>
      </c>
      <c r="C6" s="205" t="s">
        <v>159</v>
      </c>
      <c r="D6" s="205"/>
      <c r="E6" s="201" t="s">
        <v>159</v>
      </c>
      <c r="F6" s="201" t="s">
        <v>159</v>
      </c>
      <c r="G6" s="201" t="s">
        <v>160</v>
      </c>
      <c r="H6" s="206" t="s">
        <v>161</v>
      </c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</row>
    <row r="7" customFormat="false" ht="30" hidden="false" customHeight="true" outlineLevel="0" collapsed="false">
      <c r="A7" s="207" t="s">
        <v>92</v>
      </c>
      <c r="B7" s="208" t="n">
        <v>10.7</v>
      </c>
      <c r="C7" s="209" t="n">
        <v>10.29</v>
      </c>
      <c r="D7" s="209" t="n">
        <v>10.29</v>
      </c>
      <c r="E7" s="209" t="n">
        <v>10.02</v>
      </c>
      <c r="F7" s="209" t="n">
        <v>10.08</v>
      </c>
      <c r="G7" s="209" t="n">
        <v>12.42</v>
      </c>
      <c r="H7" s="210" t="n">
        <v>15.54</v>
      </c>
    </row>
    <row r="8" customFormat="false" ht="24" hidden="false" customHeight="true" outlineLevel="0" collapsed="false">
      <c r="A8" s="211" t="s">
        <v>93</v>
      </c>
      <c r="B8" s="209" t="n">
        <v>11.27</v>
      </c>
      <c r="C8" s="209" t="n">
        <v>10.95</v>
      </c>
      <c r="D8" s="209" t="n">
        <v>10.63</v>
      </c>
      <c r="E8" s="209" t="n">
        <v>10.37</v>
      </c>
      <c r="F8" s="209" t="n">
        <v>10.43</v>
      </c>
      <c r="G8" s="209" t="n">
        <v>12.95</v>
      </c>
      <c r="H8" s="210" t="n">
        <v>16.31</v>
      </c>
    </row>
    <row r="9" customFormat="false" ht="24" hidden="false" customHeight="true" outlineLevel="0" collapsed="false">
      <c r="A9" s="211" t="s">
        <v>94</v>
      </c>
      <c r="B9" s="209" t="n">
        <v>10.06</v>
      </c>
      <c r="C9" s="209" t="n">
        <v>7.27</v>
      </c>
      <c r="D9" s="209" t="n">
        <v>7.19</v>
      </c>
      <c r="E9" s="209" t="n">
        <v>7.31</v>
      </c>
      <c r="F9" s="209" t="n">
        <v>7.35</v>
      </c>
      <c r="G9" s="209" t="n">
        <v>9.98</v>
      </c>
      <c r="H9" s="210" t="n">
        <v>13.48</v>
      </c>
    </row>
    <row r="10" customFormat="false" ht="24" hidden="false" customHeight="true" outlineLevel="0" collapsed="false">
      <c r="A10" s="211" t="s">
        <v>95</v>
      </c>
      <c r="B10" s="209" t="n">
        <v>10.95</v>
      </c>
      <c r="C10" s="209" t="n">
        <v>7.2</v>
      </c>
      <c r="D10" s="209" t="n">
        <v>8.96</v>
      </c>
      <c r="E10" s="209" t="n">
        <v>10.07</v>
      </c>
      <c r="F10" s="209" t="n">
        <v>9.54</v>
      </c>
      <c r="G10" s="209" t="n">
        <v>11.92</v>
      </c>
      <c r="H10" s="210" t="n">
        <v>15.1</v>
      </c>
    </row>
    <row r="11" customFormat="false" ht="24" hidden="false" customHeight="true" outlineLevel="0" collapsed="false">
      <c r="A11" s="212" t="s">
        <v>116</v>
      </c>
      <c r="B11" s="213"/>
      <c r="C11" s="213"/>
      <c r="D11" s="213"/>
      <c r="E11" s="213"/>
      <c r="F11" s="213"/>
      <c r="G11" s="213"/>
      <c r="H11" s="214"/>
    </row>
    <row r="12" customFormat="false" ht="24" hidden="false" customHeight="true" outlineLevel="0" collapsed="false">
      <c r="A12" s="215" t="s">
        <v>97</v>
      </c>
      <c r="B12" s="216" t="n">
        <v>8.14</v>
      </c>
      <c r="C12" s="216" t="n">
        <v>6.08</v>
      </c>
      <c r="D12" s="216" t="n">
        <v>6.08</v>
      </c>
      <c r="E12" s="216" t="n">
        <v>5.59</v>
      </c>
      <c r="F12" s="216" t="n">
        <v>5.63</v>
      </c>
      <c r="G12" s="216" t="n">
        <v>8.27</v>
      </c>
      <c r="H12" s="217" t="n">
        <v>11.79</v>
      </c>
    </row>
    <row r="13" customFormat="false" ht="24" hidden="false" customHeight="true" outlineLevel="0" collapsed="false">
      <c r="A13" s="215" t="s">
        <v>98</v>
      </c>
      <c r="B13" s="216" t="n">
        <v>7.7</v>
      </c>
      <c r="C13" s="216" t="n">
        <v>5.93</v>
      </c>
      <c r="D13" s="216" t="n">
        <v>5.93</v>
      </c>
      <c r="E13" s="216" t="n">
        <v>6.31</v>
      </c>
      <c r="F13" s="216" t="n">
        <v>6.11</v>
      </c>
      <c r="G13" s="216" t="n">
        <v>8.78</v>
      </c>
      <c r="H13" s="217" t="n">
        <v>12.33</v>
      </c>
    </row>
    <row r="14" customFormat="false" ht="24" hidden="false" customHeight="true" outlineLevel="0" collapsed="false">
      <c r="A14" s="218" t="s">
        <v>99</v>
      </c>
      <c r="B14" s="208" t="n">
        <v>8.92</v>
      </c>
      <c r="C14" s="208" t="n">
        <v>6.43</v>
      </c>
      <c r="D14" s="208" t="n">
        <v>6.43</v>
      </c>
      <c r="E14" s="208" t="n">
        <v>6.68</v>
      </c>
      <c r="F14" s="208" t="n">
        <v>6.73</v>
      </c>
      <c r="G14" s="208" t="n">
        <v>9.42</v>
      </c>
      <c r="H14" s="219" t="n">
        <v>13.01</v>
      </c>
    </row>
    <row r="15" customFormat="false" ht="24" hidden="false" customHeight="true" outlineLevel="0" collapsed="false">
      <c r="A15" s="212" t="s">
        <v>117</v>
      </c>
      <c r="B15" s="213"/>
      <c r="C15" s="213"/>
      <c r="D15" s="213"/>
      <c r="E15" s="213"/>
      <c r="F15" s="213"/>
      <c r="G15" s="213"/>
      <c r="H15" s="214"/>
    </row>
    <row r="16" customFormat="false" ht="24" hidden="false" customHeight="true" outlineLevel="0" collapsed="false">
      <c r="A16" s="215" t="s">
        <v>97</v>
      </c>
      <c r="B16" s="216" t="n">
        <v>4.66</v>
      </c>
      <c r="C16" s="216" t="n">
        <v>4.45</v>
      </c>
      <c r="D16" s="216" t="n">
        <v>4.45</v>
      </c>
      <c r="E16" s="216" t="n">
        <v>4.42</v>
      </c>
      <c r="F16" s="216" t="n">
        <v>4.41</v>
      </c>
      <c r="G16" s="216" t="n">
        <v>7</v>
      </c>
      <c r="H16" s="217" t="n">
        <v>10.45</v>
      </c>
    </row>
    <row r="17" customFormat="false" ht="24" hidden="false" customHeight="true" outlineLevel="0" collapsed="false">
      <c r="A17" s="215" t="s">
        <v>98</v>
      </c>
      <c r="B17" s="216" t="n">
        <v>6.79</v>
      </c>
      <c r="C17" s="216" t="n">
        <v>5.92</v>
      </c>
      <c r="D17" s="216" t="n">
        <v>5.92</v>
      </c>
      <c r="E17" s="216" t="n">
        <v>6.11</v>
      </c>
      <c r="F17" s="216" t="n">
        <v>5.92</v>
      </c>
      <c r="G17" s="216" t="n">
        <v>8.58</v>
      </c>
      <c r="H17" s="217" t="n">
        <v>12.13</v>
      </c>
    </row>
    <row r="18" customFormat="false" ht="24" hidden="false" customHeight="true" outlineLevel="0" collapsed="false">
      <c r="A18" s="218" t="s">
        <v>99</v>
      </c>
      <c r="B18" s="208" t="n">
        <v>8.32</v>
      </c>
      <c r="C18" s="208" t="n">
        <v>6.17</v>
      </c>
      <c r="D18" s="208" t="n">
        <v>6.17</v>
      </c>
      <c r="E18" s="208" t="n">
        <v>6.49</v>
      </c>
      <c r="F18" s="208" t="n">
        <v>6.58</v>
      </c>
      <c r="G18" s="208" t="n">
        <v>9.29</v>
      </c>
      <c r="H18" s="219" t="n">
        <v>12.91</v>
      </c>
    </row>
    <row r="19" customFormat="false" ht="24" hidden="false" customHeight="true" outlineLevel="0" collapsed="false">
      <c r="A19" s="211" t="s">
        <v>103</v>
      </c>
      <c r="B19" s="209" t="n">
        <v>8.43</v>
      </c>
      <c r="C19" s="209" t="n">
        <v>9.13</v>
      </c>
      <c r="D19" s="209" t="n">
        <v>9.13</v>
      </c>
      <c r="E19" s="209" t="n">
        <v>8.77</v>
      </c>
      <c r="F19" s="209" t="n">
        <v>8.8</v>
      </c>
      <c r="G19" s="209" t="n">
        <v>11.53</v>
      </c>
      <c r="H19" s="210" t="n">
        <v>15.16</v>
      </c>
    </row>
    <row r="20" customFormat="false" ht="24" hidden="false" customHeight="true" outlineLevel="0" collapsed="false">
      <c r="A20" s="211" t="s">
        <v>104</v>
      </c>
      <c r="B20" s="209" t="n">
        <v>12.75</v>
      </c>
      <c r="C20" s="209" t="n">
        <v>12.16</v>
      </c>
      <c r="D20" s="209" t="n">
        <v>12.16</v>
      </c>
      <c r="E20" s="209" t="n">
        <v>11.54</v>
      </c>
      <c r="F20" s="209" t="n">
        <v>11.65</v>
      </c>
      <c r="G20" s="209" t="n">
        <v>14.39</v>
      </c>
      <c r="H20" s="210" t="n">
        <v>18.04</v>
      </c>
    </row>
    <row r="21" customFormat="false" ht="24" hidden="false" customHeight="true" outlineLevel="0" collapsed="false">
      <c r="A21" s="211" t="s">
        <v>105</v>
      </c>
      <c r="B21" s="209" t="n">
        <v>10.87</v>
      </c>
      <c r="C21" s="209" t="n">
        <v>9.67</v>
      </c>
      <c r="D21" s="209" t="n">
        <v>9.51</v>
      </c>
      <c r="E21" s="209" t="n">
        <v>7.58</v>
      </c>
      <c r="F21" s="209" t="n">
        <v>7.7</v>
      </c>
      <c r="G21" s="209" t="n">
        <v>10.56</v>
      </c>
      <c r="H21" s="210" t="n">
        <v>14.29</v>
      </c>
    </row>
    <row r="22" customFormat="false" ht="24" hidden="false" customHeight="true" outlineLevel="0" collapsed="false">
      <c r="A22" s="211" t="s">
        <v>106</v>
      </c>
      <c r="B22" s="209" t="n">
        <v>4.88</v>
      </c>
      <c r="C22" s="209" t="n">
        <v>4.49</v>
      </c>
      <c r="D22" s="209" t="n">
        <v>4.49</v>
      </c>
      <c r="E22" s="209" t="n">
        <v>4.5</v>
      </c>
      <c r="F22" s="209" t="n">
        <v>4.5</v>
      </c>
      <c r="G22" s="209" t="n">
        <v>7.06</v>
      </c>
      <c r="H22" s="210" t="n">
        <v>10.46</v>
      </c>
    </row>
    <row r="23" customFormat="false" ht="24" hidden="false" customHeight="true" outlineLevel="0" collapsed="false">
      <c r="A23" s="220" t="s">
        <v>45</v>
      </c>
      <c r="B23" s="221" t="n">
        <v>9.42</v>
      </c>
      <c r="C23" s="221" t="n">
        <v>8.24</v>
      </c>
      <c r="D23" s="221" t="n">
        <v>8.24</v>
      </c>
      <c r="E23" s="221" t="n">
        <v>8.24</v>
      </c>
      <c r="F23" s="221" t="n">
        <v>8.24</v>
      </c>
      <c r="G23" s="221" t="n">
        <v>10.75</v>
      </c>
      <c r="H23" s="222" t="n">
        <v>14.11</v>
      </c>
    </row>
    <row r="24" customFormat="false" ht="24" hidden="false" customHeight="true" outlineLevel="0" collapsed="false">
      <c r="A24" s="191" t="s">
        <v>162</v>
      </c>
    </row>
  </sheetData>
  <mergeCells count="7">
    <mergeCell ref="A1:H1"/>
    <mergeCell ref="A2:H2"/>
    <mergeCell ref="A3:H3"/>
    <mergeCell ref="C4:D4"/>
    <mergeCell ref="E4:H4"/>
    <mergeCell ref="F5:H5"/>
    <mergeCell ref="C6:D6"/>
  </mergeCells>
  <printOptions headings="false" gridLines="false" gridLinesSet="true" horizontalCentered="true" verticalCentered="false"/>
  <pageMargins left="0.747916666666667" right="0.747916666666667" top="0.420138888888889" bottom="0.55" header="0.511811023622047" footer="0.25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Roman,Regular"4-31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A3:G4"/>
    </sheetView>
  </sheetViews>
  <sheetFormatPr defaultColWidth="9.1015625" defaultRowHeight="24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7" min="2" style="88" width="13.66"/>
    <col collapsed="false" customWidth="false" hidden="false" outlineLevel="0" max="257" min="8" style="2" width="9.1"/>
  </cols>
  <sheetData>
    <row r="1" customFormat="false" ht="24" hidden="false" customHeight="true" outlineLevel="0" collapsed="false">
      <c r="A1" s="89" t="s">
        <v>163</v>
      </c>
      <c r="B1" s="89"/>
      <c r="C1" s="89"/>
      <c r="D1" s="89"/>
      <c r="E1" s="89"/>
      <c r="F1" s="89"/>
      <c r="G1" s="89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143"/>
      <c r="FT1" s="143"/>
      <c r="FU1" s="143"/>
      <c r="FV1" s="143"/>
      <c r="FW1" s="143"/>
      <c r="FX1" s="143"/>
      <c r="FY1" s="143"/>
      <c r="FZ1" s="143"/>
      <c r="GA1" s="143"/>
      <c r="GB1" s="143"/>
      <c r="GC1" s="143"/>
      <c r="GD1" s="143"/>
      <c r="GE1" s="143"/>
      <c r="GF1" s="143"/>
      <c r="GG1" s="143"/>
      <c r="GH1" s="143"/>
      <c r="GI1" s="143"/>
      <c r="GJ1" s="143"/>
      <c r="GK1" s="143"/>
      <c r="GL1" s="143"/>
      <c r="GM1" s="143"/>
      <c r="GN1" s="143"/>
      <c r="GO1" s="143"/>
      <c r="GP1" s="143"/>
      <c r="GQ1" s="143"/>
      <c r="GR1" s="143"/>
      <c r="GS1" s="143"/>
      <c r="GT1" s="143"/>
      <c r="GU1" s="143"/>
      <c r="GV1" s="143"/>
      <c r="GW1" s="143"/>
      <c r="GX1" s="143"/>
      <c r="GY1" s="143"/>
      <c r="GZ1" s="143"/>
      <c r="HA1" s="143"/>
      <c r="HB1" s="143"/>
      <c r="HC1" s="143"/>
      <c r="HD1" s="143"/>
      <c r="HE1" s="143"/>
      <c r="HF1" s="143"/>
      <c r="HG1" s="143"/>
      <c r="HH1" s="143"/>
      <c r="HI1" s="143"/>
      <c r="HJ1" s="143"/>
      <c r="HK1" s="143"/>
      <c r="HL1" s="143"/>
      <c r="HM1" s="143"/>
      <c r="HN1" s="143"/>
      <c r="HO1" s="143"/>
      <c r="HP1" s="143"/>
      <c r="HQ1" s="143"/>
      <c r="HR1" s="143"/>
      <c r="HS1" s="143"/>
      <c r="HT1" s="143"/>
      <c r="HU1" s="143"/>
      <c r="HV1" s="143"/>
      <c r="HW1" s="143"/>
      <c r="HX1" s="143"/>
      <c r="HY1" s="143"/>
      <c r="HZ1" s="143"/>
      <c r="IA1" s="143"/>
      <c r="IB1" s="143"/>
      <c r="IC1" s="143"/>
      <c r="ID1" s="143"/>
      <c r="IE1" s="143"/>
      <c r="IF1" s="143"/>
      <c r="IG1" s="143"/>
      <c r="IH1" s="143"/>
      <c r="II1" s="143"/>
      <c r="IJ1" s="143"/>
      <c r="IK1" s="143"/>
      <c r="IL1" s="143"/>
      <c r="IM1" s="143"/>
      <c r="IN1" s="143"/>
      <c r="IO1" s="143"/>
      <c r="IP1" s="143"/>
      <c r="IQ1" s="143"/>
      <c r="IR1" s="143"/>
      <c r="IS1" s="143"/>
      <c r="IT1" s="143"/>
      <c r="IU1" s="143"/>
      <c r="IV1" s="143"/>
      <c r="IW1" s="143"/>
    </row>
    <row r="2" customFormat="false" ht="24" hidden="false" customHeight="true" outlineLevel="0" collapsed="false">
      <c r="A2" s="90" t="s">
        <v>164</v>
      </c>
      <c r="B2" s="90"/>
      <c r="C2" s="90"/>
      <c r="D2" s="90"/>
      <c r="E2" s="90"/>
      <c r="F2" s="90"/>
      <c r="G2" s="90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  <c r="GR2" s="143"/>
      <c r="GS2" s="143"/>
      <c r="GT2" s="143"/>
      <c r="GU2" s="143"/>
      <c r="GV2" s="143"/>
      <c r="GW2" s="143"/>
      <c r="GX2" s="143"/>
      <c r="GY2" s="143"/>
      <c r="GZ2" s="143"/>
      <c r="HA2" s="143"/>
      <c r="HB2" s="143"/>
      <c r="HC2" s="143"/>
      <c r="HD2" s="143"/>
      <c r="HE2" s="143"/>
      <c r="HF2" s="143"/>
      <c r="HG2" s="143"/>
      <c r="HH2" s="143"/>
      <c r="HI2" s="143"/>
      <c r="HJ2" s="143"/>
      <c r="HK2" s="143"/>
      <c r="HL2" s="143"/>
      <c r="HM2" s="143"/>
      <c r="HN2" s="143"/>
      <c r="HO2" s="143"/>
      <c r="HP2" s="143"/>
      <c r="HQ2" s="143"/>
      <c r="HR2" s="143"/>
      <c r="HS2" s="143"/>
      <c r="HT2" s="143"/>
      <c r="HU2" s="143"/>
      <c r="HV2" s="143"/>
      <c r="HW2" s="143"/>
      <c r="HX2" s="143"/>
      <c r="HY2" s="143"/>
      <c r="HZ2" s="143"/>
      <c r="IA2" s="143"/>
      <c r="IB2" s="143"/>
      <c r="IC2" s="143"/>
      <c r="ID2" s="143"/>
      <c r="IE2" s="143"/>
      <c r="IF2" s="143"/>
      <c r="IG2" s="143"/>
      <c r="IH2" s="143"/>
      <c r="II2" s="143"/>
      <c r="IJ2" s="143"/>
      <c r="IK2" s="143"/>
      <c r="IL2" s="143"/>
      <c r="IM2" s="143"/>
      <c r="IN2" s="143"/>
      <c r="IO2" s="143"/>
      <c r="IP2" s="143"/>
      <c r="IQ2" s="143"/>
      <c r="IR2" s="143"/>
      <c r="IS2" s="143"/>
      <c r="IT2" s="143"/>
      <c r="IU2" s="143"/>
      <c r="IV2" s="143"/>
      <c r="IW2" s="143"/>
    </row>
    <row r="3" customFormat="false" ht="24" hidden="false" customHeight="true" outlineLevel="0" collapsed="false">
      <c r="A3" s="144" t="s">
        <v>165</v>
      </c>
      <c r="B3" s="144"/>
      <c r="C3" s="144"/>
      <c r="D3" s="144"/>
      <c r="E3" s="144"/>
      <c r="F3" s="144"/>
      <c r="G3" s="144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</row>
    <row r="4" customFormat="false" ht="24" hidden="false" customHeight="true" outlineLevel="0" collapsed="false">
      <c r="A4" s="173"/>
      <c r="B4" s="113" t="s">
        <v>111</v>
      </c>
      <c r="C4" s="113"/>
      <c r="D4" s="145" t="s">
        <v>112</v>
      </c>
      <c r="E4" s="145"/>
      <c r="F4" s="145"/>
      <c r="G4" s="14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24" hidden="false" customHeight="true" outlineLevel="0" collapsed="false">
      <c r="A5" s="223" t="s">
        <v>109</v>
      </c>
      <c r="B5" s="224" t="s">
        <v>142</v>
      </c>
      <c r="C5" s="184" t="s">
        <v>143</v>
      </c>
      <c r="D5" s="184" t="s">
        <v>144</v>
      </c>
      <c r="E5" s="225" t="s">
        <v>145</v>
      </c>
      <c r="F5" s="225"/>
      <c r="G5" s="2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24" hidden="false" customHeight="true" outlineLevel="0" collapsed="false">
      <c r="A6" s="176"/>
      <c r="B6" s="226" t="s">
        <v>159</v>
      </c>
      <c r="C6" s="226"/>
      <c r="D6" s="184" t="s">
        <v>159</v>
      </c>
      <c r="E6" s="184" t="s">
        <v>159</v>
      </c>
      <c r="F6" s="184" t="s">
        <v>160</v>
      </c>
      <c r="G6" s="227" t="s">
        <v>161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30" hidden="false" customHeight="true" outlineLevel="0" collapsed="false">
      <c r="A7" s="91" t="s">
        <v>92</v>
      </c>
      <c r="B7" s="95" t="n">
        <v>-0.0382</v>
      </c>
      <c r="C7" s="95" t="n">
        <v>-0.0382</v>
      </c>
      <c r="D7" s="95" t="n">
        <v>-0.0631</v>
      </c>
      <c r="E7" s="95" t="n">
        <v>-0.0576</v>
      </c>
      <c r="F7" s="95" t="n">
        <v>0.1611</v>
      </c>
      <c r="G7" s="96" t="n">
        <v>0.4528</v>
      </c>
    </row>
    <row r="8" customFormat="false" ht="24" hidden="false" customHeight="true" outlineLevel="0" collapsed="false">
      <c r="A8" s="94" t="s">
        <v>93</v>
      </c>
      <c r="B8" s="95" t="n">
        <v>-0.0662</v>
      </c>
      <c r="C8" s="95" t="n">
        <v>-0.0568</v>
      </c>
      <c r="D8" s="95" t="n">
        <v>-0.0797</v>
      </c>
      <c r="E8" s="95" t="n">
        <v>-0.0745</v>
      </c>
      <c r="F8" s="95" t="n">
        <v>0.1494</v>
      </c>
      <c r="G8" s="96" t="n">
        <v>0.4479</v>
      </c>
    </row>
    <row r="9" customFormat="false" ht="24" hidden="false" customHeight="true" outlineLevel="0" collapsed="false">
      <c r="A9" s="94" t="s">
        <v>94</v>
      </c>
      <c r="B9" s="95" t="n">
        <v>-0.2524</v>
      </c>
      <c r="C9" s="95" t="n">
        <v>-0.2512</v>
      </c>
      <c r="D9" s="95" t="n">
        <v>-0.2384</v>
      </c>
      <c r="E9" s="95" t="n">
        <v>-0.2345</v>
      </c>
      <c r="F9" s="95" t="n">
        <v>0.0397</v>
      </c>
      <c r="G9" s="96" t="n">
        <v>0.4053</v>
      </c>
    </row>
    <row r="10" customFormat="false" ht="24" hidden="false" customHeight="true" outlineLevel="0" collapsed="false">
      <c r="A10" s="94" t="s">
        <v>95</v>
      </c>
      <c r="B10" s="95" t="n">
        <v>-0.1318</v>
      </c>
      <c r="C10" s="95" t="n">
        <v>-0.1818</v>
      </c>
      <c r="D10" s="95" t="n">
        <v>-0.0797</v>
      </c>
      <c r="E10" s="95" t="n">
        <v>-0.1283</v>
      </c>
      <c r="F10" s="95" t="n">
        <v>0.0894</v>
      </c>
      <c r="G10" s="96" t="n">
        <v>0.3796</v>
      </c>
    </row>
    <row r="11" customFormat="false" ht="24" hidden="false" customHeight="true" outlineLevel="0" collapsed="false">
      <c r="A11" s="97" t="s">
        <v>116</v>
      </c>
      <c r="B11" s="98"/>
      <c r="C11" s="98"/>
      <c r="D11" s="98"/>
      <c r="E11" s="98"/>
      <c r="F11" s="98"/>
      <c r="G11" s="99"/>
    </row>
    <row r="12" customFormat="false" ht="24" hidden="false" customHeight="true" outlineLevel="0" collapsed="false">
      <c r="A12" s="100" t="s">
        <v>97</v>
      </c>
      <c r="B12" s="101" t="n">
        <v>-0.2572</v>
      </c>
      <c r="C12" s="101" t="n">
        <v>-0.2572</v>
      </c>
      <c r="D12" s="101" t="n">
        <v>-0.3166</v>
      </c>
      <c r="E12" s="101" t="n">
        <v>-0.3125</v>
      </c>
      <c r="F12" s="101" t="n">
        <v>0.0103</v>
      </c>
      <c r="G12" s="102" t="n">
        <v>0.4408</v>
      </c>
    </row>
    <row r="13" customFormat="false" ht="24" hidden="false" customHeight="true" outlineLevel="0" collapsed="false">
      <c r="A13" s="100" t="s">
        <v>98</v>
      </c>
      <c r="B13" s="101" t="n">
        <v>-0.2312</v>
      </c>
      <c r="C13" s="101" t="n">
        <v>-0.2312</v>
      </c>
      <c r="D13" s="101" t="n">
        <v>-0.1825</v>
      </c>
      <c r="E13" s="101" t="n">
        <v>-0.2078</v>
      </c>
      <c r="F13" s="101" t="n">
        <v>0.1375</v>
      </c>
      <c r="G13" s="102" t="n">
        <v>0.598</v>
      </c>
    </row>
    <row r="14" customFormat="false" ht="24" hidden="false" customHeight="true" outlineLevel="0" collapsed="false">
      <c r="A14" s="103" t="s">
        <v>99</v>
      </c>
      <c r="B14" s="92" t="n">
        <v>-0.3049</v>
      </c>
      <c r="C14" s="92" t="n">
        <v>-0.3049</v>
      </c>
      <c r="D14" s="92" t="n">
        <v>-0.278</v>
      </c>
      <c r="E14" s="92" t="n">
        <v>-0.272</v>
      </c>
      <c r="F14" s="92" t="n">
        <v>0.0184</v>
      </c>
      <c r="G14" s="93" t="n">
        <v>0.4057</v>
      </c>
    </row>
    <row r="15" customFormat="false" ht="24" hidden="false" customHeight="true" outlineLevel="0" collapsed="false">
      <c r="A15" s="97" t="s">
        <v>117</v>
      </c>
      <c r="B15" s="98"/>
      <c r="C15" s="98"/>
      <c r="D15" s="98"/>
      <c r="E15" s="98"/>
      <c r="F15" s="98"/>
      <c r="G15" s="99"/>
    </row>
    <row r="16" customFormat="false" ht="24" hidden="false" customHeight="true" outlineLevel="0" collapsed="false">
      <c r="A16" s="100" t="s">
        <v>97</v>
      </c>
      <c r="B16" s="101" t="n">
        <v>-0.0441</v>
      </c>
      <c r="C16" s="101" t="n">
        <v>-0.0441</v>
      </c>
      <c r="D16" s="101" t="n">
        <v>-0.0503</v>
      </c>
      <c r="E16" s="101" t="n">
        <v>-0.0521</v>
      </c>
      <c r="F16" s="101" t="n">
        <v>0.5039</v>
      </c>
      <c r="G16" s="102" t="n">
        <v>1.2453</v>
      </c>
    </row>
    <row r="17" customFormat="false" ht="24" hidden="false" customHeight="true" outlineLevel="0" collapsed="false">
      <c r="A17" s="100" t="s">
        <v>98</v>
      </c>
      <c r="B17" s="101" t="n">
        <v>-0.1284</v>
      </c>
      <c r="C17" s="101" t="n">
        <v>-0.1284</v>
      </c>
      <c r="D17" s="101" t="n">
        <v>-0.0999</v>
      </c>
      <c r="E17" s="101" t="n">
        <v>-0.1281</v>
      </c>
      <c r="F17" s="101" t="n">
        <v>0.2634</v>
      </c>
      <c r="G17" s="102" t="n">
        <v>0.7855</v>
      </c>
    </row>
    <row r="18" customFormat="false" ht="24" hidden="false" customHeight="true" outlineLevel="0" collapsed="false">
      <c r="A18" s="103" t="s">
        <v>99</v>
      </c>
      <c r="B18" s="92" t="n">
        <v>-0.258</v>
      </c>
      <c r="C18" s="92" t="n">
        <v>-0.258</v>
      </c>
      <c r="D18" s="92" t="n">
        <v>-0.2196</v>
      </c>
      <c r="E18" s="92" t="n">
        <v>-0.2089</v>
      </c>
      <c r="F18" s="92" t="n">
        <v>0.1174</v>
      </c>
      <c r="G18" s="93" t="n">
        <v>0.5525</v>
      </c>
    </row>
    <row r="19" customFormat="false" ht="24" hidden="false" customHeight="true" outlineLevel="0" collapsed="false">
      <c r="A19" s="94" t="s">
        <v>103</v>
      </c>
      <c r="B19" s="95" t="n">
        <v>0.0824</v>
      </c>
      <c r="C19" s="95" t="n">
        <v>0.0823</v>
      </c>
      <c r="D19" s="95" t="n">
        <v>0.0397</v>
      </c>
      <c r="E19" s="95" t="n">
        <v>0.0434</v>
      </c>
      <c r="F19" s="95" t="n">
        <v>0.3666</v>
      </c>
      <c r="G19" s="96" t="n">
        <v>0.7975</v>
      </c>
    </row>
    <row r="20" customFormat="false" ht="24" hidden="false" customHeight="true" outlineLevel="0" collapsed="false">
      <c r="A20" s="94" t="s">
        <v>104</v>
      </c>
      <c r="B20" s="95" t="n">
        <v>-0.0467</v>
      </c>
      <c r="C20" s="95" t="n">
        <v>-0.0467</v>
      </c>
      <c r="D20" s="95" t="n">
        <v>-0.0948</v>
      </c>
      <c r="E20" s="95" t="n">
        <v>-0.0867</v>
      </c>
      <c r="F20" s="95" t="n">
        <v>0.1282</v>
      </c>
      <c r="G20" s="96" t="n">
        <v>0.4149</v>
      </c>
    </row>
    <row r="21" customFormat="false" ht="24" hidden="false" customHeight="true" outlineLevel="0" collapsed="false">
      <c r="A21" s="94" t="s">
        <v>105</v>
      </c>
      <c r="B21" s="95" t="n">
        <v>-0.11</v>
      </c>
      <c r="C21" s="95" t="n">
        <v>-0.1255</v>
      </c>
      <c r="D21" s="95" t="n">
        <v>-0.303</v>
      </c>
      <c r="E21" s="95" t="n">
        <v>-0.2848</v>
      </c>
      <c r="F21" s="95" t="n">
        <v>-0.028</v>
      </c>
      <c r="G21" s="96" t="n">
        <v>0.3144</v>
      </c>
    </row>
    <row r="22" customFormat="false" ht="24" hidden="false" customHeight="true" outlineLevel="0" collapsed="false">
      <c r="A22" s="94" t="s">
        <v>106</v>
      </c>
      <c r="B22" s="95" t="n">
        <v>-0.0807</v>
      </c>
      <c r="C22" s="95" t="n">
        <v>-0.0807</v>
      </c>
      <c r="D22" s="95" t="n">
        <v>-0.0795</v>
      </c>
      <c r="E22" s="95" t="n">
        <v>-0.0777</v>
      </c>
      <c r="F22" s="95" t="n">
        <v>0.4447</v>
      </c>
      <c r="G22" s="96" t="n">
        <v>1.1413</v>
      </c>
    </row>
    <row r="23" customFormat="false" ht="24" hidden="false" customHeight="true" outlineLevel="0" collapsed="false">
      <c r="A23" s="108" t="s">
        <v>45</v>
      </c>
      <c r="B23" s="109" t="n">
        <v>-0.1258</v>
      </c>
      <c r="C23" s="109" t="n">
        <v>-0.1258</v>
      </c>
      <c r="D23" s="109" t="n">
        <v>-0.1258</v>
      </c>
      <c r="E23" s="109" t="n">
        <v>-0.1258</v>
      </c>
      <c r="F23" s="109" t="n">
        <v>0.1411</v>
      </c>
      <c r="G23" s="110" t="n">
        <v>0.497</v>
      </c>
    </row>
    <row r="24" customFormat="false" ht="24" hidden="false" customHeight="true" outlineLevel="0" collapsed="false">
      <c r="A24" s="2" t="s">
        <v>166</v>
      </c>
    </row>
  </sheetData>
  <mergeCells count="7">
    <mergeCell ref="A1:G1"/>
    <mergeCell ref="A2:G2"/>
    <mergeCell ref="A3:G3"/>
    <mergeCell ref="B4:C4"/>
    <mergeCell ref="D4:G4"/>
    <mergeCell ref="E5:G5"/>
    <mergeCell ref="B6:C6"/>
  </mergeCells>
  <printOptions headings="false" gridLines="false" gridLinesSet="true" horizontalCentered="true" verticalCentered="false"/>
  <pageMargins left="0.747916666666667" right="0.747916666666667" top="0.440277777777778" bottom="0.459722222222222" header="0.511811023622047" footer="0.25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Roman,Regular"4-32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1"/>
    </sheetView>
  </sheetViews>
  <sheetFormatPr defaultColWidth="10.66015625" defaultRowHeight="23.4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5.66"/>
    <col collapsed="false" customWidth="true" hidden="false" outlineLevel="0" max="3" min="3" style="2" width="23.33"/>
    <col collapsed="false" customWidth="true" hidden="false" outlineLevel="0" max="4" min="4" style="228" width="17.88"/>
    <col collapsed="false" customWidth="true" hidden="false" outlineLevel="0" max="5" min="5" style="228" width="17.32"/>
    <col collapsed="false" customWidth="true" hidden="false" outlineLevel="0" max="6" min="6" style="1" width="16.32"/>
    <col collapsed="false" customWidth="true" hidden="false" outlineLevel="0" max="7" min="7" style="5" width="13.55"/>
    <col collapsed="false" customWidth="false" hidden="false" outlineLevel="0" max="257" min="8" style="2" width="10.66"/>
  </cols>
  <sheetData>
    <row r="1" customFormat="false" ht="23.4" hidden="false" customHeight="true" outlineLevel="0" collapsed="false">
      <c r="A1" s="89" t="s">
        <v>167</v>
      </c>
      <c r="B1" s="89"/>
      <c r="C1" s="89"/>
      <c r="D1" s="89"/>
      <c r="E1" s="89"/>
      <c r="F1" s="89"/>
      <c r="G1" s="89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143"/>
      <c r="FT1" s="143"/>
      <c r="FU1" s="143"/>
      <c r="FV1" s="143"/>
      <c r="FW1" s="143"/>
      <c r="FX1" s="143"/>
      <c r="FY1" s="143"/>
      <c r="FZ1" s="143"/>
      <c r="GA1" s="143"/>
      <c r="GB1" s="143"/>
      <c r="GC1" s="143"/>
      <c r="GD1" s="143"/>
      <c r="GE1" s="143"/>
      <c r="GF1" s="143"/>
      <c r="GG1" s="143"/>
      <c r="GH1" s="143"/>
      <c r="GI1" s="143"/>
      <c r="GJ1" s="143"/>
      <c r="GK1" s="143"/>
      <c r="GL1" s="143"/>
      <c r="GM1" s="143"/>
      <c r="GN1" s="143"/>
      <c r="GO1" s="143"/>
      <c r="GP1" s="143"/>
      <c r="GQ1" s="143"/>
      <c r="GR1" s="143"/>
      <c r="GS1" s="143"/>
      <c r="GT1" s="143"/>
      <c r="GU1" s="143"/>
      <c r="GV1" s="143"/>
      <c r="GW1" s="143"/>
      <c r="GX1" s="143"/>
      <c r="GY1" s="143"/>
      <c r="GZ1" s="143"/>
      <c r="HA1" s="143"/>
      <c r="HB1" s="143"/>
      <c r="HC1" s="143"/>
      <c r="HD1" s="143"/>
      <c r="HE1" s="143"/>
      <c r="HF1" s="143"/>
      <c r="HG1" s="143"/>
      <c r="HH1" s="143"/>
      <c r="HI1" s="143"/>
      <c r="HJ1" s="143"/>
      <c r="HK1" s="143"/>
      <c r="HL1" s="143"/>
      <c r="HM1" s="143"/>
      <c r="HN1" s="143"/>
      <c r="HO1" s="143"/>
      <c r="HP1" s="143"/>
      <c r="HQ1" s="143"/>
      <c r="HR1" s="143"/>
      <c r="HS1" s="143"/>
      <c r="HT1" s="143"/>
      <c r="HU1" s="143"/>
      <c r="HV1" s="143"/>
      <c r="HW1" s="143"/>
      <c r="HX1" s="143"/>
      <c r="HY1" s="143"/>
      <c r="HZ1" s="143"/>
      <c r="IA1" s="143"/>
      <c r="IB1" s="143"/>
      <c r="IC1" s="143"/>
      <c r="ID1" s="143"/>
      <c r="IE1" s="143"/>
      <c r="IF1" s="143"/>
      <c r="IG1" s="143"/>
      <c r="IH1" s="143"/>
      <c r="II1" s="143"/>
      <c r="IJ1" s="143"/>
      <c r="IK1" s="143"/>
      <c r="IL1" s="143"/>
      <c r="IM1" s="143"/>
      <c r="IN1" s="143"/>
      <c r="IO1" s="143"/>
      <c r="IP1" s="143"/>
      <c r="IQ1" s="143"/>
      <c r="IR1" s="143"/>
      <c r="IS1" s="143"/>
      <c r="IT1" s="143"/>
      <c r="IU1" s="143"/>
      <c r="IV1" s="143"/>
      <c r="IW1" s="143"/>
    </row>
    <row r="2" customFormat="false" ht="28.2" hidden="false" customHeight="true" outlineLevel="0" collapsed="false">
      <c r="A2" s="90" t="s">
        <v>168</v>
      </c>
      <c r="B2" s="90"/>
      <c r="C2" s="90"/>
      <c r="D2" s="90"/>
      <c r="E2" s="90"/>
      <c r="F2" s="90"/>
      <c r="G2" s="90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  <c r="GR2" s="143"/>
      <c r="GS2" s="143"/>
      <c r="GT2" s="143"/>
      <c r="GU2" s="143"/>
      <c r="GV2" s="143"/>
      <c r="GW2" s="143"/>
      <c r="GX2" s="143"/>
      <c r="GY2" s="143"/>
      <c r="GZ2" s="143"/>
      <c r="HA2" s="143"/>
      <c r="HB2" s="143"/>
      <c r="HC2" s="143"/>
      <c r="HD2" s="143"/>
      <c r="HE2" s="143"/>
      <c r="HF2" s="143"/>
      <c r="HG2" s="143"/>
      <c r="HH2" s="143"/>
      <c r="HI2" s="143"/>
      <c r="HJ2" s="143"/>
      <c r="HK2" s="143"/>
      <c r="HL2" s="143"/>
      <c r="HM2" s="143"/>
      <c r="HN2" s="143"/>
      <c r="HO2" s="143"/>
      <c r="HP2" s="143"/>
      <c r="HQ2" s="143"/>
      <c r="HR2" s="143"/>
      <c r="HS2" s="143"/>
      <c r="HT2" s="143"/>
      <c r="HU2" s="143"/>
      <c r="HV2" s="143"/>
      <c r="HW2" s="143"/>
      <c r="HX2" s="143"/>
      <c r="HY2" s="143"/>
      <c r="HZ2" s="143"/>
      <c r="IA2" s="143"/>
      <c r="IB2" s="143"/>
      <c r="IC2" s="143"/>
      <c r="ID2" s="143"/>
      <c r="IE2" s="143"/>
      <c r="IF2" s="143"/>
      <c r="IG2" s="143"/>
      <c r="IH2" s="143"/>
      <c r="II2" s="143"/>
      <c r="IJ2" s="143"/>
      <c r="IK2" s="143"/>
      <c r="IL2" s="143"/>
      <c r="IM2" s="143"/>
      <c r="IN2" s="143"/>
      <c r="IO2" s="143"/>
      <c r="IP2" s="143"/>
      <c r="IQ2" s="143"/>
      <c r="IR2" s="143"/>
      <c r="IS2" s="143"/>
      <c r="IT2" s="143"/>
      <c r="IU2" s="143"/>
      <c r="IV2" s="143"/>
      <c r="IW2" s="143"/>
    </row>
    <row r="3" customFormat="false" ht="23.4" hidden="false" customHeight="true" outlineLevel="0" collapsed="false">
      <c r="A3" s="90" t="s">
        <v>169</v>
      </c>
      <c r="B3" s="90"/>
      <c r="C3" s="90"/>
      <c r="D3" s="90"/>
      <c r="E3" s="90"/>
      <c r="F3" s="90"/>
      <c r="G3" s="90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</row>
    <row r="4" customFormat="false" ht="18.6" hidden="false" customHeight="true" outlineLevel="0" collapsed="false">
      <c r="A4" s="90" t="s">
        <v>170</v>
      </c>
      <c r="B4" s="90"/>
      <c r="C4" s="90"/>
      <c r="D4" s="90"/>
      <c r="E4" s="90"/>
      <c r="F4" s="90"/>
      <c r="G4" s="90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  <c r="IW4" s="143"/>
    </row>
    <row r="5" customFormat="false" ht="30" hidden="false" customHeight="true" outlineLevel="0" collapsed="false">
      <c r="A5" s="229"/>
      <c r="B5" s="230"/>
      <c r="C5" s="230"/>
      <c r="D5" s="231" t="s">
        <v>171</v>
      </c>
      <c r="E5" s="232" t="s">
        <v>172</v>
      </c>
      <c r="F5" s="233"/>
      <c r="G5" s="234"/>
    </row>
    <row r="6" customFormat="false" ht="22.2" hidden="false" customHeight="true" outlineLevel="0" collapsed="false">
      <c r="A6" s="235" t="s">
        <v>173</v>
      </c>
      <c r="B6" s="236" t="s">
        <v>174</v>
      </c>
      <c r="C6" s="236" t="s">
        <v>175</v>
      </c>
      <c r="D6" s="237" t="s">
        <v>176</v>
      </c>
      <c r="E6" s="238" t="s">
        <v>177</v>
      </c>
      <c r="F6" s="239" t="s">
        <v>178</v>
      </c>
      <c r="G6" s="239"/>
    </row>
    <row r="7" customFormat="false" ht="24.6" hidden="false" customHeight="true" outlineLevel="0" collapsed="false">
      <c r="A7" s="240"/>
      <c r="B7" s="241"/>
      <c r="C7" s="242"/>
      <c r="D7" s="243" t="s">
        <v>179</v>
      </c>
      <c r="E7" s="243" t="s">
        <v>113</v>
      </c>
      <c r="F7" s="244"/>
      <c r="G7" s="245"/>
    </row>
    <row r="8" customFormat="false" ht="40.2" hidden="false" customHeight="true" outlineLevel="0" collapsed="false">
      <c r="A8" s="240" t="n">
        <v>1</v>
      </c>
      <c r="B8" s="242" t="s">
        <v>55</v>
      </c>
      <c r="C8" s="242" t="s">
        <v>180</v>
      </c>
      <c r="D8" s="246" t="s">
        <v>181</v>
      </c>
      <c r="E8" s="246" t="n">
        <v>0</v>
      </c>
      <c r="F8" s="241"/>
      <c r="G8" s="245"/>
    </row>
    <row r="9" customFormat="false" ht="23.4" hidden="false" customHeight="true" outlineLevel="0" collapsed="false">
      <c r="A9" s="240" t="n">
        <v>2</v>
      </c>
      <c r="B9" s="242" t="s">
        <v>55</v>
      </c>
      <c r="C9" s="242" t="s">
        <v>182</v>
      </c>
      <c r="D9" s="246" t="n">
        <v>42.086</v>
      </c>
      <c r="E9" s="246" t="n">
        <v>0</v>
      </c>
      <c r="F9" s="241" t="s">
        <v>183</v>
      </c>
      <c r="G9" s="245" t="s">
        <v>184</v>
      </c>
    </row>
    <row r="10" customFormat="false" ht="23.4" hidden="false" customHeight="true" outlineLevel="0" collapsed="false">
      <c r="A10" s="240" t="n">
        <v>3</v>
      </c>
      <c r="B10" s="242" t="s">
        <v>55</v>
      </c>
      <c r="C10" s="242" t="s">
        <v>185</v>
      </c>
      <c r="D10" s="246" t="n">
        <v>72.285</v>
      </c>
      <c r="E10" s="246" t="n">
        <f aca="false">D10</f>
        <v>72.285</v>
      </c>
      <c r="F10" s="241" t="s">
        <v>186</v>
      </c>
      <c r="G10" s="245" t="s">
        <v>187</v>
      </c>
    </row>
    <row r="11" customFormat="false" ht="23.4" hidden="false" customHeight="true" outlineLevel="0" collapsed="false">
      <c r="A11" s="240" t="n">
        <v>4</v>
      </c>
      <c r="B11" s="241"/>
      <c r="C11" s="241" t="s">
        <v>188</v>
      </c>
      <c r="D11" s="247" t="n">
        <f aca="false">SUM(D8:D10)</f>
        <v>114.371</v>
      </c>
      <c r="E11" s="247" t="n">
        <f aca="false">SUM(E8:E10)</f>
        <v>72.285</v>
      </c>
      <c r="F11" s="241"/>
      <c r="G11" s="245"/>
    </row>
    <row r="12" customFormat="false" ht="23.4" hidden="false" customHeight="true" outlineLevel="0" collapsed="false">
      <c r="A12" s="248"/>
      <c r="B12" s="249"/>
      <c r="C12" s="250"/>
      <c r="D12" s="251"/>
      <c r="E12" s="251"/>
      <c r="F12" s="249"/>
      <c r="G12" s="252"/>
    </row>
    <row r="13" customFormat="false" ht="23.4" hidden="false" customHeight="true" outlineLevel="0" collapsed="false">
      <c r="A13" s="240" t="n">
        <v>5</v>
      </c>
      <c r="B13" s="253" t="s">
        <v>189</v>
      </c>
      <c r="C13" s="242" t="s">
        <v>190</v>
      </c>
      <c r="D13" s="246"/>
      <c r="E13" s="246"/>
      <c r="F13" s="241" t="s">
        <v>191</v>
      </c>
      <c r="G13" s="245" t="s">
        <v>192</v>
      </c>
    </row>
    <row r="14" customFormat="false" ht="23.4" hidden="false" customHeight="true" outlineLevel="0" collapsed="false">
      <c r="A14" s="240" t="n">
        <v>6</v>
      </c>
      <c r="B14" s="241"/>
      <c r="C14" s="253" t="n">
        <v>1999</v>
      </c>
      <c r="D14" s="246" t="n">
        <v>27.4</v>
      </c>
      <c r="E14" s="246" t="n">
        <v>0</v>
      </c>
      <c r="F14" s="241"/>
      <c r="G14" s="245"/>
    </row>
    <row r="15" customFormat="false" ht="23.4" hidden="false" customHeight="true" outlineLevel="0" collapsed="false">
      <c r="A15" s="240" t="n">
        <v>7</v>
      </c>
      <c r="B15" s="241"/>
      <c r="C15" s="253" t="n">
        <v>2000</v>
      </c>
      <c r="D15" s="246" t="n">
        <v>25</v>
      </c>
      <c r="E15" s="246" t="n">
        <v>0</v>
      </c>
      <c r="F15" s="241"/>
      <c r="G15" s="245"/>
    </row>
    <row r="16" customFormat="false" ht="23.4" hidden="false" customHeight="true" outlineLevel="0" collapsed="false">
      <c r="A16" s="240" t="n">
        <v>8</v>
      </c>
      <c r="B16" s="241"/>
      <c r="C16" s="253" t="n">
        <v>2001</v>
      </c>
      <c r="D16" s="246" t="n">
        <f aca="false">23.5+62.8</f>
        <v>86.3</v>
      </c>
      <c r="E16" s="246" t="n">
        <f aca="false">D16</f>
        <v>86.3</v>
      </c>
      <c r="F16" s="241"/>
      <c r="G16" s="245"/>
    </row>
    <row r="17" customFormat="false" ht="23.4" hidden="false" customHeight="true" outlineLevel="0" collapsed="false">
      <c r="A17" s="240" t="n">
        <v>9</v>
      </c>
      <c r="B17" s="241"/>
      <c r="C17" s="241" t="s">
        <v>188</v>
      </c>
      <c r="D17" s="246" t="n">
        <f aca="false">SUM(D14:D16)</f>
        <v>138.7</v>
      </c>
      <c r="E17" s="246" t="n">
        <f aca="false">SUM(E14:E16)</f>
        <v>86.3</v>
      </c>
      <c r="F17" s="241"/>
      <c r="G17" s="245"/>
    </row>
    <row r="18" customFormat="false" ht="23.4" hidden="false" customHeight="true" outlineLevel="0" collapsed="false">
      <c r="A18" s="240" t="n">
        <v>10</v>
      </c>
      <c r="B18" s="241"/>
      <c r="C18" s="242" t="s">
        <v>193</v>
      </c>
      <c r="D18" s="246" t="n">
        <f aca="false">2.4+1.4</f>
        <v>3.8</v>
      </c>
      <c r="E18" s="246" t="n">
        <f aca="false">D18/D17*E17</f>
        <v>2.36438356164384</v>
      </c>
      <c r="F18" s="241"/>
      <c r="G18" s="245"/>
    </row>
    <row r="19" customFormat="false" ht="23.4" hidden="false" customHeight="true" outlineLevel="0" collapsed="false">
      <c r="A19" s="254" t="n">
        <v>11</v>
      </c>
      <c r="B19" s="255"/>
      <c r="C19" s="255" t="s">
        <v>188</v>
      </c>
      <c r="D19" s="256" t="n">
        <f aca="false">SUM(D17:D18)</f>
        <v>142.5</v>
      </c>
      <c r="E19" s="256" t="n">
        <f aca="false">SUM(E17:E18)</f>
        <v>88.6643835616438</v>
      </c>
      <c r="F19" s="255"/>
      <c r="G19" s="257"/>
    </row>
    <row r="21" customFormat="false" ht="21" hidden="false" customHeight="true" outlineLevel="0" collapsed="false">
      <c r="A21" s="6" t="s">
        <v>113</v>
      </c>
      <c r="B21" s="258" t="s">
        <v>194</v>
      </c>
      <c r="C21" s="5"/>
      <c r="D21" s="259"/>
      <c r="E21" s="259"/>
      <c r="F21" s="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21" hidden="false" customHeight="true" outlineLevel="0" collapsed="false">
      <c r="A22" s="6" t="s">
        <v>195</v>
      </c>
      <c r="B22" s="258" t="s">
        <v>196</v>
      </c>
      <c r="C22" s="5"/>
      <c r="D22" s="259"/>
      <c r="E22" s="259"/>
      <c r="F22" s="6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customFormat="false" ht="21" hidden="false" customHeight="true" outlineLevel="0" collapsed="false">
      <c r="A23" s="5"/>
      <c r="B23" s="5"/>
      <c r="C23" s="5"/>
      <c r="D23" s="259"/>
      <c r="E23" s="259"/>
      <c r="F23" s="6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</row>
    <row r="24" customFormat="false" ht="21" hidden="false" customHeight="true" outlineLevel="0" collapsed="false">
      <c r="A24" s="6"/>
      <c r="B24" s="258"/>
      <c r="C24" s="5"/>
      <c r="D24" s="259"/>
      <c r="E24" s="259"/>
      <c r="F24" s="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</sheetData>
  <mergeCells count="5">
    <mergeCell ref="A1:G1"/>
    <mergeCell ref="A2:G2"/>
    <mergeCell ref="A3:G3"/>
    <mergeCell ref="A4:G4"/>
    <mergeCell ref="F6:G6"/>
  </mergeCells>
  <printOptions headings="false" gridLines="false" gridLinesSet="true" horizontalCentered="true" verticalCentered="false"/>
  <pageMargins left="0.747916666666667" right="0.747916666666667" top="0.359722222222222" bottom="0.55" header="0.511811023622047" footer="0.279861111111111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&amp;C&amp;"Times New Roman,Regular"4-33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8" activeCellId="0" sqref="I38"/>
    </sheetView>
  </sheetViews>
  <sheetFormatPr defaultColWidth="7.2109375" defaultRowHeight="13.2" customHeight="true" zeroHeight="false" outlineLevelRow="0" outlineLevelCol="0"/>
  <cols>
    <col collapsed="false" customWidth="true" hidden="false" outlineLevel="0" max="1" min="1" style="5" width="11.66"/>
    <col collapsed="false" customWidth="true" hidden="false" outlineLevel="0" max="2" min="2" style="6" width="1.87"/>
    <col collapsed="false" customWidth="true" hidden="false" outlineLevel="0" max="3" min="3" style="5" width="10.1"/>
    <col collapsed="false" customWidth="true" hidden="false" outlineLevel="0" max="4" min="4" style="5" width="10.77"/>
    <col collapsed="false" customWidth="true" hidden="false" outlineLevel="0" max="5" min="5" style="5" width="11.66"/>
    <col collapsed="false" customWidth="true" hidden="false" outlineLevel="0" max="6" min="6" style="5" width="1.32"/>
    <col collapsed="false" customWidth="true" hidden="false" outlineLevel="0" max="7" min="7" style="5" width="10.1"/>
    <col collapsed="false" customWidth="true" hidden="false" outlineLevel="0" max="8" min="8" style="5" width="8.43"/>
    <col collapsed="false" customWidth="true" hidden="false" outlineLevel="0" max="10" min="9" style="5" width="10.32"/>
    <col collapsed="false" customWidth="true" hidden="false" outlineLevel="0" max="11" min="11" style="5" width="10.66"/>
    <col collapsed="false" customWidth="true" hidden="false" outlineLevel="0" max="12" min="12" style="5" width="7.66"/>
    <col collapsed="false" customWidth="true" hidden="false" outlineLevel="0" max="13" min="13" style="5" width="8.43"/>
    <col collapsed="false" customWidth="true" hidden="false" outlineLevel="0" max="14" min="14" style="5" width="10.1"/>
    <col collapsed="false" customWidth="true" hidden="false" outlineLevel="0" max="15" min="15" style="5" width="8.43"/>
    <col collapsed="false" customWidth="true" hidden="false" outlineLevel="0" max="16" min="16" style="5" width="7.88"/>
    <col collapsed="false" customWidth="true" hidden="false" outlineLevel="0" max="17" min="17" style="5" width="10.2"/>
    <col collapsed="false" customWidth="true" hidden="false" outlineLevel="0" max="18" min="18" style="5" width="2.55"/>
    <col collapsed="false" customWidth="false" hidden="false" outlineLevel="0" max="19" min="19" style="5" width="7.21"/>
    <col collapsed="false" customWidth="true" hidden="false" outlineLevel="0" max="20" min="20" style="5" width="7.99"/>
    <col collapsed="false" customWidth="true" hidden="false" outlineLevel="0" max="21" min="21" style="5" width="2.55"/>
    <col collapsed="false" customWidth="true" hidden="false" outlineLevel="0" max="22" min="22" style="5" width="9.87"/>
    <col collapsed="false" customWidth="true" hidden="false" outlineLevel="0" max="23" min="23" style="5" width="8.76"/>
    <col collapsed="false" customWidth="true" hidden="false" outlineLevel="0" max="24" min="24" style="5" width="10.32"/>
    <col collapsed="false" customWidth="true" hidden="false" outlineLevel="0" max="25" min="25" style="5" width="8.87"/>
    <col collapsed="false" customWidth="true" hidden="false" outlineLevel="0" max="26" min="26" style="5" width="10.2"/>
    <col collapsed="false" customWidth="true" hidden="false" outlineLevel="0" max="27" min="27" style="5" width="9.1"/>
    <col collapsed="false" customWidth="true" hidden="false" outlineLevel="0" max="28" min="28" style="5" width="8.66"/>
    <col collapsed="false" customWidth="true" hidden="false" outlineLevel="0" max="29" min="29" style="5" width="9.99"/>
    <col collapsed="false" customWidth="true" hidden="false" outlineLevel="0" max="30" min="30" style="5" width="6.99"/>
    <col collapsed="false" customWidth="true" hidden="false" outlineLevel="0" max="31" min="31" style="5" width="8.76"/>
    <col collapsed="false" customWidth="true" hidden="false" outlineLevel="0" max="32" min="32" style="5" width="9.55"/>
    <col collapsed="false" customWidth="true" hidden="false" outlineLevel="0" max="33" min="33" style="5" width="8.55"/>
    <col collapsed="false" customWidth="true" hidden="false" outlineLevel="0" max="34" min="34" style="5" width="7.76"/>
    <col collapsed="false" customWidth="false" hidden="false" outlineLevel="0" max="39" min="35" style="5" width="7.21"/>
    <col collapsed="false" customWidth="true" hidden="true" outlineLevel="0" max="40" min="40" style="5" width="8.1"/>
    <col collapsed="false" customWidth="false" hidden="false" outlineLevel="0" max="257" min="41" style="5" width="7.21"/>
  </cols>
  <sheetData>
    <row r="1" customFormat="false" ht="14.4" hidden="false" customHeight="false" outlineLevel="0" collapsed="false">
      <c r="A1" s="7"/>
      <c r="B1" s="8" t="s">
        <v>41</v>
      </c>
      <c r="C1" s="9"/>
      <c r="D1" s="10" t="s">
        <v>42</v>
      </c>
      <c r="E1" s="11" t="s">
        <v>42</v>
      </c>
      <c r="F1" s="12"/>
      <c r="G1" s="13" t="s">
        <v>43</v>
      </c>
      <c r="H1" s="14"/>
      <c r="I1" s="10"/>
      <c r="J1" s="15" t="str">
        <f aca="false">'[1]For rate design'!J1</f>
        <v>Option 3</v>
      </c>
      <c r="K1" s="16"/>
      <c r="L1" s="14"/>
      <c r="M1" s="17" t="s">
        <v>44</v>
      </c>
      <c r="N1" s="10" t="s">
        <v>45</v>
      </c>
      <c r="O1" s="18"/>
      <c r="P1" s="18"/>
      <c r="Q1" s="11" t="s">
        <v>46</v>
      </c>
      <c r="R1" s="12"/>
      <c r="S1" s="19" t="s">
        <v>47</v>
      </c>
      <c r="T1" s="11" t="s">
        <v>47</v>
      </c>
      <c r="U1" s="12"/>
      <c r="V1" s="19"/>
      <c r="W1" s="10"/>
      <c r="X1" s="10"/>
      <c r="Y1" s="10"/>
      <c r="Z1" s="10" t="s">
        <v>48</v>
      </c>
      <c r="AA1" s="10" t="s">
        <v>49</v>
      </c>
      <c r="AB1" s="10" t="s">
        <v>44</v>
      </c>
      <c r="AC1" s="10" t="s">
        <v>45</v>
      </c>
      <c r="AD1" s="10"/>
      <c r="AE1" s="10"/>
      <c r="AF1" s="10" t="s">
        <v>46</v>
      </c>
      <c r="AG1" s="20" t="s">
        <v>50</v>
      </c>
      <c r="AH1" s="11" t="s">
        <v>50</v>
      </c>
      <c r="AI1" s="12"/>
      <c r="AJ1" s="21"/>
      <c r="AK1" s="12"/>
      <c r="AL1" s="22"/>
      <c r="AM1" s="12"/>
      <c r="AN1" s="23"/>
      <c r="AO1" s="24"/>
      <c r="AP1" s="23"/>
      <c r="AQ1" s="22"/>
      <c r="AR1" s="12"/>
      <c r="AS1" s="21"/>
      <c r="AT1" s="12"/>
      <c r="AU1" s="21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13.2" hidden="false" customHeight="false" outlineLevel="0" collapsed="false">
      <c r="A2" s="25"/>
      <c r="B2" s="26" t="s">
        <v>51</v>
      </c>
      <c r="C2" s="27"/>
      <c r="D2" s="12" t="s">
        <v>52</v>
      </c>
      <c r="E2" s="28" t="s">
        <v>52</v>
      </c>
      <c r="F2" s="12"/>
      <c r="G2" s="29" t="s">
        <v>42</v>
      </c>
      <c r="H2" s="12" t="s">
        <v>53</v>
      </c>
      <c r="I2" s="12" t="s">
        <v>54</v>
      </c>
      <c r="J2" s="12" t="s">
        <v>55</v>
      </c>
      <c r="K2" s="30" t="s">
        <v>56</v>
      </c>
      <c r="L2" s="12" t="s">
        <v>57</v>
      </c>
      <c r="M2" s="31" t="s">
        <v>58</v>
      </c>
      <c r="N2" s="12" t="s">
        <v>59</v>
      </c>
      <c r="O2" s="31" t="s">
        <v>60</v>
      </c>
      <c r="P2" s="31" t="s">
        <v>61</v>
      </c>
      <c r="Q2" s="28" t="s">
        <v>62</v>
      </c>
      <c r="R2" s="12"/>
      <c r="S2" s="32" t="n">
        <v>35226</v>
      </c>
      <c r="T2" s="33" t="n">
        <v>36161</v>
      </c>
      <c r="U2" s="12"/>
      <c r="V2" s="34" t="s">
        <v>43</v>
      </c>
      <c r="W2" s="12" t="s">
        <v>53</v>
      </c>
      <c r="X2" s="12" t="s">
        <v>54</v>
      </c>
      <c r="Y2" s="12" t="s">
        <v>55</v>
      </c>
      <c r="Z2" s="12" t="s">
        <v>63</v>
      </c>
      <c r="AA2" s="12" t="s">
        <v>64</v>
      </c>
      <c r="AB2" s="12" t="s">
        <v>58</v>
      </c>
      <c r="AC2" s="12" t="s">
        <v>59</v>
      </c>
      <c r="AD2" s="12" t="s">
        <v>60</v>
      </c>
      <c r="AE2" s="12" t="s">
        <v>61</v>
      </c>
      <c r="AF2" s="12" t="s">
        <v>62</v>
      </c>
      <c r="AG2" s="30" t="s">
        <v>65</v>
      </c>
      <c r="AH2" s="28" t="s">
        <v>65</v>
      </c>
      <c r="AI2" s="22"/>
      <c r="AJ2" s="22"/>
      <c r="AK2" s="22"/>
      <c r="AL2" s="12"/>
      <c r="AM2" s="22"/>
      <c r="AN2" s="12"/>
      <c r="AO2" s="22"/>
      <c r="AP2" s="30"/>
      <c r="AQ2" s="22"/>
      <c r="AR2" s="12"/>
      <c r="AS2" s="31"/>
      <c r="AT2" s="12"/>
      <c r="AU2" s="12"/>
      <c r="AV2" s="30"/>
      <c r="AW2" s="12"/>
      <c r="AX2" s="12"/>
      <c r="AY2" s="12"/>
      <c r="AZ2" s="30"/>
      <c r="BA2" s="12"/>
      <c r="BB2" s="31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3.2" hidden="false" customHeight="false" outlineLevel="0" collapsed="false">
      <c r="A3" s="35" t="s">
        <v>66</v>
      </c>
      <c r="B3" s="36" t="s">
        <v>67</v>
      </c>
      <c r="C3" s="27" t="s">
        <v>68</v>
      </c>
      <c r="D3" s="12" t="s">
        <v>69</v>
      </c>
      <c r="E3" s="28" t="s">
        <v>70</v>
      </c>
      <c r="F3" s="12"/>
      <c r="G3" s="29" t="s">
        <v>71</v>
      </c>
      <c r="H3" s="12" t="s">
        <v>42</v>
      </c>
      <c r="I3" s="12" t="s">
        <v>42</v>
      </c>
      <c r="J3" s="12" t="s">
        <v>42</v>
      </c>
      <c r="K3" s="30" t="s">
        <v>42</v>
      </c>
      <c r="L3" s="12" t="s">
        <v>42</v>
      </c>
      <c r="M3" s="31" t="s">
        <v>42</v>
      </c>
      <c r="N3" s="12" t="s">
        <v>42</v>
      </c>
      <c r="O3" s="31" t="s">
        <v>42</v>
      </c>
      <c r="P3" s="31" t="s">
        <v>42</v>
      </c>
      <c r="Q3" s="28" t="s">
        <v>72</v>
      </c>
      <c r="R3" s="12"/>
      <c r="S3" s="34" t="s">
        <v>73</v>
      </c>
      <c r="T3" s="28" t="s">
        <v>73</v>
      </c>
      <c r="U3" s="12"/>
      <c r="V3" s="34" t="s">
        <v>73</v>
      </c>
      <c r="W3" s="12" t="s">
        <v>73</v>
      </c>
      <c r="X3" s="12" t="s">
        <v>73</v>
      </c>
      <c r="Y3" s="12" t="s">
        <v>73</v>
      </c>
      <c r="Z3" s="12" t="s">
        <v>73</v>
      </c>
      <c r="AA3" s="12" t="s">
        <v>73</v>
      </c>
      <c r="AB3" s="12" t="s">
        <v>73</v>
      </c>
      <c r="AC3" s="12" t="s">
        <v>73</v>
      </c>
      <c r="AD3" s="12" t="s">
        <v>73</v>
      </c>
      <c r="AE3" s="12" t="s">
        <v>73</v>
      </c>
      <c r="AF3" s="12" t="s">
        <v>72</v>
      </c>
      <c r="AG3" s="30" t="s">
        <v>74</v>
      </c>
      <c r="AH3" s="28" t="s">
        <v>75</v>
      </c>
      <c r="AI3" s="22"/>
      <c r="AJ3" s="22"/>
      <c r="AK3" s="22"/>
      <c r="AL3" s="12"/>
      <c r="AM3" s="22"/>
      <c r="AN3" s="12"/>
      <c r="AO3" s="22"/>
      <c r="AP3" s="30"/>
      <c r="AQ3" s="22"/>
      <c r="AR3" s="12"/>
      <c r="AS3" s="31"/>
      <c r="AT3" s="12"/>
      <c r="AU3" s="12"/>
      <c r="AV3" s="30"/>
      <c r="AW3" s="12"/>
      <c r="AX3" s="12"/>
      <c r="AY3" s="12"/>
      <c r="AZ3" s="30"/>
      <c r="BA3" s="12"/>
      <c r="BB3" s="31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3.2" hidden="false" customHeight="false" outlineLevel="0" collapsed="false">
      <c r="A4" s="37"/>
      <c r="B4" s="38" t="s">
        <v>76</v>
      </c>
      <c r="C4" s="39" t="s">
        <v>77</v>
      </c>
      <c r="D4" s="40" t="s">
        <v>78</v>
      </c>
      <c r="E4" s="41" t="s">
        <v>79</v>
      </c>
      <c r="F4" s="12"/>
      <c r="G4" s="42" t="s">
        <v>80</v>
      </c>
      <c r="H4" s="40" t="s">
        <v>81</v>
      </c>
      <c r="I4" s="40" t="s">
        <v>82</v>
      </c>
      <c r="J4" s="40" t="s">
        <v>83</v>
      </c>
      <c r="K4" s="43" t="s">
        <v>84</v>
      </c>
      <c r="L4" s="40" t="s">
        <v>85</v>
      </c>
      <c r="M4" s="40" t="s">
        <v>86</v>
      </c>
      <c r="N4" s="40" t="s">
        <v>87</v>
      </c>
      <c r="O4" s="40" t="s">
        <v>88</v>
      </c>
      <c r="P4" s="40" t="s">
        <v>89</v>
      </c>
      <c r="Q4" s="41" t="s">
        <v>90</v>
      </c>
      <c r="R4" s="12"/>
      <c r="S4" s="44" t="s">
        <v>77</v>
      </c>
      <c r="T4" s="41" t="s">
        <v>78</v>
      </c>
      <c r="U4" s="22"/>
      <c r="V4" s="44" t="s">
        <v>79</v>
      </c>
      <c r="W4" s="40" t="s">
        <v>80</v>
      </c>
      <c r="X4" s="40" t="s">
        <v>81</v>
      </c>
      <c r="Y4" s="43" t="s">
        <v>82</v>
      </c>
      <c r="Z4" s="40" t="s">
        <v>83</v>
      </c>
      <c r="AA4" s="40" t="s">
        <v>84</v>
      </c>
      <c r="AB4" s="40" t="s">
        <v>85</v>
      </c>
      <c r="AC4" s="40" t="s">
        <v>86</v>
      </c>
      <c r="AD4" s="40" t="s">
        <v>87</v>
      </c>
      <c r="AE4" s="40" t="s">
        <v>88</v>
      </c>
      <c r="AF4" s="45" t="s">
        <v>89</v>
      </c>
      <c r="AG4" s="40" t="s">
        <v>90</v>
      </c>
      <c r="AH4" s="46" t="s">
        <v>91</v>
      </c>
      <c r="AI4" s="22"/>
      <c r="AJ4" s="22"/>
      <c r="AK4" s="22"/>
      <c r="AL4" s="12"/>
      <c r="AM4" s="22"/>
      <c r="AN4" s="12"/>
      <c r="AO4" s="22"/>
      <c r="AP4" s="30"/>
      <c r="AQ4" s="22"/>
      <c r="AR4" s="12"/>
      <c r="AS4" s="31"/>
      <c r="AT4" s="12"/>
      <c r="AU4" s="12"/>
      <c r="AV4" s="30"/>
      <c r="AW4" s="12"/>
      <c r="AX4" s="12"/>
      <c r="AY4" s="12"/>
      <c r="AZ4" s="30"/>
      <c r="BA4" s="12"/>
      <c r="BB4" s="31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6" customFormat="false" ht="13.2" hidden="false" customHeight="false" outlineLevel="0" collapsed="false">
      <c r="A6" s="5" t="s">
        <v>92</v>
      </c>
      <c r="B6" s="47"/>
      <c r="C6" s="48" t="n">
        <v>26849999999</v>
      </c>
      <c r="D6" s="49" t="n">
        <v>2872947678.74415</v>
      </c>
      <c r="E6" s="49" t="n">
        <v>3192164087.49349</v>
      </c>
      <c r="F6" s="49" t="n">
        <v>0</v>
      </c>
      <c r="G6" s="49" t="n">
        <v>903791586.836467</v>
      </c>
      <c r="H6" s="49" t="n">
        <v>237137288.950952</v>
      </c>
      <c r="I6" s="49" t="n">
        <v>142194562.59719</v>
      </c>
      <c r="J6" s="49" t="n">
        <v>1050501547.84829</v>
      </c>
      <c r="K6" s="49" t="n">
        <v>93475121.5886564</v>
      </c>
      <c r="L6" s="49" t="n">
        <v>11303463.6370701</v>
      </c>
      <c r="M6" s="49" t="n">
        <v>92978837.092709</v>
      </c>
      <c r="N6" s="49" t="n">
        <v>2531382408.55133</v>
      </c>
      <c r="O6" s="49" t="n">
        <v>296053469.988974</v>
      </c>
      <c r="P6" s="49" t="n">
        <v>-45842542.3963548</v>
      </c>
      <c r="Q6" s="49" t="n">
        <v>2781593336.14395</v>
      </c>
      <c r="R6" s="48" t="n">
        <v>0</v>
      </c>
      <c r="S6" s="50" t="n">
        <v>11.8888792834726</v>
      </c>
      <c r="T6" s="50" t="n">
        <v>10.6999913551253</v>
      </c>
      <c r="U6" s="50"/>
      <c r="V6" s="50" t="n">
        <v>3.36607667363176</v>
      </c>
      <c r="W6" s="50" t="n">
        <v>0.883192882531782</v>
      </c>
      <c r="X6" s="50" t="n">
        <v>0.529588687532537</v>
      </c>
      <c r="Y6" s="50" t="n">
        <v>3.91248248747639</v>
      </c>
      <c r="Z6" s="50" t="n">
        <v>0.3481382554642</v>
      </c>
      <c r="AA6" s="50" t="n">
        <v>0.0420985610334865</v>
      </c>
      <c r="AB6" s="50" t="n">
        <v>0.346289896075128</v>
      </c>
      <c r="AC6" s="50" t="n">
        <v>9.42786744374528</v>
      </c>
      <c r="AD6" s="50" t="n">
        <v>1.10262</v>
      </c>
      <c r="AE6" s="50" t="n">
        <v>-0.170735725877326</v>
      </c>
      <c r="AF6" s="50" t="n">
        <v>10.359751717868</v>
      </c>
      <c r="AG6" s="51" t="n">
        <v>-0.1286183103676</v>
      </c>
      <c r="AH6" s="51" t="n">
        <v>-0.0317981226306671</v>
      </c>
      <c r="AI6" s="50"/>
      <c r="AJ6" s="48"/>
      <c r="AK6" s="48"/>
      <c r="AL6" s="48"/>
      <c r="AM6" s="48" t="n">
        <f aca="false">'[1]For rate design'!AM10</f>
        <v>0</v>
      </c>
      <c r="AN6" s="48" t="n">
        <f aca="false">'[1]For rate design'!AN10</f>
        <v>1002244329.82795</v>
      </c>
    </row>
    <row r="7" customFormat="false" ht="13.2" hidden="false" customHeight="false" outlineLevel="0" collapsed="false">
      <c r="B7" s="52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8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  <c r="AH7" s="51"/>
      <c r="AI7" s="50"/>
      <c r="AJ7" s="48"/>
      <c r="AK7" s="48"/>
      <c r="AL7" s="48"/>
      <c r="AM7" s="48"/>
      <c r="AN7" s="48"/>
    </row>
    <row r="8" customFormat="false" ht="13.2" hidden="false" customHeight="false" outlineLevel="0" collapsed="false">
      <c r="A8" s="5" t="s">
        <v>93</v>
      </c>
      <c r="B8" s="52"/>
      <c r="C8" s="48" t="n">
        <v>7341842982.42627</v>
      </c>
      <c r="D8" s="49" t="n">
        <v>827131406.940104</v>
      </c>
      <c r="E8" s="49" t="n">
        <v>918984728.822074</v>
      </c>
      <c r="F8" s="49" t="n">
        <v>0</v>
      </c>
      <c r="G8" s="49" t="n">
        <v>260347119.258394</v>
      </c>
      <c r="H8" s="49" t="n">
        <v>64732669.7066883</v>
      </c>
      <c r="I8" s="49" t="n">
        <v>38189397.792685</v>
      </c>
      <c r="J8" s="49" t="n">
        <v>296233469.78587</v>
      </c>
      <c r="K8" s="49" t="n">
        <v>26956616.3933139</v>
      </c>
      <c r="L8" s="49" t="n">
        <v>3090810.24893947</v>
      </c>
      <c r="M8" s="49" t="n">
        <v>24971338.3047862</v>
      </c>
      <c r="N8" s="49" t="n">
        <v>714521421.490677</v>
      </c>
      <c r="O8" s="49" t="n">
        <v>84603370.7915784</v>
      </c>
      <c r="P8" s="49" t="n">
        <v>-13100449.7685229</v>
      </c>
      <c r="Q8" s="49" t="n">
        <v>786024342.513732</v>
      </c>
      <c r="R8" s="48" t="n">
        <v>0</v>
      </c>
      <c r="S8" s="50" t="n">
        <v>12.5170850292194</v>
      </c>
      <c r="T8" s="50" t="n">
        <v>11.2659915081262</v>
      </c>
      <c r="U8" s="50"/>
      <c r="V8" s="50" t="n">
        <v>3.54607310291941</v>
      </c>
      <c r="W8" s="50" t="n">
        <v>0.881695098378364</v>
      </c>
      <c r="X8" s="50" t="n">
        <v>0.520160917144328</v>
      </c>
      <c r="Y8" s="50" t="n">
        <v>4.03486523063686</v>
      </c>
      <c r="Z8" s="50" t="n">
        <v>0.367164163791548</v>
      </c>
      <c r="AA8" s="50" t="n">
        <v>0.0420985610334865</v>
      </c>
      <c r="AB8" s="50" t="n">
        <v>0.340123567945523</v>
      </c>
      <c r="AC8" s="50" t="n">
        <v>9.73218064184951</v>
      </c>
      <c r="AD8" s="50" t="n">
        <v>1.15234513996129</v>
      </c>
      <c r="AE8" s="50" t="n">
        <v>-0.178435439165352</v>
      </c>
      <c r="AF8" s="50" t="n">
        <v>10.7060903426455</v>
      </c>
      <c r="AG8" s="51" t="n">
        <v>-0.144681823471394</v>
      </c>
      <c r="AH8" s="51" t="n">
        <v>-0.0496983479063423</v>
      </c>
      <c r="AI8" s="50"/>
      <c r="AJ8" s="48"/>
      <c r="AK8" s="48"/>
      <c r="AL8" s="48"/>
      <c r="AM8" s="48" t="n">
        <f aca="false">'[1]For rate design'!AM14+'[1]For rate design'!AM15+'[1]For rate design'!AM16</f>
        <v>0</v>
      </c>
      <c r="AN8" s="48" t="n">
        <f aca="false">'[1]For rate design'!AN14+'[1]For rate design'!AN15+'[1]For rate design'!AN16</f>
        <v>265445768.89871</v>
      </c>
    </row>
    <row r="9" customFormat="false" ht="13.2" hidden="false" customHeight="false" outlineLevel="0" collapsed="false">
      <c r="B9" s="52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8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1"/>
      <c r="AH9" s="51"/>
      <c r="AI9" s="50"/>
      <c r="AJ9" s="48"/>
      <c r="AK9" s="48"/>
      <c r="AL9" s="48"/>
      <c r="AM9" s="48"/>
      <c r="AN9" s="48"/>
    </row>
    <row r="10" customFormat="false" ht="13.2" hidden="false" customHeight="false" outlineLevel="0" collapsed="false">
      <c r="A10" s="5" t="s">
        <v>94</v>
      </c>
      <c r="B10" s="52"/>
      <c r="C10" s="48" t="n">
        <v>17321063452.8251</v>
      </c>
      <c r="D10" s="49" t="n">
        <v>1662091668.5054</v>
      </c>
      <c r="E10" s="49" t="n">
        <v>1665401013.22033</v>
      </c>
      <c r="F10" s="49" t="n">
        <v>0</v>
      </c>
      <c r="G10" s="49" t="n">
        <v>606868775.652504</v>
      </c>
      <c r="H10" s="49" t="n">
        <v>130438063.797489</v>
      </c>
      <c r="I10" s="49" t="n">
        <v>86684162.3378686</v>
      </c>
      <c r="J10" s="49" t="n">
        <v>363820730.382188</v>
      </c>
      <c r="K10" s="49" t="n">
        <v>50379737.8238986</v>
      </c>
      <c r="L10" s="49" t="n">
        <v>7291918.46933649</v>
      </c>
      <c r="M10" s="49" t="n">
        <v>56681243.0292806</v>
      </c>
      <c r="N10" s="49" t="n">
        <v>1302164631.49257</v>
      </c>
      <c r="O10" s="49" t="n">
        <v>3414506.03982828</v>
      </c>
      <c r="P10" s="49" t="n">
        <v>-528720.835122341</v>
      </c>
      <c r="Q10" s="49" t="n">
        <v>1305050416.69727</v>
      </c>
      <c r="R10" s="48" t="n">
        <v>0</v>
      </c>
      <c r="S10" s="50" t="n">
        <v>9.61488893425132</v>
      </c>
      <c r="T10" s="50" t="n">
        <v>9.5957830362564</v>
      </c>
      <c r="U10" s="50"/>
      <c r="V10" s="50" t="n">
        <v>3.50364616644554</v>
      </c>
      <c r="W10" s="50" t="n">
        <v>0.75306036579535</v>
      </c>
      <c r="X10" s="50" t="n">
        <v>0.500455197649717</v>
      </c>
      <c r="Y10" s="50" t="n">
        <v>2.10045261581701</v>
      </c>
      <c r="Z10" s="50" t="n">
        <v>0.290858225657511</v>
      </c>
      <c r="AA10" s="50" t="n">
        <v>0.0420985610334865</v>
      </c>
      <c r="AB10" s="50" t="n">
        <v>0.327238816390548</v>
      </c>
      <c r="AC10" s="50" t="n">
        <v>7.51780994878916</v>
      </c>
      <c r="AD10" s="50" t="n">
        <v>0.0197130277198504</v>
      </c>
      <c r="AE10" s="50" t="n">
        <v>-0.00305247328815776</v>
      </c>
      <c r="AF10" s="50" t="n">
        <v>7.53447050322085</v>
      </c>
      <c r="AG10" s="51" t="n">
        <v>-0.216374671122758</v>
      </c>
      <c r="AH10" s="51" t="n">
        <v>-0.214814416420958</v>
      </c>
      <c r="AI10" s="50"/>
      <c r="AJ10" s="48"/>
      <c r="AK10" s="48"/>
      <c r="AL10" s="48"/>
      <c r="AM10" s="48" t="n">
        <f aca="false">'[1]For rate design'!AM28</f>
        <v>0</v>
      </c>
      <c r="AN10" s="48" t="n">
        <f aca="false">'[1]For rate design'!AN28</f>
        <v>365226550.098424</v>
      </c>
    </row>
    <row r="11" customFormat="false" ht="13.2" hidden="false" customHeight="false" outlineLevel="0" collapsed="false">
      <c r="B11" s="52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8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1"/>
      <c r="AH11" s="51"/>
      <c r="AI11" s="50"/>
      <c r="AJ11" s="48"/>
      <c r="AK11" s="48"/>
      <c r="AL11" s="48"/>
      <c r="AM11" s="48"/>
      <c r="AN11" s="48"/>
    </row>
    <row r="12" customFormat="false" ht="13.2" hidden="false" customHeight="false" outlineLevel="0" collapsed="false">
      <c r="A12" s="5" t="s">
        <v>95</v>
      </c>
      <c r="B12" s="52"/>
      <c r="C12" s="48" t="n">
        <v>3548799999</v>
      </c>
      <c r="D12" s="49" t="n">
        <v>388432628.232801</v>
      </c>
      <c r="E12" s="49" t="n">
        <v>388432628.232801</v>
      </c>
      <c r="F12" s="49" t="n">
        <v>0</v>
      </c>
      <c r="G12" s="49" t="n">
        <v>122773186.048886</v>
      </c>
      <c r="H12" s="49" t="n">
        <v>32961589.5816397</v>
      </c>
      <c r="I12" s="49" t="n">
        <v>14966001.4875308</v>
      </c>
      <c r="J12" s="49" t="n">
        <v>149963366.82172</v>
      </c>
      <c r="K12" s="49" t="n">
        <v>11563493.23656</v>
      </c>
      <c r="L12" s="49" t="n">
        <v>1493993.73353538</v>
      </c>
      <c r="M12" s="49" t="n">
        <v>9786038.14957595</v>
      </c>
      <c r="N12" s="49" t="n">
        <v>343507669.059448</v>
      </c>
      <c r="O12" s="49" t="n">
        <v>0</v>
      </c>
      <c r="P12" s="49" t="n">
        <v>0</v>
      </c>
      <c r="Q12" s="49" t="n">
        <v>343507669.059448</v>
      </c>
      <c r="R12" s="48" t="n">
        <v>0</v>
      </c>
      <c r="S12" s="50" t="n">
        <v>10.9454640538282</v>
      </c>
      <c r="T12" s="50" t="n">
        <v>10.9454640538282</v>
      </c>
      <c r="U12" s="50"/>
      <c r="V12" s="50" t="n">
        <v>3.4595690397735</v>
      </c>
      <c r="W12" s="50" t="n">
        <v>0.928809445190707</v>
      </c>
      <c r="X12" s="50" t="n">
        <v>0.421720060069545</v>
      </c>
      <c r="Y12" s="50" t="n">
        <v>4.22574861541865</v>
      </c>
      <c r="Z12" s="50" t="n">
        <v>0.325842347830772</v>
      </c>
      <c r="AA12" s="50" t="n">
        <v>0.0420985610334865</v>
      </c>
      <c r="AB12" s="50" t="n">
        <v>0.275756259928244</v>
      </c>
      <c r="AC12" s="50" t="n">
        <v>9.6795443292449</v>
      </c>
      <c r="AD12" s="50" t="n">
        <v>0</v>
      </c>
      <c r="AE12" s="50" t="n">
        <v>0</v>
      </c>
      <c r="AF12" s="50" t="n">
        <v>9.6795443292449</v>
      </c>
      <c r="AG12" s="51" t="n">
        <v>-0.115657017222633</v>
      </c>
      <c r="AH12" s="51" t="n">
        <v>-0.115657017222633</v>
      </c>
      <c r="AI12" s="50"/>
      <c r="AJ12" s="48"/>
      <c r="AK12" s="48"/>
      <c r="AL12" s="48"/>
      <c r="AM12" s="48" t="n">
        <f aca="false">'[1]For rate design'!AM89</f>
        <v>0</v>
      </c>
      <c r="AN12" s="48" t="n">
        <f aca="false">'[1]For rate design'!AN89</f>
        <v>133359561.387986</v>
      </c>
    </row>
    <row r="13" customFormat="false" ht="13.2" hidden="false" customHeight="false" outlineLevel="0" collapsed="false">
      <c r="B13" s="52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8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1"/>
      <c r="AH13" s="51"/>
      <c r="AI13" s="50"/>
      <c r="AJ13" s="48"/>
      <c r="AK13" s="48"/>
      <c r="AL13" s="48"/>
      <c r="AM13" s="48"/>
      <c r="AN13" s="48"/>
    </row>
    <row r="14" customFormat="false" ht="13.2" hidden="false" customHeight="false" outlineLevel="0" collapsed="false">
      <c r="A14" s="5" t="s">
        <v>96</v>
      </c>
      <c r="B14" s="52" t="s">
        <v>97</v>
      </c>
      <c r="C14" s="48" t="n">
        <v>5918732.00060734</v>
      </c>
      <c r="D14" s="49" t="n">
        <v>484374.375930127</v>
      </c>
      <c r="E14" s="49" t="n">
        <v>484374.375930127</v>
      </c>
      <c r="F14" s="49" t="n">
        <v>0</v>
      </c>
      <c r="G14" s="49" t="n">
        <v>197828.49013299</v>
      </c>
      <c r="H14" s="49" t="n">
        <v>35852.6541885278</v>
      </c>
      <c r="I14" s="49" t="n">
        <v>22652.7868421179</v>
      </c>
      <c r="J14" s="49" t="n">
        <v>52140.2288578753</v>
      </c>
      <c r="K14" s="49" t="n">
        <v>14988.0107267826</v>
      </c>
      <c r="L14" s="49" t="n">
        <v>2491.70100368418</v>
      </c>
      <c r="M14" s="49" t="n">
        <v>14812.3088465463</v>
      </c>
      <c r="N14" s="49" t="n">
        <v>340766.180598524</v>
      </c>
      <c r="O14" s="49" t="n">
        <v>0</v>
      </c>
      <c r="P14" s="49" t="n">
        <v>0</v>
      </c>
      <c r="Q14" s="49" t="n">
        <v>340766.180598524</v>
      </c>
      <c r="R14" s="48" t="n">
        <v>0</v>
      </c>
      <c r="S14" s="50" t="n">
        <v>8.18375246387948</v>
      </c>
      <c r="T14" s="50" t="n">
        <v>8.18375246387948</v>
      </c>
      <c r="U14" s="50"/>
      <c r="V14" s="50" t="n">
        <v>3.34241337693091</v>
      </c>
      <c r="W14" s="50" t="n">
        <v>0.605748903394322</v>
      </c>
      <c r="X14" s="50" t="n">
        <v>0.382730403062571</v>
      </c>
      <c r="Y14" s="50" t="n">
        <v>0.880935795919211</v>
      </c>
      <c r="Z14" s="50" t="n">
        <v>0.253230095994288</v>
      </c>
      <c r="AA14" s="50" t="n">
        <v>0.0420985610334865</v>
      </c>
      <c r="AB14" s="50" t="n">
        <v>0.250261522992194</v>
      </c>
      <c r="AC14" s="50" t="n">
        <v>5.75741865932698</v>
      </c>
      <c r="AD14" s="50" t="n">
        <v>0</v>
      </c>
      <c r="AE14" s="50" t="n">
        <v>0</v>
      </c>
      <c r="AF14" s="50" t="n">
        <v>5.75741865932698</v>
      </c>
      <c r="AG14" s="51" t="n">
        <v>-0.29648181751117</v>
      </c>
      <c r="AH14" s="51" t="n">
        <v>-0.29648181751117</v>
      </c>
      <c r="AI14" s="50"/>
      <c r="AJ14" s="48"/>
      <c r="AK14" s="48"/>
      <c r="AL14" s="48"/>
      <c r="AM14" s="48" t="n">
        <f aca="false">'[1]For rate design'!AM50</f>
        <v>0</v>
      </c>
      <c r="AN14" s="48" t="n">
        <f aca="false">'[1]For rate design'!AN50</f>
        <v>76354.4861926776</v>
      </c>
    </row>
    <row r="15" customFormat="false" ht="13.2" hidden="false" customHeight="false" outlineLevel="0" collapsed="false">
      <c r="B15" s="52" t="s">
        <v>98</v>
      </c>
      <c r="C15" s="48" t="n">
        <v>534824662.285547</v>
      </c>
      <c r="D15" s="49" t="n">
        <v>41260459.9240866</v>
      </c>
      <c r="E15" s="49" t="n">
        <v>41260459.9240866</v>
      </c>
      <c r="F15" s="49" t="n">
        <v>0</v>
      </c>
      <c r="G15" s="49" t="n">
        <v>17992345.0256684</v>
      </c>
      <c r="H15" s="49" t="n">
        <v>3239694.52687709</v>
      </c>
      <c r="I15" s="49" t="n">
        <v>2174584.32295587</v>
      </c>
      <c r="J15" s="49" t="n">
        <v>6827539.88340434</v>
      </c>
      <c r="K15" s="49" t="n">
        <v>1288388.45289897</v>
      </c>
      <c r="L15" s="49" t="n">
        <v>225153.486874419</v>
      </c>
      <c r="M15" s="49" t="n">
        <v>1421869.57050426</v>
      </c>
      <c r="N15" s="49" t="n">
        <v>33169575.2691834</v>
      </c>
      <c r="O15" s="49" t="n">
        <v>0</v>
      </c>
      <c r="P15" s="49" t="n">
        <v>0</v>
      </c>
      <c r="Q15" s="49" t="n">
        <v>33169575.2691834</v>
      </c>
      <c r="R15" s="48" t="n">
        <v>0</v>
      </c>
      <c r="S15" s="50" t="n">
        <v>7.7147638906108</v>
      </c>
      <c r="T15" s="50" t="n">
        <v>7.7147638906108</v>
      </c>
      <c r="U15" s="50"/>
      <c r="V15" s="50" t="n">
        <v>3.3641576939962</v>
      </c>
      <c r="W15" s="50" t="n">
        <v>0.605748903394322</v>
      </c>
      <c r="X15" s="50" t="n">
        <v>0.406597615312445</v>
      </c>
      <c r="Y15" s="50" t="n">
        <v>1.27659406247782</v>
      </c>
      <c r="Z15" s="50" t="n">
        <v>0.240899222446681</v>
      </c>
      <c r="AA15" s="50" t="n">
        <v>0.0420985610334865</v>
      </c>
      <c r="AB15" s="50" t="n">
        <v>0.265857143615624</v>
      </c>
      <c r="AC15" s="50" t="n">
        <v>6.20195320227658</v>
      </c>
      <c r="AD15" s="50" t="n">
        <v>0</v>
      </c>
      <c r="AE15" s="50" t="n">
        <v>0</v>
      </c>
      <c r="AF15" s="50" t="n">
        <v>6.20195320227658</v>
      </c>
      <c r="AG15" s="51" t="n">
        <v>-0.196092934247201</v>
      </c>
      <c r="AH15" s="51" t="n">
        <v>-0.196092934247201</v>
      </c>
      <c r="AI15" s="50"/>
      <c r="AJ15" s="48"/>
      <c r="AK15" s="48"/>
      <c r="AL15" s="48"/>
      <c r="AM15" s="48" t="n">
        <f aca="false">'[1]For rate design'!AM51</f>
        <v>0</v>
      </c>
      <c r="AN15" s="48" t="n">
        <f aca="false">'[1]For rate design'!AN51</f>
        <v>6136691.65955857</v>
      </c>
    </row>
    <row r="16" customFormat="false" ht="13.2" hidden="false" customHeight="false" outlineLevel="0" collapsed="false">
      <c r="B16" s="52" t="s">
        <v>99</v>
      </c>
      <c r="C16" s="48" t="n">
        <v>3727881537.1306</v>
      </c>
      <c r="D16" s="49" t="n">
        <v>344891617.992681</v>
      </c>
      <c r="E16" s="49" t="n">
        <v>344891617.992681</v>
      </c>
      <c r="F16" s="49" t="n">
        <v>0</v>
      </c>
      <c r="G16" s="49" t="n">
        <v>130116612.028348</v>
      </c>
      <c r="H16" s="49" t="n">
        <v>25849011.9400819</v>
      </c>
      <c r="I16" s="49" t="n">
        <v>15912071.9419291</v>
      </c>
      <c r="J16" s="49" t="n">
        <v>63156760.0628162</v>
      </c>
      <c r="K16" s="49" t="n">
        <v>10486848.5378378</v>
      </c>
      <c r="L16" s="49" t="n">
        <v>1569384.484165</v>
      </c>
      <c r="M16" s="49" t="n">
        <v>10404567.0590364</v>
      </c>
      <c r="N16" s="49" t="n">
        <v>257495256.054214</v>
      </c>
      <c r="O16" s="49" t="n">
        <v>0</v>
      </c>
      <c r="P16" s="49" t="n">
        <v>0</v>
      </c>
      <c r="Q16" s="49" t="n">
        <v>257495256.054214</v>
      </c>
      <c r="R16" s="48" t="n">
        <v>0</v>
      </c>
      <c r="S16" s="50" t="n">
        <v>9.25167858896474</v>
      </c>
      <c r="T16" s="50" t="n">
        <v>9.25167858896474</v>
      </c>
      <c r="U16" s="50"/>
      <c r="V16" s="50" t="n">
        <v>3.49036338017598</v>
      </c>
      <c r="W16" s="50" t="n">
        <v>0.69339681753885</v>
      </c>
      <c r="X16" s="50" t="n">
        <v>0.42683952758265</v>
      </c>
      <c r="Y16" s="50" t="n">
        <v>1.69417293531888</v>
      </c>
      <c r="Z16" s="50" t="n">
        <v>0.281308524248591</v>
      </c>
      <c r="AA16" s="50" t="n">
        <v>0.0420985610334865</v>
      </c>
      <c r="AB16" s="50" t="n">
        <v>0.279101332899245</v>
      </c>
      <c r="AC16" s="50" t="n">
        <v>6.90728107879769</v>
      </c>
      <c r="AD16" s="50" t="n">
        <v>0</v>
      </c>
      <c r="AE16" s="50" t="n">
        <v>0</v>
      </c>
      <c r="AF16" s="50" t="n">
        <v>6.90728107879769</v>
      </c>
      <c r="AG16" s="51" t="n">
        <v>-0.253402394778761</v>
      </c>
      <c r="AH16" s="51" t="n">
        <v>-0.253402394778761</v>
      </c>
      <c r="AI16" s="50"/>
      <c r="AJ16" s="48"/>
      <c r="AK16" s="48"/>
      <c r="AL16" s="48"/>
      <c r="AM16" s="48" t="n">
        <f aca="false">'[1]For rate design'!AM52</f>
        <v>0</v>
      </c>
      <c r="AN16" s="48" t="n">
        <f aca="false">'[1]For rate design'!AN52</f>
        <v>70257982.0274823</v>
      </c>
    </row>
    <row r="17" customFormat="false" ht="13.2" hidden="false" customHeight="false" outlineLevel="0" collapsed="false">
      <c r="A17" s="5" t="s">
        <v>100</v>
      </c>
      <c r="B17" s="52"/>
      <c r="C17" s="48" t="n">
        <v>4268624931.41675</v>
      </c>
      <c r="D17" s="49" t="n">
        <v>386636452.292698</v>
      </c>
      <c r="E17" s="49" t="n">
        <v>386636452.292698</v>
      </c>
      <c r="F17" s="49" t="n">
        <v>0</v>
      </c>
      <c r="G17" s="49" t="n">
        <v>148306785.544149</v>
      </c>
      <c r="H17" s="49" t="n">
        <v>29124559.1211475</v>
      </c>
      <c r="I17" s="49" t="n">
        <v>18109309.0517271</v>
      </c>
      <c r="J17" s="49" t="n">
        <v>70036440.1750784</v>
      </c>
      <c r="K17" s="49" t="n">
        <v>11790225.0014635</v>
      </c>
      <c r="L17" s="49" t="n">
        <v>1797029.6720431</v>
      </c>
      <c r="M17" s="49" t="n">
        <v>11841248.9383872</v>
      </c>
      <c r="N17" s="49" t="n">
        <v>291005597.503996</v>
      </c>
      <c r="O17" s="49" t="n">
        <v>0</v>
      </c>
      <c r="P17" s="49" t="n">
        <v>0</v>
      </c>
      <c r="Q17" s="49" t="n">
        <v>291005597.503996</v>
      </c>
      <c r="R17" s="48" t="n">
        <v>0</v>
      </c>
      <c r="S17" s="50" t="n">
        <v>9.05763468341019</v>
      </c>
      <c r="T17" s="50" t="n">
        <v>9.05763468341019</v>
      </c>
      <c r="U17" s="50"/>
      <c r="V17" s="50" t="n">
        <v>3.47434567166168</v>
      </c>
      <c r="W17" s="50" t="n">
        <v>0.682293703220281</v>
      </c>
      <c r="X17" s="50" t="n">
        <v>0.42424221717031</v>
      </c>
      <c r="Y17" s="50" t="n">
        <v>1.64072602536746</v>
      </c>
      <c r="Z17" s="50" t="n">
        <v>0.276206628384901</v>
      </c>
      <c r="AA17" s="50" t="n">
        <v>0.0420985610334865</v>
      </c>
      <c r="AB17" s="50" t="n">
        <v>0.277401953290309</v>
      </c>
      <c r="AC17" s="50" t="n">
        <v>6.81731476012843</v>
      </c>
      <c r="AD17" s="50" t="n">
        <v>0</v>
      </c>
      <c r="AE17" s="50" t="n">
        <v>0</v>
      </c>
      <c r="AF17" s="50" t="n">
        <v>6.81731476012843</v>
      </c>
      <c r="AG17" s="51" t="n">
        <v>-0.24734050351855</v>
      </c>
      <c r="AH17" s="51" t="n">
        <v>-0.24734050351855</v>
      </c>
      <c r="AI17" s="50"/>
      <c r="AJ17" s="48"/>
      <c r="AK17" s="48"/>
      <c r="AL17" s="48"/>
      <c r="AM17" s="48" t="n">
        <f aca="false">SUM(AM14:AM16)</f>
        <v>0</v>
      </c>
      <c r="AN17" s="48" t="n">
        <f aca="false">SUM(AN14:AN16)</f>
        <v>76471028.1732336</v>
      </c>
    </row>
    <row r="18" customFormat="false" ht="13.2" hidden="false" customHeight="false" outlineLevel="0" collapsed="false">
      <c r="B18" s="52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1"/>
      <c r="AI18" s="50"/>
      <c r="AJ18" s="48"/>
      <c r="AK18" s="48"/>
      <c r="AL18" s="48"/>
      <c r="AM18" s="48"/>
      <c r="AN18" s="48"/>
    </row>
    <row r="19" customFormat="false" ht="13.2" hidden="false" customHeight="false" outlineLevel="0" collapsed="false">
      <c r="A19" s="5" t="s">
        <v>101</v>
      </c>
      <c r="B19" s="52" t="s">
        <v>97</v>
      </c>
      <c r="C19" s="48" t="n">
        <v>6320290897.08193</v>
      </c>
      <c r="D19" s="49" t="n">
        <v>294234540.336631</v>
      </c>
      <c r="E19" s="49" t="n">
        <v>294234540.336631</v>
      </c>
      <c r="F19" s="49" t="n">
        <v>0</v>
      </c>
      <c r="G19" s="49" t="n">
        <v>200238264.458546</v>
      </c>
      <c r="H19" s="49" t="n">
        <v>31857785.0424559</v>
      </c>
      <c r="I19" s="49" t="n">
        <v>26069887.7248881</v>
      </c>
      <c r="J19" s="49" t="n">
        <v>-4025989.96357426</v>
      </c>
      <c r="K19" s="49" t="n">
        <v>10141591.5827199</v>
      </c>
      <c r="L19" s="49" t="n">
        <v>2660751.52080193</v>
      </c>
      <c r="M19" s="49" t="n">
        <v>17045903.933289</v>
      </c>
      <c r="N19" s="49" t="n">
        <v>283988194.299127</v>
      </c>
      <c r="O19" s="49" t="n">
        <v>0</v>
      </c>
      <c r="P19" s="49" t="n">
        <v>0</v>
      </c>
      <c r="Q19" s="49" t="n">
        <v>283988194.299127</v>
      </c>
      <c r="R19" s="48" t="n">
        <v>0</v>
      </c>
      <c r="S19" s="50" t="n">
        <v>4.65539553681744</v>
      </c>
      <c r="T19" s="50" t="n">
        <v>4.65539553681744</v>
      </c>
      <c r="U19" s="50"/>
      <c r="V19" s="50" t="n">
        <v>3.16818114417797</v>
      </c>
      <c r="W19" s="50" t="n">
        <v>0.504055676569643</v>
      </c>
      <c r="X19" s="50" t="n">
        <v>0.412479237892744</v>
      </c>
      <c r="Y19" s="50" t="n">
        <v>-0.0636994408822711</v>
      </c>
      <c r="Z19" s="50" t="n">
        <v>0.160460835551134</v>
      </c>
      <c r="AA19" s="50" t="n">
        <v>0.0420985610334865</v>
      </c>
      <c r="AB19" s="50" t="n">
        <v>0.269701256015908</v>
      </c>
      <c r="AC19" s="50" t="n">
        <v>4.49327727035862</v>
      </c>
      <c r="AD19" s="50" t="n">
        <v>0</v>
      </c>
      <c r="AE19" s="50" t="n">
        <v>0</v>
      </c>
      <c r="AF19" s="50" t="n">
        <v>4.49327727035862</v>
      </c>
      <c r="AG19" s="51" t="n">
        <v>-0.0348237362812035</v>
      </c>
      <c r="AH19" s="51" t="n">
        <v>-0.0348237362812035</v>
      </c>
      <c r="AI19" s="50"/>
      <c r="AJ19" s="48"/>
      <c r="AK19" s="48"/>
      <c r="AL19" s="48"/>
      <c r="AM19" s="48" t="n">
        <f aca="false">'[1]For rate design'!AM110</f>
        <v>0</v>
      </c>
      <c r="AN19" s="48" t="n">
        <f aca="false">'[1]For rate design'!AN110</f>
        <v>9259808.32643838</v>
      </c>
    </row>
    <row r="20" customFormat="false" ht="13.2" hidden="false" customHeight="false" outlineLevel="0" collapsed="false">
      <c r="B20" s="52" t="s">
        <v>98</v>
      </c>
      <c r="C20" s="48" t="n">
        <v>6543660767.18949</v>
      </c>
      <c r="D20" s="49" t="n">
        <v>444414702.186926</v>
      </c>
      <c r="E20" s="49" t="n">
        <v>444414702.186926</v>
      </c>
      <c r="F20" s="49" t="n">
        <v>0</v>
      </c>
      <c r="G20" s="49" t="n">
        <v>218570304.37374</v>
      </c>
      <c r="H20" s="49" t="n">
        <v>38595090.7982488</v>
      </c>
      <c r="I20" s="49" t="n">
        <v>28777283.7651856</v>
      </c>
      <c r="J20" s="49" t="n">
        <v>71538338.2290093</v>
      </c>
      <c r="K20" s="49" t="n">
        <v>14175212.9505009</v>
      </c>
      <c r="L20" s="49" t="n">
        <v>2754787.02189958</v>
      </c>
      <c r="M20" s="49" t="n">
        <v>18815917.6863877</v>
      </c>
      <c r="N20" s="49" t="n">
        <v>393226934.824972</v>
      </c>
      <c r="O20" s="49" t="n">
        <v>0</v>
      </c>
      <c r="P20" s="49" t="n">
        <v>0</v>
      </c>
      <c r="Q20" s="49" t="n">
        <v>393226934.824972</v>
      </c>
      <c r="R20" s="48" t="n">
        <v>0</v>
      </c>
      <c r="S20" s="50" t="n">
        <v>6.79153027637469</v>
      </c>
      <c r="T20" s="50" t="n">
        <v>6.79153027637469</v>
      </c>
      <c r="U20" s="50"/>
      <c r="V20" s="50" t="n">
        <v>3.34018391463187</v>
      </c>
      <c r="W20" s="50" t="n">
        <v>0.589808857325981</v>
      </c>
      <c r="X20" s="50" t="n">
        <v>0.439773466092214</v>
      </c>
      <c r="Y20" s="50" t="n">
        <v>1.09324643764709</v>
      </c>
      <c r="Z20" s="50" t="n">
        <v>0.216625119406811</v>
      </c>
      <c r="AA20" s="50" t="n">
        <v>0.0420985610334865</v>
      </c>
      <c r="AB20" s="50" t="n">
        <v>0.287544210432369</v>
      </c>
      <c r="AC20" s="50" t="n">
        <v>6.00928056656983</v>
      </c>
      <c r="AD20" s="50" t="n">
        <v>0</v>
      </c>
      <c r="AE20" s="50" t="n">
        <v>0</v>
      </c>
      <c r="AF20" s="50" t="n">
        <v>6.00928056656983</v>
      </c>
      <c r="AG20" s="51" t="n">
        <v>-0.115180184431487</v>
      </c>
      <c r="AH20" s="51" t="n">
        <v>-0.115180184431487</v>
      </c>
      <c r="AI20" s="50"/>
      <c r="AJ20" s="48"/>
      <c r="AK20" s="48"/>
      <c r="AL20" s="48"/>
      <c r="AM20" s="48" t="n">
        <f aca="false">'[1]For rate design'!AM111</f>
        <v>0</v>
      </c>
      <c r="AN20" s="48" t="n">
        <f aca="false">'[1]For rate design'!AN111</f>
        <v>65617606.0013161</v>
      </c>
    </row>
    <row r="21" customFormat="false" ht="13.2" hidden="false" customHeight="false" outlineLevel="0" collapsed="false">
      <c r="B21" s="52" t="s">
        <v>99</v>
      </c>
      <c r="C21" s="48" t="n">
        <v>4092079705.60219</v>
      </c>
      <c r="D21" s="49" t="n">
        <v>340382016.873708</v>
      </c>
      <c r="E21" s="49" t="n">
        <v>340382016.873708</v>
      </c>
      <c r="F21" s="49" t="n">
        <v>0</v>
      </c>
      <c r="G21" s="49" t="n">
        <v>141747511.542028</v>
      </c>
      <c r="H21" s="49" t="n">
        <v>26520838.1061447</v>
      </c>
      <c r="I21" s="49" t="n">
        <v>19427843.4527957</v>
      </c>
      <c r="J21" s="49" t="n">
        <v>65993266.0774135</v>
      </c>
      <c r="K21" s="49" t="n">
        <v>10506889.8689426</v>
      </c>
      <c r="L21" s="49" t="n">
        <v>1722706.67240185</v>
      </c>
      <c r="M21" s="49" t="n">
        <v>12703149.7383512</v>
      </c>
      <c r="N21" s="49" t="n">
        <v>278622205.458077</v>
      </c>
      <c r="O21" s="49" t="n">
        <v>0</v>
      </c>
      <c r="P21" s="49" t="n">
        <v>0</v>
      </c>
      <c r="Q21" s="49" t="n">
        <v>278622205.458077</v>
      </c>
      <c r="R21" s="48" t="n">
        <v>0</v>
      </c>
      <c r="S21" s="50" t="n">
        <v>8.31806908374033</v>
      </c>
      <c r="T21" s="50" t="n">
        <v>8.31806908374033</v>
      </c>
      <c r="U21" s="50"/>
      <c r="V21" s="50" t="n">
        <v>3.4639479614234</v>
      </c>
      <c r="W21" s="50" t="n">
        <v>0.64810169923711</v>
      </c>
      <c r="X21" s="50" t="n">
        <v>0.474766985261756</v>
      </c>
      <c r="Y21" s="50" t="n">
        <v>1.61270724974068</v>
      </c>
      <c r="Z21" s="50" t="n">
        <v>0.256761613283297</v>
      </c>
      <c r="AA21" s="50" t="n">
        <v>0.0420985610334865</v>
      </c>
      <c r="AB21" s="50" t="n">
        <v>0.31043260767771</v>
      </c>
      <c r="AC21" s="50" t="n">
        <v>6.80881667765743</v>
      </c>
      <c r="AD21" s="50" t="n">
        <v>0</v>
      </c>
      <c r="AE21" s="50" t="n">
        <v>0</v>
      </c>
      <c r="AF21" s="50" t="n">
        <v>6.80881667765743</v>
      </c>
      <c r="AG21" s="51" t="n">
        <v>-0.181442639017401</v>
      </c>
      <c r="AH21" s="51" t="n">
        <v>-0.181442639017401</v>
      </c>
      <c r="AI21" s="50"/>
      <c r="AJ21" s="48"/>
      <c r="AK21" s="48"/>
      <c r="AL21" s="48"/>
      <c r="AM21" s="48" t="n">
        <f aca="false">'[1]For rate design'!AM112</f>
        <v>0</v>
      </c>
      <c r="AN21" s="48" t="n">
        <f aca="false">'[1]For rate design'!AN112</f>
        <v>74730237.2607958</v>
      </c>
    </row>
    <row r="22" customFormat="false" ht="13.2" hidden="false" customHeight="false" outlineLevel="0" collapsed="false">
      <c r="A22" s="5" t="s">
        <v>102</v>
      </c>
      <c r="B22" s="52"/>
      <c r="C22" s="48" t="n">
        <v>16956031369.8736</v>
      </c>
      <c r="D22" s="49" t="n">
        <v>1079031259.39727</v>
      </c>
      <c r="E22" s="49" t="n">
        <v>1079031259.39727</v>
      </c>
      <c r="F22" s="49" t="n">
        <v>0</v>
      </c>
      <c r="G22" s="49" t="n">
        <v>560556080.374314</v>
      </c>
      <c r="H22" s="49" t="n">
        <v>96973713.9468494</v>
      </c>
      <c r="I22" s="49" t="n">
        <v>74275014.9428693</v>
      </c>
      <c r="J22" s="49" t="n">
        <v>133505614.342849</v>
      </c>
      <c r="K22" s="49" t="n">
        <v>34823694.4021634</v>
      </c>
      <c r="L22" s="49" t="n">
        <v>7138245.21510336</v>
      </c>
      <c r="M22" s="49" t="n">
        <v>48564971.358028</v>
      </c>
      <c r="N22" s="49" t="n">
        <v>955837334.582176</v>
      </c>
      <c r="O22" s="49" t="n">
        <v>0</v>
      </c>
      <c r="P22" s="49" t="n">
        <v>0</v>
      </c>
      <c r="Q22" s="49" t="n">
        <v>955837334.582176</v>
      </c>
      <c r="R22" s="48" t="n">
        <v>0</v>
      </c>
      <c r="S22" s="50" t="n">
        <v>6.36370171686766</v>
      </c>
      <c r="T22" s="50" t="n">
        <v>6.36370171686766</v>
      </c>
      <c r="U22" s="50"/>
      <c r="V22" s="50" t="n">
        <v>3.30593915608268</v>
      </c>
      <c r="W22" s="50" t="n">
        <v>0.571912801005701</v>
      </c>
      <c r="X22" s="50" t="n">
        <v>0.438044807317568</v>
      </c>
      <c r="Y22" s="50" t="n">
        <v>0.787363572469279</v>
      </c>
      <c r="Z22" s="50" t="n">
        <v>0.205376444773722</v>
      </c>
      <c r="AA22" s="50" t="n">
        <v>0.0420985610334865</v>
      </c>
      <c r="AB22" s="50" t="n">
        <v>0.286417088401447</v>
      </c>
      <c r="AC22" s="50" t="n">
        <v>5.63715243108388</v>
      </c>
      <c r="AD22" s="50" t="n">
        <v>0</v>
      </c>
      <c r="AE22" s="50" t="n">
        <v>0</v>
      </c>
      <c r="AF22" s="50" t="n">
        <v>5.63715243108388</v>
      </c>
      <c r="AG22" s="51" t="n">
        <v>-0.114170858112029</v>
      </c>
      <c r="AH22" s="51" t="n">
        <v>-0.114170858112029</v>
      </c>
      <c r="AI22" s="50"/>
      <c r="AJ22" s="48"/>
      <c r="AK22" s="48"/>
      <c r="AL22" s="48"/>
      <c r="AM22" s="48" t="n">
        <f aca="false">SUM(AM19:AM21)</f>
        <v>0</v>
      </c>
      <c r="AN22" s="48" t="n">
        <f aca="false">SUM(AN19:AN21)</f>
        <v>149607651.58855</v>
      </c>
    </row>
    <row r="23" customFormat="false" ht="13.2" hidden="false" customHeight="false" outlineLevel="0" collapsed="false">
      <c r="B23" s="52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8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1"/>
      <c r="AH23" s="51"/>
      <c r="AI23" s="50"/>
      <c r="AJ23" s="48"/>
      <c r="AK23" s="48"/>
      <c r="AL23" s="48"/>
      <c r="AM23" s="48"/>
      <c r="AN23" s="48"/>
    </row>
    <row r="24" customFormat="false" ht="13.2" hidden="false" customHeight="false" outlineLevel="0" collapsed="false">
      <c r="A24" s="5" t="s">
        <v>103</v>
      </c>
      <c r="B24" s="52"/>
      <c r="C24" s="48" t="n">
        <v>237442979</v>
      </c>
      <c r="D24" s="49" t="n">
        <v>20027933.3568328</v>
      </c>
      <c r="E24" s="49" t="n">
        <v>20027933.3568328</v>
      </c>
      <c r="F24" s="49" t="n">
        <v>0</v>
      </c>
      <c r="G24" s="49" t="n">
        <v>7205711.47416658</v>
      </c>
      <c r="H24" s="49" t="n">
        <v>635164.16084181</v>
      </c>
      <c r="I24" s="49" t="n">
        <v>5189206.68853716</v>
      </c>
      <c r="J24" s="49" t="n">
        <v>3998143.54156239</v>
      </c>
      <c r="K24" s="49" t="n">
        <v>616952.338262718</v>
      </c>
      <c r="L24" s="49" t="n">
        <v>99960.0774340436</v>
      </c>
      <c r="M24" s="49" t="n">
        <v>3393142.42767977</v>
      </c>
      <c r="N24" s="49" t="n">
        <v>21138280.7084845</v>
      </c>
      <c r="O24" s="49" t="n">
        <v>0</v>
      </c>
      <c r="P24" s="49" t="n">
        <v>0</v>
      </c>
      <c r="Q24" s="49" t="n">
        <v>21138280.7084845</v>
      </c>
      <c r="R24" s="48" t="n">
        <v>0</v>
      </c>
      <c r="S24" s="50" t="n">
        <v>8.4348391521961</v>
      </c>
      <c r="T24" s="50" t="n">
        <v>8.4348391521961</v>
      </c>
      <c r="U24" s="50"/>
      <c r="V24" s="50" t="n">
        <v>3.03471237789961</v>
      </c>
      <c r="W24" s="50" t="n">
        <v>0.267501765483582</v>
      </c>
      <c r="X24" s="50" t="n">
        <v>2.18545383417598</v>
      </c>
      <c r="Y24" s="50" t="n">
        <v>1.68383312844234</v>
      </c>
      <c r="Z24" s="50" t="n">
        <v>0.259831788188068</v>
      </c>
      <c r="AA24" s="50" t="n">
        <v>0.0420985610334865</v>
      </c>
      <c r="AB24" s="50" t="n">
        <v>1.42903464316785</v>
      </c>
      <c r="AC24" s="50" t="n">
        <v>8.90246609839092</v>
      </c>
      <c r="AD24" s="50" t="n">
        <v>0</v>
      </c>
      <c r="AE24" s="50" t="n">
        <v>0</v>
      </c>
      <c r="AF24" s="50" t="n">
        <v>8.90246609839092</v>
      </c>
      <c r="AG24" s="51" t="n">
        <v>0.0554399364062638</v>
      </c>
      <c r="AH24" s="51" t="n">
        <v>0.0554399364062638</v>
      </c>
      <c r="AI24" s="50"/>
      <c r="AJ24" s="48"/>
      <c r="AK24" s="48"/>
      <c r="AL24" s="48"/>
      <c r="AM24" s="48" t="n">
        <f aca="false">'[1]For rate design'!AM69</f>
        <v>0</v>
      </c>
      <c r="AN24" s="48" t="n">
        <f aca="false">'[1]For rate design'!AN69</f>
        <v>4386481.41287018</v>
      </c>
    </row>
    <row r="25" customFormat="false" ht="13.2" hidden="false" customHeight="false" outlineLevel="0" collapsed="false">
      <c r="B25" s="52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8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  <c r="AH25" s="51"/>
      <c r="AI25" s="50"/>
      <c r="AJ25" s="48"/>
      <c r="AK25" s="48"/>
      <c r="AL25" s="48"/>
      <c r="AM25" s="48"/>
      <c r="AN25" s="48"/>
    </row>
    <row r="26" customFormat="false" ht="13.2" hidden="false" customHeight="false" outlineLevel="0" collapsed="false">
      <c r="A26" s="5" t="s">
        <v>104</v>
      </c>
      <c r="B26" s="52"/>
      <c r="C26" s="48" t="n">
        <v>336169766.96122</v>
      </c>
      <c r="D26" s="49" t="n">
        <v>42872078.5813711</v>
      </c>
      <c r="E26" s="49" t="n">
        <v>42872078.5813711</v>
      </c>
      <c r="F26" s="49" t="n">
        <v>0</v>
      </c>
      <c r="G26" s="49" t="n">
        <v>9799433.65701968</v>
      </c>
      <c r="H26" s="49" t="n">
        <v>473266.48722209</v>
      </c>
      <c r="I26" s="49" t="n">
        <v>840814.824082157</v>
      </c>
      <c r="J26" s="49" t="n">
        <v>26722215.5812769</v>
      </c>
      <c r="K26" s="49" t="n">
        <v>1132730.83816055</v>
      </c>
      <c r="L26" s="49" t="n">
        <v>141522.634520299</v>
      </c>
      <c r="M26" s="49" t="n">
        <v>549795.879149984</v>
      </c>
      <c r="N26" s="49" t="n">
        <v>39659779.9014317</v>
      </c>
      <c r="O26" s="49" t="n">
        <v>0</v>
      </c>
      <c r="P26" s="49" t="n">
        <v>0</v>
      </c>
      <c r="Q26" s="49" t="n">
        <v>39659779.9014317</v>
      </c>
      <c r="R26" s="48" t="n">
        <v>0</v>
      </c>
      <c r="S26" s="50" t="n">
        <v>12.7531035788584</v>
      </c>
      <c r="T26" s="50" t="n">
        <v>12.7531035788584</v>
      </c>
      <c r="U26" s="50"/>
      <c r="V26" s="50" t="n">
        <v>2.91502527</v>
      </c>
      <c r="W26" s="50" t="n">
        <v>0.140781989855942</v>
      </c>
      <c r="X26" s="50" t="n">
        <v>0.250116133786401</v>
      </c>
      <c r="Y26" s="50" t="n">
        <v>7.94902403711978</v>
      </c>
      <c r="Z26" s="50" t="n">
        <v>0.336952025281686</v>
      </c>
      <c r="AA26" s="50" t="n">
        <v>0.0420985610334865</v>
      </c>
      <c r="AB26" s="50" t="n">
        <v>0.163547092327731</v>
      </c>
      <c r="AC26" s="50" t="n">
        <v>11.797545109405</v>
      </c>
      <c r="AD26" s="50" t="n">
        <v>0</v>
      </c>
      <c r="AE26" s="50" t="n">
        <v>0</v>
      </c>
      <c r="AF26" s="50" t="n">
        <v>11.797545109405</v>
      </c>
      <c r="AG26" s="51" t="n">
        <v>-0.0749275236058946</v>
      </c>
      <c r="AH26" s="51" t="n">
        <v>-0.0749275236058946</v>
      </c>
      <c r="AI26" s="50"/>
      <c r="AJ26" s="48"/>
      <c r="AK26" s="48"/>
      <c r="AL26" s="48"/>
      <c r="AM26" s="48" t="n">
        <f aca="false">'[1]For rate design'!AM55</f>
        <v>0</v>
      </c>
      <c r="AN26" s="48" t="n">
        <f aca="false">'[1]For rate design'!AN55</f>
        <v>25766917.864452</v>
      </c>
    </row>
    <row r="27" customFormat="false" ht="13.2" hidden="false" customHeight="false" outlineLevel="0" collapsed="false">
      <c r="B27" s="5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8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1"/>
      <c r="AH27" s="51"/>
      <c r="AI27" s="50"/>
      <c r="AJ27" s="48"/>
      <c r="AK27" s="48"/>
      <c r="AL27" s="48"/>
      <c r="AM27" s="48"/>
      <c r="AN27" s="48"/>
    </row>
    <row r="28" customFormat="false" ht="13.2" hidden="false" customHeight="false" outlineLevel="0" collapsed="false">
      <c r="A28" s="5" t="s">
        <v>105</v>
      </c>
      <c r="B28" s="52"/>
      <c r="C28" s="48" t="n">
        <v>140327462.497082</v>
      </c>
      <c r="D28" s="49" t="n">
        <v>15252797.1196132</v>
      </c>
      <c r="E28" s="49" t="n">
        <v>15252797.1196132</v>
      </c>
      <c r="F28" s="49" t="n">
        <v>0</v>
      </c>
      <c r="G28" s="49" t="n">
        <v>4648544.35530066</v>
      </c>
      <c r="H28" s="49" t="n">
        <v>620185.804913729</v>
      </c>
      <c r="I28" s="49" t="n">
        <v>729748.107155634</v>
      </c>
      <c r="J28" s="49" t="n">
        <v>4244689.55135948</v>
      </c>
      <c r="K28" s="49" t="n">
        <v>401033.891334289</v>
      </c>
      <c r="L28" s="49" t="n">
        <v>59075.8424460771</v>
      </c>
      <c r="M28" s="49" t="n">
        <v>477171.061499346</v>
      </c>
      <c r="N28" s="49" t="n">
        <v>11180448.6140092</v>
      </c>
      <c r="O28" s="49" t="n">
        <v>0</v>
      </c>
      <c r="P28" s="49" t="n">
        <v>0</v>
      </c>
      <c r="Q28" s="49" t="n">
        <v>11180448.6140092</v>
      </c>
      <c r="R28" s="48" t="n">
        <v>0</v>
      </c>
      <c r="S28" s="50" t="n">
        <v>10.8694312917761</v>
      </c>
      <c r="T28" s="50" t="n">
        <v>10.8694312917761</v>
      </c>
      <c r="U28" s="50"/>
      <c r="V28" s="50" t="n">
        <v>3.3126405</v>
      </c>
      <c r="W28" s="50" t="n">
        <v>0.441956117411176</v>
      </c>
      <c r="X28" s="50" t="n">
        <v>0.520032283182493</v>
      </c>
      <c r="Y28" s="50" t="n">
        <v>3.02484593950934</v>
      </c>
      <c r="Z28" s="50" t="n">
        <v>0.285784324891236</v>
      </c>
      <c r="AA28" s="50" t="n">
        <v>0.0420985610334865</v>
      </c>
      <c r="AB28" s="50" t="n">
        <v>0.340041110277518</v>
      </c>
      <c r="AC28" s="50" t="n">
        <v>7.96739883630525</v>
      </c>
      <c r="AD28" s="50" t="n">
        <v>0</v>
      </c>
      <c r="AE28" s="50" t="n">
        <v>0</v>
      </c>
      <c r="AF28" s="50" t="n">
        <v>7.96739883630525</v>
      </c>
      <c r="AG28" s="51" t="n">
        <v>-0.266990275532312</v>
      </c>
      <c r="AH28" s="51" t="n">
        <v>-0.266990275532312</v>
      </c>
      <c r="AI28" s="50"/>
      <c r="AJ28" s="48"/>
      <c r="AK28" s="48"/>
      <c r="AL28" s="48"/>
      <c r="AM28" s="48" t="n">
        <f aca="false">'[1]For rate design'!AM17</f>
        <v>0</v>
      </c>
      <c r="AN28" s="48" t="n">
        <f aca="false">'[1]For rate design'!AN17</f>
        <v>6059322.79556717</v>
      </c>
    </row>
    <row r="29" customFormat="false" ht="13.2" hidden="false" customHeight="false" outlineLevel="0" collapsed="false">
      <c r="B29" s="52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8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1"/>
      <c r="AH29" s="51"/>
      <c r="AI29" s="50"/>
      <c r="AJ29" s="48"/>
      <c r="AK29" s="48"/>
      <c r="AL29" s="48"/>
      <c r="AM29" s="48"/>
      <c r="AN29" s="48"/>
    </row>
    <row r="30" customFormat="false" ht="13.2" hidden="false" customHeight="false" outlineLevel="0" collapsed="false">
      <c r="A30" s="5" t="s">
        <v>106</v>
      </c>
      <c r="B30" s="52"/>
      <c r="C30" s="48" t="n">
        <v>819459053</v>
      </c>
      <c r="D30" s="49" t="n">
        <v>40026441.4915103</v>
      </c>
      <c r="E30" s="49" t="n">
        <v>40026441.4915103</v>
      </c>
      <c r="F30" s="49" t="n">
        <v>0</v>
      </c>
      <c r="G30" s="49" t="n">
        <v>25783839.1607</v>
      </c>
      <c r="H30" s="49" t="n">
        <v>4173498.44225698</v>
      </c>
      <c r="I30" s="49" t="n">
        <v>3336403.24674226</v>
      </c>
      <c r="J30" s="49" t="n">
        <v>678781.972743963</v>
      </c>
      <c r="K30" s="49" t="n">
        <v>1052394.48618665</v>
      </c>
      <c r="L30" s="49" t="n">
        <v>344980.469571636</v>
      </c>
      <c r="M30" s="49" t="n">
        <v>2181622.75890403</v>
      </c>
      <c r="N30" s="49" t="n">
        <v>37551520.5371055</v>
      </c>
      <c r="O30" s="49" t="n">
        <v>0</v>
      </c>
      <c r="P30" s="49" t="n">
        <v>0</v>
      </c>
      <c r="Q30" s="49" t="n">
        <v>37551520.5371055</v>
      </c>
      <c r="R30" s="48" t="n">
        <v>0</v>
      </c>
      <c r="S30" s="50" t="n">
        <v>4.88449561268198</v>
      </c>
      <c r="T30" s="50" t="n">
        <v>4.88449561268198</v>
      </c>
      <c r="U30" s="50"/>
      <c r="V30" s="50" t="n">
        <v>3.14644631312652</v>
      </c>
      <c r="W30" s="50" t="n">
        <v>0.509299205003351</v>
      </c>
      <c r="X30" s="50" t="n">
        <v>0.407147036148767</v>
      </c>
      <c r="Y30" s="50" t="n">
        <v>0.0828329335381646</v>
      </c>
      <c r="Z30" s="50" t="n">
        <v>0.128425512212464</v>
      </c>
      <c r="AA30" s="50" t="n">
        <v>0.0420985610334865</v>
      </c>
      <c r="AB30" s="50" t="n">
        <v>0.266227183764364</v>
      </c>
      <c r="AC30" s="50" t="n">
        <v>4.58247674482712</v>
      </c>
      <c r="AD30" s="50" t="n">
        <v>0</v>
      </c>
      <c r="AE30" s="50" t="n">
        <v>0</v>
      </c>
      <c r="AF30" s="50" t="n">
        <v>4.58247674482712</v>
      </c>
      <c r="AG30" s="51" t="n">
        <v>-0.0618321505030549</v>
      </c>
      <c r="AH30" s="51" t="n">
        <v>-0.0618321505030549</v>
      </c>
      <c r="AI30" s="50"/>
      <c r="AJ30" s="48"/>
      <c r="AK30" s="48"/>
      <c r="AL30" s="48"/>
      <c r="AM30" s="48" t="n">
        <f aca="false">'[1]For rate design'!AM118</f>
        <v>0</v>
      </c>
      <c r="AN30" s="48" t="n">
        <f aca="false">'[1]For rate design'!AN118</f>
        <v>1283819.004739</v>
      </c>
    </row>
    <row r="31" customFormat="false" ht="13.2" hidden="false" customHeight="false" outlineLevel="0" collapsed="false">
      <c r="B31" s="52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8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  <c r="AH31" s="51"/>
      <c r="AI31" s="50"/>
      <c r="AJ31" s="48"/>
      <c r="AK31" s="48"/>
      <c r="AL31" s="48"/>
      <c r="AM31" s="48"/>
      <c r="AN31" s="48"/>
    </row>
    <row r="32" customFormat="false" ht="13.2" hidden="false" customHeight="false" outlineLevel="0" collapsed="false">
      <c r="B32" s="52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8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1"/>
      <c r="AH32" s="51"/>
      <c r="AI32" s="50"/>
      <c r="AJ32" s="48"/>
      <c r="AK32" s="48"/>
      <c r="AL32" s="48"/>
      <c r="AM32" s="48"/>
      <c r="AN32" s="48"/>
    </row>
    <row r="33" customFormat="false" ht="13.2" hidden="false" customHeight="false" outlineLevel="0" collapsed="false">
      <c r="A33" s="5" t="s">
        <v>107</v>
      </c>
      <c r="B33" s="52"/>
      <c r="C33" s="48" t="n">
        <v>77819761996</v>
      </c>
      <c r="D33" s="49" t="n">
        <v>7334450344.66174</v>
      </c>
      <c r="E33" s="49" t="n">
        <v>7748829420.00799</v>
      </c>
      <c r="F33" s="49" t="n">
        <v>0</v>
      </c>
      <c r="G33" s="49" t="n">
        <v>2650081062.3619</v>
      </c>
      <c r="H33" s="49" t="n">
        <v>597270000</v>
      </c>
      <c r="I33" s="49" t="n">
        <v>384514621.076388</v>
      </c>
      <c r="J33" s="49" t="n">
        <v>2099705000.00293</v>
      </c>
      <c r="K33" s="49" t="n">
        <v>232192000</v>
      </c>
      <c r="L33" s="49" t="n">
        <v>32761000</v>
      </c>
      <c r="M33" s="49" t="n">
        <v>251425409</v>
      </c>
      <c r="N33" s="49" t="n">
        <v>6247949092.44122</v>
      </c>
      <c r="O33" s="49" t="n">
        <v>384071346.82038</v>
      </c>
      <c r="P33" s="49" t="n">
        <v>-59471713</v>
      </c>
      <c r="Q33" s="49" t="n">
        <v>6572548726.2616</v>
      </c>
      <c r="R33" s="48" t="n">
        <v>0</v>
      </c>
      <c r="S33" s="50" t="n">
        <v>9.95740570423009</v>
      </c>
      <c r="T33" s="50" t="n">
        <v>9.42492004156828</v>
      </c>
      <c r="U33" s="50"/>
      <c r="V33" s="50" t="n">
        <v>3.40540885038703</v>
      </c>
      <c r="W33" s="50" t="n">
        <v>0.767504274853347</v>
      </c>
      <c r="X33" s="50" t="n">
        <v>0.494109222662686</v>
      </c>
      <c r="Y33" s="50" t="n">
        <v>2.69816425307348</v>
      </c>
      <c r="Z33" s="50" t="n">
        <v>0.298371511354577</v>
      </c>
      <c r="AA33" s="50" t="n">
        <v>0.0420985610334865</v>
      </c>
      <c r="AB33" s="50" t="n">
        <v>0.32308683880699</v>
      </c>
      <c r="AC33" s="50" t="n">
        <v>8.02874351217159</v>
      </c>
      <c r="AD33" s="50" t="n">
        <v>0.493539606096613</v>
      </c>
      <c r="AE33" s="50" t="n">
        <v>-0.0764223784224076</v>
      </c>
      <c r="AF33" s="50" t="n">
        <v>8.4458607398458</v>
      </c>
      <c r="AG33" s="51" t="n">
        <v>-0.151801082458875</v>
      </c>
      <c r="AH33" s="51" t="n">
        <v>-0.103879852285682</v>
      </c>
      <c r="AI33" s="50"/>
      <c r="AJ33" s="48"/>
      <c r="AK33" s="48"/>
      <c r="AL33" s="48"/>
      <c r="AM33" s="48" t="n">
        <f aca="false">AM30+AM28+AM26+AM24+AM22+AM17+AM12+AM10+AM8+AM6</f>
        <v>0</v>
      </c>
      <c r="AN33" s="48" t="n">
        <f aca="false">AN30+AN28+AN26+AN24+AN22+AN17+AN12+AN10+AN8+AN6</f>
        <v>2029851431.05248</v>
      </c>
    </row>
    <row r="34" customFormat="false" ht="13.2" hidden="false" customHeight="false" outlineLevel="0" collapsed="false">
      <c r="B34" s="52"/>
      <c r="C34" s="48"/>
      <c r="D34" s="48"/>
      <c r="E34" s="48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S34" s="50" t="str">
        <f aca="false">IF(AND(ISNUMBER(C34),C34&gt;0),100*(E34/C34),"")</f>
        <v/>
      </c>
      <c r="T34" s="50" t="str">
        <f aca="false">IF(AND(ISNUMBER(C34),C34&gt;0),100*(D34/C34),"")</f>
        <v/>
      </c>
      <c r="U34" s="50"/>
      <c r="V34" s="50" t="str">
        <f aca="false">IF(AND(ISNUMBER($C34),$C34&gt;0),100*(G34/$C34),"")</f>
        <v/>
      </c>
      <c r="W34" s="50" t="str">
        <f aca="false">IF(AND(ISNUMBER($C34),$C34&gt;0),100*(H34/$C34),"")</f>
        <v/>
      </c>
      <c r="X34" s="50" t="str">
        <f aca="false">IF(AND(ISNUMBER($C34),$C34&gt;0),100*(I34/$C34),"")</f>
        <v/>
      </c>
      <c r="Y34" s="50" t="str">
        <f aca="false">IF(AND(ISNUMBER($C34),$C34&gt;0),100*(J34/$C34),"")</f>
        <v/>
      </c>
      <c r="Z34" s="50" t="str">
        <f aca="false">IF(AND(ISNUMBER($C34),$C34&gt;0),100*(K34/$C34),"")</f>
        <v/>
      </c>
      <c r="AA34" s="50" t="str">
        <f aca="false">IF(AND(ISNUMBER($C34),$C34&gt;0),100*(L34/$C34),"")</f>
        <v/>
      </c>
      <c r="AB34" s="50" t="str">
        <f aca="false">IF(AND(ISNUMBER($C34),$C34&gt;0),100*(M34/$C34),"")</f>
        <v/>
      </c>
      <c r="AC34" s="50" t="str">
        <f aca="false">IF(AND(ISNUMBER($C34),$C34&gt;0),100*(N34/$C34),"")</f>
        <v/>
      </c>
      <c r="AD34" s="50" t="str">
        <f aca="false">IF(AND(ISNUMBER($C34),$C34&gt;0),100*(O34/$C34),"")</f>
        <v/>
      </c>
      <c r="AE34" s="50" t="str">
        <f aca="false">IF(AND(ISNUMBER($C34),$C34&gt;0),100*(P34/$C34),"")</f>
        <v/>
      </c>
      <c r="AF34" s="50" t="str">
        <f aca="false">IF(AND(ISNUMBER($C34),$C34&gt;0),100*(Q34/$C34),"")</f>
        <v/>
      </c>
      <c r="AG34" s="51" t="str">
        <f aca="false">IF(AND(ISNUMBER(E34),E34&gt;0),(Q34-E34)/E34,"")</f>
        <v/>
      </c>
      <c r="AH34" s="51" t="str">
        <f aca="false">IF(AND(ISNUMBER(D34),D34&gt;0),(Q34-D34)/D34,"")</f>
        <v/>
      </c>
      <c r="AI34" s="54"/>
    </row>
    <row r="35" customFormat="false" ht="13.2" hidden="false" customHeight="false" outlineLevel="0" collapsed="false">
      <c r="B35" s="52"/>
      <c r="C35" s="48"/>
      <c r="D35" s="48"/>
      <c r="E35" s="48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customFormat="false" ht="13.2" hidden="false" customHeight="false" outlineLevel="0" collapsed="false">
      <c r="B36" s="52"/>
      <c r="C36" s="48"/>
      <c r="D36" s="48"/>
      <c r="E36" s="48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customFormat="false" ht="13.2" hidden="false" customHeight="false" outlineLevel="0" collapsed="false">
      <c r="B37" s="52"/>
      <c r="C37" s="48"/>
      <c r="D37" s="48"/>
      <c r="E37" s="48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</row>
    <row r="38" customFormat="false" ht="13.2" hidden="false" customHeight="false" outlineLevel="0" collapsed="false">
      <c r="B38" s="52"/>
      <c r="C38" s="48"/>
      <c r="D38" s="48"/>
      <c r="E38" s="48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</row>
    <row r="39" customFormat="false" ht="13.2" hidden="false" customHeight="false" outlineLevel="0" collapsed="false">
      <c r="B39" s="52"/>
      <c r="C39" s="48"/>
      <c r="D39" s="48"/>
      <c r="E39" s="48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</row>
    <row r="40" customFormat="false" ht="13.2" hidden="false" customHeight="false" outlineLevel="0" collapsed="false">
      <c r="B40" s="52"/>
      <c r="C40" s="48"/>
      <c r="D40" s="48"/>
      <c r="E40" s="48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</row>
    <row r="41" customFormat="false" ht="13.2" hidden="false" customHeight="false" outlineLevel="0" collapsed="false">
      <c r="B41" s="52"/>
      <c r="C41" s="48"/>
      <c r="D41" s="48"/>
      <c r="E41" s="48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</row>
    <row r="42" customFormat="false" ht="13.2" hidden="false" customHeight="false" outlineLevel="0" collapsed="false">
      <c r="B42" s="52"/>
      <c r="C42" s="48"/>
      <c r="D42" s="48"/>
      <c r="E42" s="48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</row>
    <row r="43" customFormat="false" ht="13.2" hidden="false" customHeight="false" outlineLevel="0" collapsed="false">
      <c r="B43" s="52"/>
      <c r="C43" s="48"/>
      <c r="D43" s="48"/>
      <c r="E43" s="48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</row>
    <row r="44" customFormat="false" ht="13.2" hidden="false" customHeight="false" outlineLevel="0" collapsed="false">
      <c r="B44" s="52"/>
      <c r="C44" s="48"/>
      <c r="D44" s="48"/>
      <c r="E44" s="48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</row>
    <row r="45" customFormat="false" ht="13.2" hidden="false" customHeight="false" outlineLevel="0" collapsed="false">
      <c r="B45" s="52"/>
      <c r="C45" s="48"/>
      <c r="D45" s="48"/>
      <c r="E45" s="48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</row>
    <row r="46" customFormat="false" ht="13.2" hidden="false" customHeight="false" outlineLevel="0" collapsed="false">
      <c r="B46" s="52"/>
      <c r="C46" s="48"/>
      <c r="D46" s="48"/>
      <c r="E46" s="48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</row>
    <row r="47" customFormat="false" ht="13.2" hidden="false" customHeight="false" outlineLevel="0" collapsed="false">
      <c r="B47" s="52"/>
      <c r="C47" s="48"/>
      <c r="D47" s="48"/>
      <c r="E47" s="48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</row>
    <row r="48" customFormat="false" ht="13.2" hidden="false" customHeight="false" outlineLevel="0" collapsed="false">
      <c r="B48" s="52"/>
      <c r="C48" s="48"/>
      <c r="D48" s="48"/>
      <c r="E48" s="48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</row>
    <row r="49" customFormat="false" ht="13.2" hidden="false" customHeight="false" outlineLevel="0" collapsed="false">
      <c r="B49" s="52"/>
      <c r="C49" s="48"/>
      <c r="D49" s="48"/>
      <c r="E49" s="48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</row>
    <row r="50" customFormat="false" ht="13.2" hidden="false" customHeight="false" outlineLevel="0" collapsed="false">
      <c r="B50" s="52"/>
      <c r="C50" s="48"/>
      <c r="D50" s="48"/>
      <c r="E50" s="48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</row>
    <row r="51" customFormat="false" ht="13.2" hidden="false" customHeight="false" outlineLevel="0" collapsed="false">
      <c r="B51" s="52"/>
      <c r="C51" s="48"/>
      <c r="D51" s="48"/>
      <c r="E51" s="48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</row>
    <row r="52" customFormat="false" ht="13.2" hidden="false" customHeight="false" outlineLevel="0" collapsed="false">
      <c r="B52" s="52"/>
      <c r="C52" s="48"/>
      <c r="D52" s="48"/>
      <c r="E52" s="48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</row>
    <row r="53" customFormat="false" ht="13.2" hidden="false" customHeight="false" outlineLevel="0" collapsed="false">
      <c r="B53" s="52"/>
      <c r="C53" s="48"/>
      <c r="D53" s="48"/>
      <c r="E53" s="48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</row>
    <row r="54" customFormat="false" ht="13.2" hidden="false" customHeight="false" outlineLevel="0" collapsed="false">
      <c r="B54" s="52"/>
      <c r="C54" s="48"/>
      <c r="D54" s="48"/>
      <c r="E54" s="48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</row>
    <row r="55" customFormat="false" ht="13.2" hidden="false" customHeight="false" outlineLevel="0" collapsed="false">
      <c r="B55" s="52"/>
      <c r="C55" s="48"/>
      <c r="D55" s="48"/>
      <c r="E55" s="48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</row>
    <row r="56" customFormat="false" ht="13.2" hidden="false" customHeight="false" outlineLevel="0" collapsed="false">
      <c r="B56" s="52"/>
      <c r="C56" s="48"/>
      <c r="D56" s="48"/>
      <c r="E56" s="48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</row>
    <row r="57" customFormat="false" ht="13.2" hidden="false" customHeight="false" outlineLevel="0" collapsed="false">
      <c r="B57" s="52"/>
      <c r="C57" s="48"/>
      <c r="D57" s="48"/>
      <c r="E57" s="48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</row>
    <row r="58" customFormat="false" ht="13.2" hidden="false" customHeight="false" outlineLevel="0" collapsed="false">
      <c r="B58" s="52"/>
      <c r="C58" s="48"/>
      <c r="D58" s="48"/>
      <c r="E58" s="48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</row>
    <row r="59" customFormat="false" ht="13.2" hidden="false" customHeight="false" outlineLevel="0" collapsed="false">
      <c r="B59" s="52"/>
      <c r="C59" s="48"/>
      <c r="D59" s="48"/>
      <c r="E59" s="48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</row>
    <row r="60" customFormat="false" ht="13.2" hidden="false" customHeight="false" outlineLevel="0" collapsed="false">
      <c r="B60" s="52"/>
      <c r="C60" s="48"/>
      <c r="D60" s="48"/>
      <c r="E60" s="48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</row>
    <row r="61" customFormat="false" ht="13.2" hidden="false" customHeight="false" outlineLevel="0" collapsed="false">
      <c r="B61" s="52"/>
      <c r="C61" s="48"/>
      <c r="D61" s="48"/>
      <c r="E61" s="48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</row>
    <row r="62" customFormat="false" ht="13.2" hidden="false" customHeight="false" outlineLevel="0" collapsed="false">
      <c r="B62" s="52"/>
      <c r="C62" s="48"/>
      <c r="D62" s="48"/>
      <c r="E62" s="48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</row>
    <row r="63" customFormat="false" ht="13.2" hidden="false" customHeight="false" outlineLevel="0" collapsed="false">
      <c r="B63" s="52"/>
      <c r="C63" s="48"/>
      <c r="D63" s="48"/>
      <c r="E63" s="48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</row>
    <row r="64" customFormat="false" ht="13.2" hidden="false" customHeight="false" outlineLevel="0" collapsed="false">
      <c r="B64" s="52"/>
      <c r="C64" s="48"/>
      <c r="D64" s="48"/>
      <c r="E64" s="48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customFormat="false" ht="13.2" hidden="false" customHeight="false" outlineLevel="0" collapsed="false">
      <c r="B65" s="52"/>
      <c r="C65" s="48"/>
      <c r="D65" s="48"/>
      <c r="E65" s="48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</row>
    <row r="66" customFormat="false" ht="13.2" hidden="false" customHeight="false" outlineLevel="0" collapsed="false">
      <c r="B66" s="52"/>
      <c r="C66" s="48"/>
      <c r="D66" s="48"/>
      <c r="E66" s="48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</row>
    <row r="67" customFormat="false" ht="13.2" hidden="false" customHeight="false" outlineLevel="0" collapsed="false">
      <c r="B67" s="52"/>
      <c r="C67" s="48"/>
      <c r="D67" s="48"/>
      <c r="E67" s="48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</row>
    <row r="68" customFormat="false" ht="13.2" hidden="false" customHeight="false" outlineLevel="0" collapsed="false">
      <c r="B68" s="52"/>
      <c r="C68" s="48"/>
      <c r="D68" s="48"/>
      <c r="E68" s="48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</row>
    <row r="69" customFormat="false" ht="13.2" hidden="false" customHeight="false" outlineLevel="0" collapsed="false">
      <c r="B69" s="52"/>
      <c r="C69" s="48"/>
      <c r="D69" s="48"/>
      <c r="E69" s="48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</row>
    <row r="70" customFormat="false" ht="13.2" hidden="false" customHeight="false" outlineLevel="0" collapsed="false">
      <c r="B70" s="52"/>
      <c r="C70" s="48"/>
      <c r="D70" s="48"/>
      <c r="E70" s="48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customFormat="false" ht="13.2" hidden="false" customHeight="false" outlineLevel="0" collapsed="false">
      <c r="B71" s="52"/>
      <c r="C71" s="48"/>
      <c r="D71" s="48"/>
      <c r="E71" s="48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</row>
    <row r="72" customFormat="false" ht="13.2" hidden="false" customHeight="false" outlineLevel="0" collapsed="false">
      <c r="B72" s="52"/>
      <c r="C72" s="48"/>
      <c r="D72" s="48"/>
      <c r="E72" s="48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</row>
    <row r="73" customFormat="false" ht="13.2" hidden="false" customHeight="false" outlineLevel="0" collapsed="false">
      <c r="B73" s="52"/>
      <c r="C73" s="48"/>
      <c r="D73" s="48"/>
      <c r="E73" s="48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</row>
    <row r="74" customFormat="false" ht="13.2" hidden="false" customHeight="false" outlineLevel="0" collapsed="false">
      <c r="B74" s="52"/>
      <c r="C74" s="48"/>
      <c r="D74" s="48"/>
      <c r="E74" s="48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</row>
    <row r="75" customFormat="false" ht="13.2" hidden="false" customHeight="false" outlineLevel="0" collapsed="false">
      <c r="B75" s="52"/>
      <c r="C75" s="48"/>
      <c r="D75" s="48"/>
      <c r="E75" s="48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</row>
    <row r="76" customFormat="false" ht="13.2" hidden="false" customHeight="false" outlineLevel="0" collapsed="false">
      <c r="B76" s="52"/>
      <c r="C76" s="48"/>
      <c r="D76" s="48"/>
      <c r="E76" s="48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</row>
    <row r="77" customFormat="false" ht="13.2" hidden="false" customHeight="false" outlineLevel="0" collapsed="false">
      <c r="B77" s="52"/>
      <c r="C77" s="48"/>
      <c r="D77" s="48"/>
      <c r="E77" s="48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</row>
    <row r="78" customFormat="false" ht="13.2" hidden="false" customHeight="false" outlineLevel="0" collapsed="false">
      <c r="B78" s="52"/>
      <c r="C78" s="48"/>
      <c r="D78" s="48"/>
      <c r="E78" s="48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</row>
    <row r="79" customFormat="false" ht="13.2" hidden="false" customHeight="false" outlineLevel="0" collapsed="false">
      <c r="B79" s="52"/>
      <c r="C79" s="48"/>
      <c r="D79" s="48"/>
      <c r="E79" s="48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</row>
    <row r="80" customFormat="false" ht="13.2" hidden="false" customHeight="false" outlineLevel="0" collapsed="false">
      <c r="B80" s="52"/>
      <c r="C80" s="48"/>
      <c r="D80" s="48"/>
      <c r="E80" s="48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</row>
    <row r="81" customFormat="false" ht="13.2" hidden="false" customHeight="false" outlineLevel="0" collapsed="false">
      <c r="B81" s="52"/>
      <c r="C81" s="48"/>
      <c r="D81" s="48"/>
      <c r="E81" s="48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customFormat="false" ht="13.2" hidden="false" customHeight="false" outlineLevel="0" collapsed="false">
      <c r="B82" s="52"/>
      <c r="C82" s="48"/>
      <c r="D82" s="48"/>
      <c r="E82" s="48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</row>
    <row r="83" customFormat="false" ht="13.2" hidden="false" customHeight="false" outlineLevel="0" collapsed="false">
      <c r="B83" s="52"/>
      <c r="C83" s="48"/>
      <c r="D83" s="48"/>
      <c r="E83" s="48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</row>
    <row r="84" customFormat="false" ht="13.2" hidden="false" customHeight="false" outlineLevel="0" collapsed="false">
      <c r="B84" s="52"/>
      <c r="C84" s="48"/>
      <c r="D84" s="48"/>
      <c r="E84" s="48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</row>
    <row r="85" customFormat="false" ht="13.2" hidden="false" customHeight="false" outlineLevel="0" collapsed="false">
      <c r="B85" s="52"/>
      <c r="C85" s="48"/>
      <c r="D85" s="48"/>
      <c r="E85" s="48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</row>
    <row r="86" customFormat="false" ht="13.2" hidden="false" customHeight="false" outlineLevel="0" collapsed="false">
      <c r="B86" s="52"/>
      <c r="C86" s="48"/>
      <c r="D86" s="48"/>
      <c r="E86" s="48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</row>
    <row r="87" customFormat="false" ht="13.2" hidden="false" customHeight="false" outlineLevel="0" collapsed="false">
      <c r="B87" s="52"/>
      <c r="C87" s="48"/>
      <c r="D87" s="48"/>
      <c r="E87" s="48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</row>
    <row r="88" customFormat="false" ht="13.2" hidden="false" customHeight="false" outlineLevel="0" collapsed="false">
      <c r="B88" s="52"/>
      <c r="C88" s="48"/>
      <c r="D88" s="48"/>
      <c r="E88" s="48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</row>
    <row r="89" customFormat="false" ht="13.2" hidden="false" customHeight="false" outlineLevel="0" collapsed="false">
      <c r="B89" s="52"/>
      <c r="C89" s="48"/>
      <c r="D89" s="48"/>
      <c r="E89" s="48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</row>
    <row r="90" customFormat="false" ht="13.2" hidden="false" customHeight="false" outlineLevel="0" collapsed="false">
      <c r="B90" s="52"/>
      <c r="C90" s="48"/>
      <c r="D90" s="48"/>
      <c r="E90" s="48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</row>
    <row r="91" customFormat="false" ht="13.2" hidden="false" customHeight="false" outlineLevel="0" collapsed="false">
      <c r="B91" s="52"/>
      <c r="C91" s="48"/>
      <c r="D91" s="48"/>
      <c r="E91" s="48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</row>
    <row r="92" customFormat="false" ht="13.2" hidden="false" customHeight="false" outlineLevel="0" collapsed="false">
      <c r="B92" s="52"/>
      <c r="C92" s="48"/>
      <c r="D92" s="48"/>
      <c r="E92" s="48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</row>
    <row r="93" customFormat="false" ht="13.2" hidden="false" customHeight="false" outlineLevel="0" collapsed="false">
      <c r="B93" s="52"/>
      <c r="C93" s="48"/>
      <c r="D93" s="48"/>
      <c r="E93" s="48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</row>
    <row r="94" customFormat="false" ht="13.2" hidden="false" customHeight="false" outlineLevel="0" collapsed="false">
      <c r="B94" s="52"/>
      <c r="C94" s="48"/>
      <c r="D94" s="48"/>
      <c r="E94" s="48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</row>
    <row r="95" customFormat="false" ht="13.2" hidden="false" customHeight="false" outlineLevel="0" collapsed="false">
      <c r="B95" s="52"/>
      <c r="C95" s="48"/>
      <c r="D95" s="48"/>
      <c r="E95" s="48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</row>
    <row r="96" customFormat="false" ht="13.2" hidden="false" customHeight="false" outlineLevel="0" collapsed="false">
      <c r="B96" s="52"/>
      <c r="C96" s="48"/>
      <c r="D96" s="48"/>
      <c r="E96" s="48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</row>
    <row r="97" customFormat="false" ht="13.2" hidden="false" customHeight="false" outlineLevel="0" collapsed="false">
      <c r="B97" s="52"/>
      <c r="C97" s="48"/>
      <c r="D97" s="48"/>
      <c r="E97" s="48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</row>
    <row r="98" customFormat="false" ht="13.2" hidden="false" customHeight="false" outlineLevel="0" collapsed="false">
      <c r="B98" s="52"/>
      <c r="C98" s="48"/>
      <c r="D98" s="48"/>
      <c r="E98" s="48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</row>
    <row r="99" customFormat="false" ht="13.2" hidden="false" customHeight="false" outlineLevel="0" collapsed="false">
      <c r="B99" s="52"/>
      <c r="C99" s="48"/>
      <c r="D99" s="48"/>
      <c r="E99" s="48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</row>
    <row r="100" customFormat="false" ht="13.2" hidden="false" customHeight="false" outlineLevel="0" collapsed="false">
      <c r="B100" s="52"/>
      <c r="C100" s="48"/>
      <c r="D100" s="48"/>
      <c r="E100" s="48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</row>
    <row r="101" customFormat="false" ht="13.2" hidden="false" customHeight="false" outlineLevel="0" collapsed="false">
      <c r="B101" s="52"/>
      <c r="C101" s="48"/>
      <c r="D101" s="48"/>
      <c r="E101" s="48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</row>
    <row r="102" customFormat="false" ht="13.2" hidden="false" customHeight="false" outlineLevel="0" collapsed="false">
      <c r="B102" s="52"/>
      <c r="C102" s="48"/>
      <c r="D102" s="48"/>
      <c r="E102" s="48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</row>
    <row r="103" customFormat="false" ht="13.2" hidden="false" customHeight="false" outlineLevel="0" collapsed="false">
      <c r="B103" s="52"/>
      <c r="C103" s="48"/>
      <c r="D103" s="48"/>
      <c r="E103" s="48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</row>
    <row r="104" customFormat="false" ht="13.2" hidden="false" customHeight="false" outlineLevel="0" collapsed="false">
      <c r="B104" s="52"/>
      <c r="C104" s="48"/>
      <c r="D104" s="48"/>
      <c r="E104" s="48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</row>
    <row r="105" customFormat="false" ht="13.2" hidden="false" customHeight="false" outlineLevel="0" collapsed="false">
      <c r="B105" s="52"/>
      <c r="C105" s="48"/>
      <c r="D105" s="48"/>
      <c r="E105" s="48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</row>
    <row r="106" customFormat="false" ht="13.2" hidden="false" customHeight="false" outlineLevel="0" collapsed="false">
      <c r="B106" s="52"/>
      <c r="C106" s="48"/>
      <c r="D106" s="48"/>
      <c r="E106" s="48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</row>
    <row r="107" customFormat="false" ht="13.2" hidden="false" customHeight="false" outlineLevel="0" collapsed="false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</row>
    <row r="108" customFormat="false" ht="13.2" hidden="false" customHeight="false" outlineLevel="0" collapsed="false"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</row>
    <row r="109" customFormat="false" ht="13.2" hidden="false" customHeight="false" outlineLevel="0" collapsed="false"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customFormat="false" ht="13.2" hidden="false" customHeight="false" outlineLevel="0" collapsed="false"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</row>
    <row r="111" customFormat="false" ht="13.2" hidden="false" customHeight="false" outlineLevel="0" collapsed="false"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</row>
    <row r="112" customFormat="false" ht="13.2" hidden="false" customHeight="false" outlineLevel="0" collapsed="false"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</row>
    <row r="113" customFormat="false" ht="13.2" hidden="false" customHeight="false" outlineLevel="0" collapsed="false"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</row>
    <row r="114" customFormat="false" ht="13.2" hidden="false" customHeight="false" outlineLevel="0" collapsed="false"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</row>
    <row r="115" customFormat="false" ht="13.2" hidden="false" customHeight="false" outlineLevel="0" collapsed="false"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</row>
    <row r="116" customFormat="false" ht="13.2" hidden="false" customHeight="false" outlineLevel="0" collapsed="false"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</row>
    <row r="117" customFormat="false" ht="13.2" hidden="false" customHeight="false" outlineLevel="0" collapsed="false"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</row>
    <row r="118" customFormat="false" ht="13.2" hidden="false" customHeight="false" outlineLevel="0" collapsed="false"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</row>
    <row r="119" customFormat="false" ht="13.2" hidden="false" customHeight="false" outlineLevel="0" collapsed="false"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</row>
    <row r="120" customFormat="false" ht="13.2" hidden="false" customHeight="false" outlineLevel="0" collapsed="false"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</row>
    <row r="121" customFormat="false" ht="13.2" hidden="false" customHeight="false" outlineLevel="0" collapsed="false"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</row>
    <row r="122" customFormat="false" ht="13.2" hidden="false" customHeight="false" outlineLevel="0" collapsed="false"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</row>
    <row r="123" customFormat="false" ht="13.2" hidden="false" customHeight="false" outlineLevel="0" collapsed="false"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</row>
    <row r="124" customFormat="false" ht="13.2" hidden="false" customHeight="false" outlineLevel="0" collapsed="false"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</row>
    <row r="125" customFormat="false" ht="13.2" hidden="false" customHeight="false" outlineLevel="0" collapsed="false"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</row>
    <row r="126" customFormat="false" ht="13.2" hidden="false" customHeight="false" outlineLevel="0" collapsed="false"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</row>
    <row r="127" customFormat="false" ht="13.2" hidden="false" customHeight="false" outlineLevel="0" collapsed="false"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</row>
    <row r="128" customFormat="false" ht="13.2" hidden="false" customHeight="false" outlineLevel="0" collapsed="false"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</row>
    <row r="129" customFormat="false" ht="13.2" hidden="false" customHeight="false" outlineLevel="0" collapsed="false"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</row>
    <row r="130" customFormat="false" ht="13.2" hidden="false" customHeight="false" outlineLevel="0" collapsed="false"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</row>
    <row r="131" customFormat="false" ht="13.2" hidden="false" customHeight="false" outlineLevel="0" collapsed="false"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</row>
    <row r="132" customFormat="false" ht="13.2" hidden="false" customHeight="false" outlineLevel="0" collapsed="false"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</row>
    <row r="133" customFormat="false" ht="13.2" hidden="false" customHeight="false" outlineLevel="0" collapsed="false"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</row>
    <row r="134" customFormat="false" ht="13.2" hidden="false" customHeight="false" outlineLevel="0" collapsed="false"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</row>
    <row r="135" customFormat="false" ht="13.2" hidden="false" customHeight="false" outlineLevel="0" collapsed="false"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</row>
    <row r="136" customFormat="false" ht="13.2" hidden="false" customHeight="false" outlineLevel="0" collapsed="false"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</row>
    <row r="137" customFormat="false" ht="13.2" hidden="false" customHeight="false" outlineLevel="0" collapsed="false"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</row>
    <row r="138" customFormat="false" ht="13.2" hidden="false" customHeight="false" outlineLevel="0" collapsed="false"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</row>
    <row r="139" customFormat="false" ht="13.2" hidden="false" customHeight="false" outlineLevel="0" collapsed="false"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</row>
    <row r="140" customFormat="false" ht="13.2" hidden="false" customHeight="false" outlineLevel="0" collapsed="false"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</row>
    <row r="141" customFormat="false" ht="13.2" hidden="false" customHeight="false" outlineLevel="0" collapsed="false"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</row>
    <row r="142" customFormat="false" ht="13.2" hidden="false" customHeight="false" outlineLevel="0" collapsed="false"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</row>
    <row r="143" customFormat="false" ht="13.2" hidden="false" customHeight="false" outlineLevel="0" collapsed="false"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</row>
    <row r="144" customFormat="false" ht="13.2" hidden="false" customHeight="false" outlineLevel="0" collapsed="false"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</row>
    <row r="145" customFormat="false" ht="13.2" hidden="false" customHeight="false" outlineLevel="0" collapsed="false"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</row>
    <row r="146" customFormat="false" ht="13.2" hidden="false" customHeight="false" outlineLevel="0" collapsed="false"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</row>
    <row r="147" customFormat="false" ht="13.2" hidden="false" customHeight="false" outlineLevel="0" collapsed="false"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</row>
    <row r="148" customFormat="false" ht="13.2" hidden="false" customHeight="false" outlineLevel="0" collapsed="false"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</row>
    <row r="149" customFormat="false" ht="13.2" hidden="false" customHeight="false" outlineLevel="0" collapsed="false"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</row>
    <row r="150" customFormat="false" ht="13.2" hidden="false" customHeight="false" outlineLevel="0" collapsed="false"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</row>
    <row r="151" customFormat="false" ht="13.2" hidden="false" customHeight="false" outlineLevel="0" collapsed="false"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</row>
    <row r="152" customFormat="false" ht="13.2" hidden="false" customHeight="false" outlineLevel="0" collapsed="false"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</row>
    <row r="153" customFormat="false" ht="13.2" hidden="false" customHeight="false" outlineLevel="0" collapsed="false"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</row>
    <row r="154" customFormat="false" ht="13.2" hidden="false" customHeight="false" outlineLevel="0" collapsed="false"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</row>
    <row r="155" customFormat="false" ht="13.2" hidden="false" customHeight="false" outlineLevel="0" collapsed="false"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</row>
    <row r="156" customFormat="false" ht="13.2" hidden="false" customHeight="false" outlineLevel="0" collapsed="false"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</row>
    <row r="157" customFormat="false" ht="13.2" hidden="false" customHeight="false" outlineLevel="0" collapsed="false"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</row>
    <row r="158" customFormat="false" ht="13.2" hidden="false" customHeight="false" outlineLevel="0" collapsed="false"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</row>
    <row r="159" customFormat="false" ht="13.2" hidden="false" customHeight="false" outlineLevel="0" collapsed="false"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</row>
    <row r="160" customFormat="false" ht="13.2" hidden="false" customHeight="false" outlineLevel="0" collapsed="false"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</row>
    <row r="161" customFormat="false" ht="13.2" hidden="false" customHeight="false" outlineLevel="0" collapsed="false"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</row>
    <row r="162" customFormat="false" ht="13.2" hidden="false" customHeight="false" outlineLevel="0" collapsed="false"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</row>
    <row r="163" customFormat="false" ht="13.2" hidden="false" customHeight="false" outlineLevel="0" collapsed="false"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</row>
    <row r="164" customFormat="false" ht="13.2" hidden="false" customHeight="false" outlineLevel="0" collapsed="false"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</row>
    <row r="165" customFormat="false" ht="13.2" hidden="false" customHeight="false" outlineLevel="0" collapsed="false"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</row>
    <row r="166" customFormat="false" ht="13.2" hidden="false" customHeight="false" outlineLevel="0" collapsed="false"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</row>
    <row r="167" customFormat="false" ht="13.2" hidden="false" customHeight="false" outlineLevel="0" collapsed="false"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</row>
    <row r="168" customFormat="false" ht="13.2" hidden="false" customHeight="false" outlineLevel="0" collapsed="false"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</row>
  </sheetData>
  <printOptions headings="false" gridLines="false" gridLinesSet="true" horizontalCentered="false" verticalCentered="false"/>
  <pageMargins left="0.340277777777778" right="0.279861111111111" top="1.8" bottom="0.940277777777778" header="0.609722222222222" footer="0.390277777777778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Roman,Bold"&amp;12&amp;UTABLE 4-17
&amp;UFUNCTIONAL REVENUE ALLOCATIONS AND AVERAGE RATES
&amp;10Scenario NO. 1
&amp;"Times New Roman,Regular"(Dollars in Thousands, Average Rates in Cents/kWh)</oddHeader>
    <oddFooter>&amp;C&amp;"Times New Roman,Regular"4-34&amp;&amp;35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8"/>
  <sheetViews>
    <sheetView showFormulas="false" showGridLines="true" showRowColHeaders="true" showZeros="true" rightToLeft="false" tabSelected="false" showOutlineSymbols="true" defaultGridColor="true" view="normal" topLeftCell="V1" colorId="64" zoomScale="100" zoomScaleNormal="100" zoomScalePageLayoutView="100" workbookViewId="0">
      <selection pane="topLeft" activeCell="Y10" activeCellId="0" sqref="Y10"/>
    </sheetView>
  </sheetViews>
  <sheetFormatPr defaultColWidth="7.2109375" defaultRowHeight="13.2" customHeight="true" zeroHeight="false" outlineLevelRow="0" outlineLevelCol="0"/>
  <cols>
    <col collapsed="false" customWidth="true" hidden="false" outlineLevel="0" max="1" min="1" style="5" width="11.66"/>
    <col collapsed="false" customWidth="true" hidden="false" outlineLevel="0" max="2" min="2" style="6" width="1.87"/>
    <col collapsed="false" customWidth="true" hidden="false" outlineLevel="0" max="3" min="3" style="5" width="10.1"/>
    <col collapsed="false" customWidth="true" hidden="false" outlineLevel="0" max="4" min="4" style="5" width="10.66"/>
    <col collapsed="false" customWidth="true" hidden="false" outlineLevel="0" max="5" min="5" style="5" width="11.55"/>
    <col collapsed="false" customWidth="true" hidden="false" outlineLevel="0" max="6" min="6" style="5" width="1.32"/>
    <col collapsed="false" customWidth="true" hidden="false" outlineLevel="0" max="7" min="7" style="5" width="10.2"/>
    <col collapsed="false" customWidth="true" hidden="false" outlineLevel="0" max="8" min="8" style="5" width="8.43"/>
    <col collapsed="false" customWidth="true" hidden="false" outlineLevel="0" max="9" min="9" style="5" width="9.77"/>
    <col collapsed="false" customWidth="true" hidden="false" outlineLevel="0" max="10" min="10" style="5" width="10.32"/>
    <col collapsed="false" customWidth="true" hidden="false" outlineLevel="0" max="11" min="11" style="5" width="9.77"/>
    <col collapsed="false" customWidth="true" hidden="false" outlineLevel="0" max="12" min="12" style="5" width="7.66"/>
    <col collapsed="false" customWidth="true" hidden="false" outlineLevel="0" max="13" min="13" style="5" width="8.43"/>
    <col collapsed="false" customWidth="true" hidden="false" outlineLevel="0" max="14" min="14" style="5" width="9.77"/>
    <col collapsed="false" customWidth="true" hidden="false" outlineLevel="0" max="15" min="15" style="5" width="8.76"/>
    <col collapsed="false" customWidth="true" hidden="false" outlineLevel="0" max="16" min="16" style="5" width="7.88"/>
    <col collapsed="false" customWidth="true" hidden="false" outlineLevel="0" max="17" min="17" style="5" width="9.66"/>
    <col collapsed="false" customWidth="true" hidden="false" outlineLevel="0" max="18" min="18" style="5" width="2.55"/>
    <col collapsed="false" customWidth="false" hidden="false" outlineLevel="0" max="19" min="19" style="5" width="7.21"/>
    <col collapsed="false" customWidth="true" hidden="false" outlineLevel="0" max="20" min="20" style="5" width="7.99"/>
    <col collapsed="false" customWidth="true" hidden="false" outlineLevel="0" max="21" min="21" style="5" width="3.32"/>
    <col collapsed="false" customWidth="true" hidden="false" outlineLevel="0" max="22" min="22" style="5" width="9.21"/>
    <col collapsed="false" customWidth="true" hidden="false" outlineLevel="0" max="23" min="23" style="5" width="8.76"/>
    <col collapsed="false" customWidth="true" hidden="false" outlineLevel="0" max="24" min="24" style="5" width="10.32"/>
    <col collapsed="false" customWidth="true" hidden="false" outlineLevel="0" max="25" min="25" style="5" width="8.87"/>
    <col collapsed="false" customWidth="true" hidden="false" outlineLevel="0" max="26" min="26" style="5" width="9.55"/>
    <col collapsed="false" customWidth="true" hidden="false" outlineLevel="0" max="27" min="27" style="5" width="8.43"/>
    <col collapsed="false" customWidth="true" hidden="false" outlineLevel="0" max="28" min="28" style="5" width="7.88"/>
    <col collapsed="false" customWidth="true" hidden="false" outlineLevel="0" max="29" min="29" style="5" width="9.99"/>
    <col collapsed="false" customWidth="true" hidden="false" outlineLevel="0" max="30" min="30" style="5" width="6.99"/>
    <col collapsed="false" customWidth="true" hidden="false" outlineLevel="0" max="31" min="31" style="5" width="7.88"/>
    <col collapsed="false" customWidth="true" hidden="false" outlineLevel="0" max="32" min="32" style="5" width="9.1"/>
    <col collapsed="false" customWidth="true" hidden="false" outlineLevel="0" max="33" min="33" style="5" width="8.55"/>
    <col collapsed="false" customWidth="true" hidden="false" outlineLevel="0" max="34" min="34" style="5" width="7.76"/>
    <col collapsed="false" customWidth="false" hidden="false" outlineLevel="0" max="39" min="35" style="5" width="7.21"/>
    <col collapsed="false" customWidth="true" hidden="true" outlineLevel="0" max="40" min="40" style="5" width="8.1"/>
    <col collapsed="false" customWidth="false" hidden="false" outlineLevel="0" max="257" min="41" style="5" width="7.21"/>
  </cols>
  <sheetData>
    <row r="1" customFormat="false" ht="14.4" hidden="false" customHeight="false" outlineLevel="0" collapsed="false">
      <c r="A1" s="7"/>
      <c r="B1" s="8" t="s">
        <v>41</v>
      </c>
      <c r="C1" s="9"/>
      <c r="D1" s="10" t="s">
        <v>42</v>
      </c>
      <c r="E1" s="11" t="s">
        <v>42</v>
      </c>
      <c r="F1" s="12"/>
      <c r="G1" s="13" t="s">
        <v>43</v>
      </c>
      <c r="H1" s="14"/>
      <c r="I1" s="10"/>
      <c r="J1" s="15" t="str">
        <f aca="false">'[1]For rate design'!J1</f>
        <v>Option 3</v>
      </c>
      <c r="K1" s="16"/>
      <c r="L1" s="14"/>
      <c r="M1" s="17" t="s">
        <v>44</v>
      </c>
      <c r="N1" s="10" t="s">
        <v>45</v>
      </c>
      <c r="O1" s="18"/>
      <c r="P1" s="18"/>
      <c r="Q1" s="11" t="s">
        <v>46</v>
      </c>
      <c r="R1" s="12"/>
      <c r="S1" s="19" t="s">
        <v>47</v>
      </c>
      <c r="T1" s="11" t="s">
        <v>47</v>
      </c>
      <c r="U1" s="12"/>
      <c r="V1" s="19"/>
      <c r="W1" s="10"/>
      <c r="X1" s="10"/>
      <c r="Y1" s="10"/>
      <c r="Z1" s="10" t="s">
        <v>48</v>
      </c>
      <c r="AA1" s="10" t="s">
        <v>49</v>
      </c>
      <c r="AB1" s="10" t="s">
        <v>44</v>
      </c>
      <c r="AC1" s="10" t="s">
        <v>45</v>
      </c>
      <c r="AD1" s="10"/>
      <c r="AE1" s="10"/>
      <c r="AF1" s="10" t="s">
        <v>46</v>
      </c>
      <c r="AG1" s="20" t="s">
        <v>50</v>
      </c>
      <c r="AH1" s="11" t="s">
        <v>50</v>
      </c>
      <c r="AI1" s="12"/>
      <c r="AJ1" s="21"/>
      <c r="AK1" s="12"/>
      <c r="AL1" s="22"/>
      <c r="AM1" s="12"/>
      <c r="AN1" s="23"/>
      <c r="AO1" s="24"/>
      <c r="AP1" s="23"/>
      <c r="AQ1" s="22"/>
      <c r="AR1" s="12"/>
      <c r="AS1" s="21"/>
      <c r="AT1" s="12"/>
      <c r="AU1" s="21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13.2" hidden="false" customHeight="false" outlineLevel="0" collapsed="false">
      <c r="A2" s="25"/>
      <c r="B2" s="26" t="s">
        <v>51</v>
      </c>
      <c r="C2" s="27"/>
      <c r="D2" s="12" t="s">
        <v>52</v>
      </c>
      <c r="E2" s="28" t="s">
        <v>52</v>
      </c>
      <c r="F2" s="12"/>
      <c r="G2" s="29" t="s">
        <v>42</v>
      </c>
      <c r="H2" s="12" t="s">
        <v>53</v>
      </c>
      <c r="I2" s="12" t="s">
        <v>54</v>
      </c>
      <c r="J2" s="12" t="s">
        <v>55</v>
      </c>
      <c r="K2" s="30" t="s">
        <v>56</v>
      </c>
      <c r="L2" s="12" t="s">
        <v>57</v>
      </c>
      <c r="M2" s="31" t="s">
        <v>58</v>
      </c>
      <c r="N2" s="12" t="s">
        <v>59</v>
      </c>
      <c r="O2" s="31" t="s">
        <v>60</v>
      </c>
      <c r="P2" s="31" t="s">
        <v>61</v>
      </c>
      <c r="Q2" s="28" t="s">
        <v>62</v>
      </c>
      <c r="R2" s="12"/>
      <c r="S2" s="32" t="n">
        <v>35226</v>
      </c>
      <c r="T2" s="33" t="n">
        <v>36161</v>
      </c>
      <c r="U2" s="12"/>
      <c r="V2" s="34" t="s">
        <v>43</v>
      </c>
      <c r="W2" s="12" t="s">
        <v>53</v>
      </c>
      <c r="X2" s="12" t="s">
        <v>54</v>
      </c>
      <c r="Y2" s="12" t="s">
        <v>55</v>
      </c>
      <c r="Z2" s="12" t="s">
        <v>63</v>
      </c>
      <c r="AA2" s="12" t="s">
        <v>64</v>
      </c>
      <c r="AB2" s="12" t="s">
        <v>58</v>
      </c>
      <c r="AC2" s="12" t="s">
        <v>59</v>
      </c>
      <c r="AD2" s="12" t="s">
        <v>60</v>
      </c>
      <c r="AE2" s="12" t="s">
        <v>61</v>
      </c>
      <c r="AF2" s="12" t="s">
        <v>62</v>
      </c>
      <c r="AG2" s="30" t="s">
        <v>65</v>
      </c>
      <c r="AH2" s="28" t="s">
        <v>65</v>
      </c>
      <c r="AI2" s="22"/>
      <c r="AJ2" s="22"/>
      <c r="AK2" s="22"/>
      <c r="AL2" s="12"/>
      <c r="AM2" s="22"/>
      <c r="AN2" s="12"/>
      <c r="AO2" s="22"/>
      <c r="AP2" s="30"/>
      <c r="AQ2" s="22"/>
      <c r="AR2" s="12"/>
      <c r="AS2" s="31"/>
      <c r="AT2" s="12"/>
      <c r="AU2" s="12"/>
      <c r="AV2" s="30"/>
      <c r="AW2" s="12"/>
      <c r="AX2" s="12"/>
      <c r="AY2" s="12"/>
      <c r="AZ2" s="30"/>
      <c r="BA2" s="12"/>
      <c r="BB2" s="31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3.2" hidden="false" customHeight="false" outlineLevel="0" collapsed="false">
      <c r="A3" s="35" t="s">
        <v>66</v>
      </c>
      <c r="B3" s="36" t="s">
        <v>67</v>
      </c>
      <c r="C3" s="27" t="s">
        <v>68</v>
      </c>
      <c r="D3" s="12" t="s">
        <v>69</v>
      </c>
      <c r="E3" s="28" t="s">
        <v>70</v>
      </c>
      <c r="F3" s="12"/>
      <c r="G3" s="29" t="s">
        <v>71</v>
      </c>
      <c r="H3" s="12" t="s">
        <v>42</v>
      </c>
      <c r="I3" s="12" t="s">
        <v>42</v>
      </c>
      <c r="J3" s="12" t="s">
        <v>42</v>
      </c>
      <c r="K3" s="30" t="s">
        <v>42</v>
      </c>
      <c r="L3" s="12" t="s">
        <v>42</v>
      </c>
      <c r="M3" s="31" t="s">
        <v>42</v>
      </c>
      <c r="N3" s="12" t="s">
        <v>42</v>
      </c>
      <c r="O3" s="31" t="s">
        <v>42</v>
      </c>
      <c r="P3" s="31" t="s">
        <v>42</v>
      </c>
      <c r="Q3" s="28" t="s">
        <v>72</v>
      </c>
      <c r="R3" s="12"/>
      <c r="S3" s="34" t="s">
        <v>73</v>
      </c>
      <c r="T3" s="28" t="s">
        <v>73</v>
      </c>
      <c r="U3" s="12"/>
      <c r="V3" s="34" t="s">
        <v>73</v>
      </c>
      <c r="W3" s="12" t="s">
        <v>73</v>
      </c>
      <c r="X3" s="12" t="s">
        <v>73</v>
      </c>
      <c r="Y3" s="12" t="s">
        <v>73</v>
      </c>
      <c r="Z3" s="12" t="s">
        <v>73</v>
      </c>
      <c r="AA3" s="12" t="s">
        <v>73</v>
      </c>
      <c r="AB3" s="12" t="s">
        <v>73</v>
      </c>
      <c r="AC3" s="12" t="s">
        <v>73</v>
      </c>
      <c r="AD3" s="12" t="s">
        <v>73</v>
      </c>
      <c r="AE3" s="12" t="s">
        <v>73</v>
      </c>
      <c r="AF3" s="12" t="s">
        <v>72</v>
      </c>
      <c r="AG3" s="30" t="s">
        <v>74</v>
      </c>
      <c r="AH3" s="28" t="s">
        <v>75</v>
      </c>
      <c r="AI3" s="22"/>
      <c r="AJ3" s="22"/>
      <c r="AK3" s="22"/>
      <c r="AL3" s="12"/>
      <c r="AM3" s="22"/>
      <c r="AN3" s="12"/>
      <c r="AO3" s="22"/>
      <c r="AP3" s="30"/>
      <c r="AQ3" s="22"/>
      <c r="AR3" s="12"/>
      <c r="AS3" s="31"/>
      <c r="AT3" s="12"/>
      <c r="AU3" s="12"/>
      <c r="AV3" s="30"/>
      <c r="AW3" s="12"/>
      <c r="AX3" s="12"/>
      <c r="AY3" s="12"/>
      <c r="AZ3" s="30"/>
      <c r="BA3" s="12"/>
      <c r="BB3" s="31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3.2" hidden="false" customHeight="false" outlineLevel="0" collapsed="false">
      <c r="A4" s="37"/>
      <c r="B4" s="38" t="s">
        <v>76</v>
      </c>
      <c r="C4" s="39" t="s">
        <v>77</v>
      </c>
      <c r="D4" s="40" t="s">
        <v>78</v>
      </c>
      <c r="E4" s="41" t="s">
        <v>79</v>
      </c>
      <c r="F4" s="12"/>
      <c r="G4" s="42" t="s">
        <v>80</v>
      </c>
      <c r="H4" s="40" t="s">
        <v>81</v>
      </c>
      <c r="I4" s="40" t="s">
        <v>82</v>
      </c>
      <c r="J4" s="40" t="s">
        <v>83</v>
      </c>
      <c r="K4" s="43" t="s">
        <v>84</v>
      </c>
      <c r="L4" s="40" t="s">
        <v>85</v>
      </c>
      <c r="M4" s="40" t="s">
        <v>86</v>
      </c>
      <c r="N4" s="40" t="s">
        <v>87</v>
      </c>
      <c r="O4" s="40" t="s">
        <v>88</v>
      </c>
      <c r="P4" s="40" t="s">
        <v>89</v>
      </c>
      <c r="Q4" s="41" t="s">
        <v>90</v>
      </c>
      <c r="R4" s="12"/>
      <c r="S4" s="44" t="s">
        <v>77</v>
      </c>
      <c r="T4" s="41" t="s">
        <v>78</v>
      </c>
      <c r="U4" s="22"/>
      <c r="V4" s="44" t="s">
        <v>79</v>
      </c>
      <c r="W4" s="40" t="s">
        <v>80</v>
      </c>
      <c r="X4" s="40" t="s">
        <v>81</v>
      </c>
      <c r="Y4" s="43" t="s">
        <v>82</v>
      </c>
      <c r="Z4" s="40" t="s">
        <v>83</v>
      </c>
      <c r="AA4" s="40" t="s">
        <v>84</v>
      </c>
      <c r="AB4" s="40" t="s">
        <v>85</v>
      </c>
      <c r="AC4" s="40" t="s">
        <v>86</v>
      </c>
      <c r="AD4" s="40" t="s">
        <v>87</v>
      </c>
      <c r="AE4" s="40" t="s">
        <v>88</v>
      </c>
      <c r="AF4" s="45" t="s">
        <v>89</v>
      </c>
      <c r="AG4" s="40" t="s">
        <v>90</v>
      </c>
      <c r="AH4" s="46" t="s">
        <v>91</v>
      </c>
      <c r="AI4" s="22"/>
      <c r="AJ4" s="22"/>
      <c r="AK4" s="22"/>
      <c r="AL4" s="12"/>
      <c r="AM4" s="22"/>
      <c r="AN4" s="12"/>
      <c r="AO4" s="22"/>
      <c r="AP4" s="30"/>
      <c r="AQ4" s="22"/>
      <c r="AR4" s="12"/>
      <c r="AS4" s="31"/>
      <c r="AT4" s="12"/>
      <c r="AU4" s="12"/>
      <c r="AV4" s="30"/>
      <c r="AW4" s="12"/>
      <c r="AX4" s="12"/>
      <c r="AY4" s="12"/>
      <c r="AZ4" s="30"/>
      <c r="BA4" s="12"/>
      <c r="BB4" s="31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6" customFormat="false" ht="13.2" hidden="false" customHeight="false" outlineLevel="0" collapsed="false">
      <c r="A6" s="5" t="s">
        <v>92</v>
      </c>
      <c r="B6" s="47"/>
      <c r="C6" s="48" t="n">
        <v>26849999999</v>
      </c>
      <c r="D6" s="49" t="n">
        <v>2872947678.74415</v>
      </c>
      <c r="E6" s="49" t="n">
        <v>3192164087.49349</v>
      </c>
      <c r="F6" s="49" t="n">
        <v>0</v>
      </c>
      <c r="G6" s="49" t="n">
        <v>903791586.836467</v>
      </c>
      <c r="H6" s="49" t="n">
        <v>201920255.5658</v>
      </c>
      <c r="I6" s="49" t="n">
        <v>142194562.59719</v>
      </c>
      <c r="J6" s="49" t="n">
        <v>1011584115.89517</v>
      </c>
      <c r="K6" s="49" t="n">
        <v>93533107.4476109</v>
      </c>
      <c r="L6" s="49" t="n">
        <v>11303463.6370701</v>
      </c>
      <c r="M6" s="49" t="n">
        <v>92978837.092709</v>
      </c>
      <c r="N6" s="49" t="n">
        <v>2457305929.07202</v>
      </c>
      <c r="O6" s="49" t="n">
        <v>296053469.988974</v>
      </c>
      <c r="P6" s="49" t="n">
        <v>-45842542.3963548</v>
      </c>
      <c r="Q6" s="49" t="n">
        <v>2707516856.66464</v>
      </c>
      <c r="R6" s="48" t="n">
        <v>0</v>
      </c>
      <c r="S6" s="50" t="n">
        <v>11.8888792834726</v>
      </c>
      <c r="T6" s="50" t="n">
        <v>10.6999913551253</v>
      </c>
      <c r="U6" s="50"/>
      <c r="V6" s="50" t="n">
        <v>3.36607667363176</v>
      </c>
      <c r="W6" s="50" t="n">
        <v>0.752030747014229</v>
      </c>
      <c r="X6" s="50" t="n">
        <v>0.529588687532537</v>
      </c>
      <c r="Y6" s="50" t="n">
        <v>3.76753860682625</v>
      </c>
      <c r="Z6" s="50" t="n">
        <v>0.348354217694951</v>
      </c>
      <c r="AA6" s="50" t="n">
        <v>0.0420985610334865</v>
      </c>
      <c r="AB6" s="50" t="n">
        <v>0.346289896075128</v>
      </c>
      <c r="AC6" s="50" t="n">
        <v>9.15197738980834</v>
      </c>
      <c r="AD6" s="50" t="n">
        <v>1.10262</v>
      </c>
      <c r="AE6" s="50" t="n">
        <v>-0.170735725877326</v>
      </c>
      <c r="AF6" s="50" t="n">
        <v>10.083861663931</v>
      </c>
      <c r="AG6" s="51" t="n">
        <v>-0.151824034587584</v>
      </c>
      <c r="AH6" s="51" t="n">
        <v>-0.057582260652871</v>
      </c>
      <c r="AI6" s="50"/>
      <c r="AJ6" s="48"/>
      <c r="AK6" s="48"/>
      <c r="AL6" s="48"/>
      <c r="AM6" s="48" t="n">
        <f aca="false">'[1]For rate design'!AM10</f>
        <v>0</v>
      </c>
      <c r="AN6" s="48" t="n">
        <f aca="false">'[1]For rate design'!AN10</f>
        <v>1002244329.82795</v>
      </c>
    </row>
    <row r="7" customFormat="false" ht="13.2" hidden="false" customHeight="false" outlineLevel="0" collapsed="false">
      <c r="B7" s="52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8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  <c r="AH7" s="51"/>
      <c r="AI7" s="50"/>
      <c r="AJ7" s="48"/>
      <c r="AK7" s="48"/>
      <c r="AL7" s="48"/>
      <c r="AM7" s="48"/>
      <c r="AN7" s="48"/>
    </row>
    <row r="8" customFormat="false" ht="13.2" hidden="false" customHeight="false" outlineLevel="0" collapsed="false">
      <c r="A8" s="5" t="s">
        <v>93</v>
      </c>
      <c r="B8" s="52"/>
      <c r="C8" s="48" t="n">
        <v>7341842982.42627</v>
      </c>
      <c r="D8" s="49" t="n">
        <v>827131406.940104</v>
      </c>
      <c r="E8" s="49" t="n">
        <v>918984728.822074</v>
      </c>
      <c r="F8" s="49" t="n">
        <v>0</v>
      </c>
      <c r="G8" s="49" t="n">
        <v>260347119.258394</v>
      </c>
      <c r="H8" s="49" t="n">
        <v>55119282.4563941</v>
      </c>
      <c r="I8" s="49" t="n">
        <v>38189397.792685</v>
      </c>
      <c r="J8" s="49" t="n">
        <v>285332853.783984</v>
      </c>
      <c r="K8" s="49" t="n">
        <v>26972077.3262587</v>
      </c>
      <c r="L8" s="49" t="n">
        <v>3090810.24893947</v>
      </c>
      <c r="M8" s="49" t="n">
        <v>24971338.3047862</v>
      </c>
      <c r="N8" s="49" t="n">
        <v>694022879.171442</v>
      </c>
      <c r="O8" s="49" t="n">
        <v>84603370.7915784</v>
      </c>
      <c r="P8" s="49" t="n">
        <v>-13100449.7685229</v>
      </c>
      <c r="Q8" s="49" t="n">
        <v>765525800.194497</v>
      </c>
      <c r="R8" s="48" t="n">
        <v>0</v>
      </c>
      <c r="S8" s="50" t="n">
        <v>12.5170850292194</v>
      </c>
      <c r="T8" s="50" t="n">
        <v>11.2659915081262</v>
      </c>
      <c r="U8" s="50"/>
      <c r="V8" s="50" t="n">
        <v>3.54607310291941</v>
      </c>
      <c r="W8" s="50" t="n">
        <v>0.750755397361804</v>
      </c>
      <c r="X8" s="50" t="n">
        <v>0.520160917144328</v>
      </c>
      <c r="Y8" s="50" t="n">
        <v>3.88639275542896</v>
      </c>
      <c r="Z8" s="50" t="n">
        <v>0.367374750329313</v>
      </c>
      <c r="AA8" s="50" t="n">
        <v>0.0420985610334865</v>
      </c>
      <c r="AB8" s="50" t="n">
        <v>0.340123567945523</v>
      </c>
      <c r="AC8" s="50" t="n">
        <v>9.45297905216282</v>
      </c>
      <c r="AD8" s="50" t="n">
        <v>1.15234513996129</v>
      </c>
      <c r="AE8" s="50" t="n">
        <v>-0.178435439165352</v>
      </c>
      <c r="AF8" s="50" t="n">
        <v>10.4268887529588</v>
      </c>
      <c r="AG8" s="51" t="n">
        <v>-0.166987463245745</v>
      </c>
      <c r="AH8" s="51" t="n">
        <v>-0.0744810392021155</v>
      </c>
      <c r="AI8" s="50"/>
      <c r="AJ8" s="48"/>
      <c r="AK8" s="48"/>
      <c r="AL8" s="48"/>
      <c r="AM8" s="48" t="n">
        <f aca="false">'[1]For rate design'!AM14+'[1]For rate design'!AM15+'[1]For rate design'!AM16</f>
        <v>0</v>
      </c>
      <c r="AN8" s="48" t="n">
        <f aca="false">'[1]For rate design'!AN14+'[1]For rate design'!AN15+'[1]For rate design'!AN16</f>
        <v>265445768.89871</v>
      </c>
    </row>
    <row r="9" customFormat="false" ht="13.2" hidden="false" customHeight="false" outlineLevel="0" collapsed="false">
      <c r="B9" s="52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8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1"/>
      <c r="AH9" s="51"/>
      <c r="AI9" s="50"/>
      <c r="AJ9" s="48"/>
      <c r="AK9" s="48"/>
      <c r="AL9" s="48"/>
      <c r="AM9" s="48"/>
      <c r="AN9" s="48"/>
    </row>
    <row r="10" customFormat="false" ht="13.2" hidden="false" customHeight="false" outlineLevel="0" collapsed="false">
      <c r="A10" s="5" t="s">
        <v>94</v>
      </c>
      <c r="B10" s="52"/>
      <c r="C10" s="48" t="n">
        <v>17321063452.8251</v>
      </c>
      <c r="D10" s="49" t="n">
        <v>1662091668.5054</v>
      </c>
      <c r="E10" s="49" t="n">
        <v>1665401013.22033</v>
      </c>
      <c r="F10" s="49" t="n">
        <v>0</v>
      </c>
      <c r="G10" s="49" t="n">
        <v>606868775.652504</v>
      </c>
      <c r="H10" s="49" t="n">
        <v>111066830.923182</v>
      </c>
      <c r="I10" s="49" t="n">
        <v>86684162.3378686</v>
      </c>
      <c r="J10" s="49" t="n">
        <v>350445651.365958</v>
      </c>
      <c r="K10" s="49" t="n">
        <v>50367052.005948</v>
      </c>
      <c r="L10" s="49" t="n">
        <v>7291918.46933649</v>
      </c>
      <c r="M10" s="49" t="n">
        <v>56681243.0292806</v>
      </c>
      <c r="N10" s="49" t="n">
        <v>1269405633.78408</v>
      </c>
      <c r="O10" s="49" t="n">
        <v>3414506.03982828</v>
      </c>
      <c r="P10" s="49" t="n">
        <v>-528720.835122341</v>
      </c>
      <c r="Q10" s="49" t="n">
        <v>1272291418.98878</v>
      </c>
      <c r="R10" s="48" t="n">
        <v>0</v>
      </c>
      <c r="S10" s="50" t="n">
        <v>9.61488893425132</v>
      </c>
      <c r="T10" s="50" t="n">
        <v>9.5957830362564</v>
      </c>
      <c r="U10" s="50"/>
      <c r="V10" s="50" t="n">
        <v>3.50364616644554</v>
      </c>
      <c r="W10" s="50" t="n">
        <v>0.641224086648486</v>
      </c>
      <c r="X10" s="50" t="n">
        <v>0.500455197649717</v>
      </c>
      <c r="Y10" s="50" t="n">
        <v>2.02323403710412</v>
      </c>
      <c r="Z10" s="50" t="n">
        <v>0.29078498640182</v>
      </c>
      <c r="AA10" s="50" t="n">
        <v>0.0420985610334865</v>
      </c>
      <c r="AB10" s="50" t="n">
        <v>0.327238816390548</v>
      </c>
      <c r="AC10" s="50" t="n">
        <v>7.32868185167371</v>
      </c>
      <c r="AD10" s="50" t="n">
        <v>0.0197130277198504</v>
      </c>
      <c r="AE10" s="50" t="n">
        <v>-0.00305247328815776</v>
      </c>
      <c r="AF10" s="50" t="n">
        <v>7.34534240610541</v>
      </c>
      <c r="AG10" s="51" t="n">
        <v>-0.236045007245072</v>
      </c>
      <c r="AH10" s="51" t="n">
        <v>-0.234523917605057</v>
      </c>
      <c r="AI10" s="50"/>
      <c r="AJ10" s="48"/>
      <c r="AK10" s="48"/>
      <c r="AL10" s="48"/>
      <c r="AM10" s="48" t="n">
        <f aca="false">'[1]For rate design'!AM28</f>
        <v>0</v>
      </c>
      <c r="AN10" s="48" t="n">
        <f aca="false">'[1]For rate design'!AN28</f>
        <v>365226550.098424</v>
      </c>
    </row>
    <row r="11" customFormat="false" ht="13.2" hidden="false" customHeight="false" outlineLevel="0" collapsed="false">
      <c r="B11" s="52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8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1"/>
      <c r="AH11" s="51"/>
      <c r="AI11" s="50"/>
      <c r="AJ11" s="48"/>
      <c r="AK11" s="48"/>
      <c r="AL11" s="48"/>
      <c r="AM11" s="48"/>
      <c r="AN11" s="48"/>
    </row>
    <row r="12" customFormat="false" ht="13.2" hidden="false" customHeight="false" outlineLevel="0" collapsed="false">
      <c r="A12" s="5" t="s">
        <v>95</v>
      </c>
      <c r="B12" s="52"/>
      <c r="C12" s="48" t="n">
        <v>3548799999</v>
      </c>
      <c r="D12" s="49" t="n">
        <v>388432628.232801</v>
      </c>
      <c r="E12" s="49" t="n">
        <v>388432628.232801</v>
      </c>
      <c r="F12" s="49" t="n">
        <v>0</v>
      </c>
      <c r="G12" s="49" t="n">
        <v>122773186.048886</v>
      </c>
      <c r="H12" s="49" t="n">
        <v>28066495.2425779</v>
      </c>
      <c r="I12" s="49" t="n">
        <v>14966001.4875308</v>
      </c>
      <c r="J12" s="49" t="n">
        <v>149963366.82172</v>
      </c>
      <c r="K12" s="49" t="n">
        <v>11565512.037866</v>
      </c>
      <c r="L12" s="49" t="n">
        <v>1493993.73353538</v>
      </c>
      <c r="M12" s="49" t="n">
        <v>9786038.14957595</v>
      </c>
      <c r="N12" s="49" t="n">
        <v>338614593.521692</v>
      </c>
      <c r="O12" s="49" t="n">
        <v>0</v>
      </c>
      <c r="P12" s="49" t="n">
        <v>0</v>
      </c>
      <c r="Q12" s="49" t="n">
        <v>338614593.521692</v>
      </c>
      <c r="R12" s="48" t="n">
        <v>0</v>
      </c>
      <c r="S12" s="50" t="n">
        <v>10.9454640538282</v>
      </c>
      <c r="T12" s="50" t="n">
        <v>10.9454640538282</v>
      </c>
      <c r="U12" s="50"/>
      <c r="V12" s="50" t="n">
        <v>3.4595690397735</v>
      </c>
      <c r="W12" s="50" t="n">
        <v>0.790872837310827</v>
      </c>
      <c r="X12" s="50" t="n">
        <v>0.421720060069545</v>
      </c>
      <c r="Y12" s="50" t="n">
        <v>4.22574861541865</v>
      </c>
      <c r="Z12" s="50" t="n">
        <v>0.325899234702575</v>
      </c>
      <c r="AA12" s="50" t="n">
        <v>0.0420985610334865</v>
      </c>
      <c r="AB12" s="50" t="n">
        <v>0.275756259928244</v>
      </c>
      <c r="AC12" s="50" t="n">
        <v>9.54166460823683</v>
      </c>
      <c r="AD12" s="50" t="n">
        <v>0</v>
      </c>
      <c r="AE12" s="50" t="n">
        <v>0</v>
      </c>
      <c r="AF12" s="50" t="n">
        <v>9.54166460823683</v>
      </c>
      <c r="AG12" s="51" t="n">
        <v>-0.128253990757058</v>
      </c>
      <c r="AH12" s="51" t="n">
        <v>-0.128253990757058</v>
      </c>
      <c r="AI12" s="50"/>
      <c r="AJ12" s="48"/>
      <c r="AK12" s="48"/>
      <c r="AL12" s="48"/>
      <c r="AM12" s="48" t="n">
        <f aca="false">'[1]For rate design'!AM89</f>
        <v>0</v>
      </c>
      <c r="AN12" s="48" t="n">
        <f aca="false">'[1]For rate design'!AN89</f>
        <v>133359561.387986</v>
      </c>
    </row>
    <row r="13" customFormat="false" ht="13.2" hidden="false" customHeight="false" outlineLevel="0" collapsed="false">
      <c r="B13" s="52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8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1"/>
      <c r="AH13" s="51"/>
      <c r="AI13" s="50"/>
      <c r="AJ13" s="48"/>
      <c r="AK13" s="48"/>
      <c r="AL13" s="48"/>
      <c r="AM13" s="48"/>
      <c r="AN13" s="48"/>
    </row>
    <row r="14" customFormat="false" ht="13.2" hidden="false" customHeight="false" outlineLevel="0" collapsed="false">
      <c r="A14" s="5" t="s">
        <v>96</v>
      </c>
      <c r="B14" s="52" t="s">
        <v>97</v>
      </c>
      <c r="C14" s="48" t="n">
        <v>5918732.00060734</v>
      </c>
      <c r="D14" s="49" t="n">
        <v>484374.375930127</v>
      </c>
      <c r="E14" s="49" t="n">
        <v>484374.375930127</v>
      </c>
      <c r="F14" s="49" t="n">
        <v>0</v>
      </c>
      <c r="G14" s="49" t="n">
        <v>197828.49013299</v>
      </c>
      <c r="H14" s="49" t="n">
        <v>30528.2105926291</v>
      </c>
      <c r="I14" s="49" t="n">
        <v>22652.7868421179</v>
      </c>
      <c r="J14" s="49" t="n">
        <v>49716.776070223</v>
      </c>
      <c r="K14" s="49" t="n">
        <v>14975.3919918161</v>
      </c>
      <c r="L14" s="49" t="n">
        <v>2491.70100368418</v>
      </c>
      <c r="M14" s="49" t="n">
        <v>14812.3088465463</v>
      </c>
      <c r="N14" s="49" t="n">
        <v>333005.665480007</v>
      </c>
      <c r="O14" s="49" t="n">
        <v>0</v>
      </c>
      <c r="P14" s="49" t="n">
        <v>0</v>
      </c>
      <c r="Q14" s="49" t="n">
        <v>333005.665480007</v>
      </c>
      <c r="R14" s="48" t="n">
        <v>0</v>
      </c>
      <c r="S14" s="50" t="n">
        <v>8.18375246387948</v>
      </c>
      <c r="T14" s="50" t="n">
        <v>8.18375246387948</v>
      </c>
      <c r="U14" s="50"/>
      <c r="V14" s="50" t="n">
        <v>3.34241337693091</v>
      </c>
      <c r="W14" s="50" t="n">
        <v>0.515789709510356</v>
      </c>
      <c r="X14" s="50" t="n">
        <v>0.382730403062571</v>
      </c>
      <c r="Y14" s="50" t="n">
        <v>0.839990323351715</v>
      </c>
      <c r="Z14" s="50" t="n">
        <v>0.253016896022314</v>
      </c>
      <c r="AA14" s="50" t="n">
        <v>0.0420985610334865</v>
      </c>
      <c r="AB14" s="50" t="n">
        <v>0.250261522992194</v>
      </c>
      <c r="AC14" s="50" t="n">
        <v>5.62630079290355</v>
      </c>
      <c r="AD14" s="50" t="n">
        <v>0</v>
      </c>
      <c r="AE14" s="50" t="n">
        <v>0</v>
      </c>
      <c r="AF14" s="50" t="n">
        <v>5.62630079290355</v>
      </c>
      <c r="AG14" s="51" t="n">
        <v>-0.312503546785381</v>
      </c>
      <c r="AH14" s="51" t="n">
        <v>-0.312503546785381</v>
      </c>
      <c r="AI14" s="50"/>
      <c r="AJ14" s="48"/>
      <c r="AK14" s="48"/>
      <c r="AL14" s="48"/>
      <c r="AM14" s="48" t="n">
        <f aca="false">'[1]For rate design'!AM50</f>
        <v>0</v>
      </c>
      <c r="AN14" s="48" t="n">
        <f aca="false">'[1]For rate design'!AN50</f>
        <v>76354.4861926776</v>
      </c>
    </row>
    <row r="15" customFormat="false" ht="13.2" hidden="false" customHeight="false" outlineLevel="0" collapsed="false">
      <c r="B15" s="52" t="s">
        <v>98</v>
      </c>
      <c r="C15" s="48" t="n">
        <v>534824662.285547</v>
      </c>
      <c r="D15" s="49" t="n">
        <v>41260459.9240866</v>
      </c>
      <c r="E15" s="49" t="n">
        <v>41260459.9240866</v>
      </c>
      <c r="F15" s="49" t="n">
        <v>0</v>
      </c>
      <c r="G15" s="49" t="n">
        <v>17992345.0256684</v>
      </c>
      <c r="H15" s="49" t="n">
        <v>2758570.57199237</v>
      </c>
      <c r="I15" s="49" t="n">
        <v>2174584.32295587</v>
      </c>
      <c r="J15" s="49" t="n">
        <v>6827539.88340434</v>
      </c>
      <c r="K15" s="49" t="n">
        <v>1287002.90616507</v>
      </c>
      <c r="L15" s="49" t="n">
        <v>225153.486874419</v>
      </c>
      <c r="M15" s="49" t="n">
        <v>1421869.57050426</v>
      </c>
      <c r="N15" s="49" t="n">
        <v>32687065.7675648</v>
      </c>
      <c r="O15" s="49" t="n">
        <v>0</v>
      </c>
      <c r="P15" s="49" t="n">
        <v>0</v>
      </c>
      <c r="Q15" s="49" t="n">
        <v>32687065.7675648</v>
      </c>
      <c r="R15" s="48" t="n">
        <v>0</v>
      </c>
      <c r="S15" s="50" t="n">
        <v>7.7147638906108</v>
      </c>
      <c r="T15" s="50" t="n">
        <v>7.7147638906108</v>
      </c>
      <c r="U15" s="50"/>
      <c r="V15" s="50" t="n">
        <v>3.3641576939962</v>
      </c>
      <c r="W15" s="50" t="n">
        <v>0.515789709510356</v>
      </c>
      <c r="X15" s="50" t="n">
        <v>0.406597615312445</v>
      </c>
      <c r="Y15" s="50" t="n">
        <v>1.27659406247782</v>
      </c>
      <c r="Z15" s="50" t="n">
        <v>0.240640156844138</v>
      </c>
      <c r="AA15" s="50" t="n">
        <v>0.0420985610334865</v>
      </c>
      <c r="AB15" s="50" t="n">
        <v>0.265857143615624</v>
      </c>
      <c r="AC15" s="50" t="n">
        <v>6.11173494279007</v>
      </c>
      <c r="AD15" s="50" t="n">
        <v>0</v>
      </c>
      <c r="AE15" s="50" t="n">
        <v>0</v>
      </c>
      <c r="AF15" s="50" t="n">
        <v>6.11173494279007</v>
      </c>
      <c r="AG15" s="51" t="n">
        <v>-0.207787168933542</v>
      </c>
      <c r="AH15" s="51" t="n">
        <v>-0.207787168933542</v>
      </c>
      <c r="AI15" s="50"/>
      <c r="AJ15" s="48"/>
      <c r="AK15" s="48"/>
      <c r="AL15" s="48"/>
      <c r="AM15" s="48" t="n">
        <f aca="false">'[1]For rate design'!AM51</f>
        <v>0</v>
      </c>
      <c r="AN15" s="48" t="n">
        <f aca="false">'[1]For rate design'!AN51</f>
        <v>6136691.65955857</v>
      </c>
    </row>
    <row r="16" customFormat="false" ht="13.2" hidden="false" customHeight="false" outlineLevel="0" collapsed="false">
      <c r="B16" s="52" t="s">
        <v>99</v>
      </c>
      <c r="C16" s="48" t="n">
        <v>3727881537.1306</v>
      </c>
      <c r="D16" s="49" t="n">
        <v>344891617.992681</v>
      </c>
      <c r="E16" s="49" t="n">
        <v>344891617.992681</v>
      </c>
      <c r="F16" s="49" t="n">
        <v>0</v>
      </c>
      <c r="G16" s="49" t="n">
        <v>130116612.028348</v>
      </c>
      <c r="H16" s="49" t="n">
        <v>22010199.746124</v>
      </c>
      <c r="I16" s="49" t="n">
        <v>15912071.9419291</v>
      </c>
      <c r="J16" s="49" t="n">
        <v>60569353.5378061</v>
      </c>
      <c r="K16" s="49" t="n">
        <v>10482794.0900371</v>
      </c>
      <c r="L16" s="49" t="n">
        <v>1569384.484165</v>
      </c>
      <c r="M16" s="49" t="n">
        <v>10404567.0590364</v>
      </c>
      <c r="N16" s="49" t="n">
        <v>251064982.887445</v>
      </c>
      <c r="O16" s="49" t="n">
        <v>0</v>
      </c>
      <c r="P16" s="49" t="n">
        <v>0</v>
      </c>
      <c r="Q16" s="49" t="n">
        <v>251064982.887445</v>
      </c>
      <c r="R16" s="48" t="n">
        <v>0</v>
      </c>
      <c r="S16" s="50" t="n">
        <v>9.25167858896474</v>
      </c>
      <c r="T16" s="50" t="n">
        <v>9.25167858896474</v>
      </c>
      <c r="U16" s="50"/>
      <c r="V16" s="50" t="n">
        <v>3.49036338017598</v>
      </c>
      <c r="W16" s="50" t="n">
        <v>0.590421115233869</v>
      </c>
      <c r="X16" s="50" t="n">
        <v>0.42683952758265</v>
      </c>
      <c r="Y16" s="50" t="n">
        <v>1.62476604834463</v>
      </c>
      <c r="Z16" s="50" t="n">
        <v>0.281199764145559</v>
      </c>
      <c r="AA16" s="50" t="n">
        <v>0.0420985610334865</v>
      </c>
      <c r="AB16" s="50" t="n">
        <v>0.279101332899245</v>
      </c>
      <c r="AC16" s="50" t="n">
        <v>6.73478972941543</v>
      </c>
      <c r="AD16" s="50" t="n">
        <v>0</v>
      </c>
      <c r="AE16" s="50" t="n">
        <v>0</v>
      </c>
      <c r="AF16" s="50" t="n">
        <v>6.73478972941543</v>
      </c>
      <c r="AG16" s="51" t="n">
        <v>-0.272046724856117</v>
      </c>
      <c r="AH16" s="51" t="n">
        <v>-0.272046724856117</v>
      </c>
      <c r="AI16" s="50"/>
      <c r="AJ16" s="48"/>
      <c r="AK16" s="48"/>
      <c r="AL16" s="48"/>
      <c r="AM16" s="48" t="n">
        <f aca="false">'[1]For rate design'!AM52</f>
        <v>0</v>
      </c>
      <c r="AN16" s="48" t="n">
        <f aca="false">'[1]For rate design'!AN52</f>
        <v>70257982.0274823</v>
      </c>
    </row>
    <row r="17" customFormat="false" ht="13.2" hidden="false" customHeight="false" outlineLevel="0" collapsed="false">
      <c r="A17" s="5" t="s">
        <v>100</v>
      </c>
      <c r="B17" s="52"/>
      <c r="C17" s="48" t="n">
        <v>4268624931.41675</v>
      </c>
      <c r="D17" s="49" t="n">
        <v>386636452.292698</v>
      </c>
      <c r="E17" s="49" t="n">
        <v>386636452.292698</v>
      </c>
      <c r="F17" s="49" t="n">
        <v>0</v>
      </c>
      <c r="G17" s="49" t="n">
        <v>148306785.544149</v>
      </c>
      <c r="H17" s="49" t="n">
        <v>24799298.528709</v>
      </c>
      <c r="I17" s="49" t="n">
        <v>18109309.0517271</v>
      </c>
      <c r="J17" s="49" t="n">
        <v>67446610.1972806</v>
      </c>
      <c r="K17" s="49" t="n">
        <v>11784772.388194</v>
      </c>
      <c r="L17" s="49" t="n">
        <v>1797029.6720431</v>
      </c>
      <c r="M17" s="49" t="n">
        <v>11841248.9383872</v>
      </c>
      <c r="N17" s="49" t="n">
        <v>284085054.32049</v>
      </c>
      <c r="O17" s="49" t="n">
        <v>0</v>
      </c>
      <c r="P17" s="49" t="n">
        <v>0</v>
      </c>
      <c r="Q17" s="49" t="n">
        <v>284085054.32049</v>
      </c>
      <c r="R17" s="48" t="n">
        <v>0</v>
      </c>
      <c r="S17" s="50" t="n">
        <v>9.05763468341019</v>
      </c>
      <c r="T17" s="50" t="n">
        <v>9.05763468341019</v>
      </c>
      <c r="U17" s="50"/>
      <c r="V17" s="50" t="n">
        <v>3.47434567166168</v>
      </c>
      <c r="W17" s="50" t="n">
        <v>0.580966913869336</v>
      </c>
      <c r="X17" s="50" t="n">
        <v>0.42424221717031</v>
      </c>
      <c r="Y17" s="50" t="n">
        <v>1.58005473146349</v>
      </c>
      <c r="Z17" s="50" t="n">
        <v>0.276078891388628</v>
      </c>
      <c r="AA17" s="50" t="n">
        <v>0.0420985610334865</v>
      </c>
      <c r="AB17" s="50" t="n">
        <v>0.277401953290309</v>
      </c>
      <c r="AC17" s="50" t="n">
        <v>6.65518893987724</v>
      </c>
      <c r="AD17" s="50" t="n">
        <v>0</v>
      </c>
      <c r="AE17" s="50" t="n">
        <v>0</v>
      </c>
      <c r="AF17" s="50" t="n">
        <v>6.65518893987724</v>
      </c>
      <c r="AG17" s="51" t="n">
        <v>-0.26523985869437</v>
      </c>
      <c r="AH17" s="51" t="n">
        <v>-0.26523985869437</v>
      </c>
      <c r="AI17" s="50"/>
      <c r="AJ17" s="48"/>
      <c r="AK17" s="48"/>
      <c r="AL17" s="48"/>
      <c r="AM17" s="48" t="n">
        <f aca="false">SUM(AM14:AM16)</f>
        <v>0</v>
      </c>
      <c r="AN17" s="48" t="n">
        <f aca="false">SUM(AN14:AN16)</f>
        <v>76471028.1732336</v>
      </c>
    </row>
    <row r="18" customFormat="false" ht="13.2" hidden="false" customHeight="false" outlineLevel="0" collapsed="false">
      <c r="B18" s="52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1"/>
      <c r="AI18" s="50"/>
      <c r="AJ18" s="48"/>
      <c r="AK18" s="48"/>
      <c r="AL18" s="48"/>
      <c r="AM18" s="48"/>
      <c r="AN18" s="48"/>
    </row>
    <row r="19" customFormat="false" ht="13.2" hidden="false" customHeight="false" outlineLevel="0" collapsed="false">
      <c r="A19" s="5" t="s">
        <v>101</v>
      </c>
      <c r="B19" s="52" t="s">
        <v>97</v>
      </c>
      <c r="C19" s="48" t="n">
        <v>6320290897.08193</v>
      </c>
      <c r="D19" s="49" t="n">
        <v>294234540.336631</v>
      </c>
      <c r="E19" s="49" t="n">
        <v>294234540.336631</v>
      </c>
      <c r="F19" s="49" t="n">
        <v>0</v>
      </c>
      <c r="G19" s="49" t="n">
        <v>200238264.458546</v>
      </c>
      <c r="H19" s="49" t="n">
        <v>27126615.6663515</v>
      </c>
      <c r="I19" s="49" t="n">
        <v>26069887.7248881</v>
      </c>
      <c r="J19" s="49" t="n">
        <v>-4347722.9300268</v>
      </c>
      <c r="K19" s="49" t="n">
        <v>10106307.7778305</v>
      </c>
      <c r="L19" s="49" t="n">
        <v>2660751.52080193</v>
      </c>
      <c r="M19" s="49" t="n">
        <v>17045903.933289</v>
      </c>
      <c r="N19" s="49" t="n">
        <v>278900008.151681</v>
      </c>
      <c r="O19" s="49" t="n">
        <v>0</v>
      </c>
      <c r="P19" s="49" t="n">
        <v>0</v>
      </c>
      <c r="Q19" s="49" t="n">
        <v>278900008.151681</v>
      </c>
      <c r="R19" s="48" t="n">
        <v>0</v>
      </c>
      <c r="S19" s="50" t="n">
        <v>4.65539553681744</v>
      </c>
      <c r="T19" s="50" t="n">
        <v>4.65539553681744</v>
      </c>
      <c r="U19" s="50"/>
      <c r="V19" s="50" t="n">
        <v>3.16818114417797</v>
      </c>
      <c r="W19" s="50" t="n">
        <v>0.429198847142872</v>
      </c>
      <c r="X19" s="50" t="n">
        <v>0.412479237892744</v>
      </c>
      <c r="Y19" s="50" t="n">
        <v>-0.0687899180721909</v>
      </c>
      <c r="Z19" s="50" t="n">
        <v>0.159902573194797</v>
      </c>
      <c r="AA19" s="50" t="n">
        <v>0.0420985610334865</v>
      </c>
      <c r="AB19" s="50" t="n">
        <v>0.269701256015908</v>
      </c>
      <c r="AC19" s="50" t="n">
        <v>4.41277170138559</v>
      </c>
      <c r="AD19" s="50" t="n">
        <v>0</v>
      </c>
      <c r="AE19" s="50" t="n">
        <v>0</v>
      </c>
      <c r="AF19" s="50" t="n">
        <v>4.41277170138559</v>
      </c>
      <c r="AG19" s="51" t="n">
        <v>-0.0521166963178633</v>
      </c>
      <c r="AH19" s="51" t="n">
        <v>-0.0521166963178633</v>
      </c>
      <c r="AI19" s="50"/>
      <c r="AJ19" s="48"/>
      <c r="AK19" s="48"/>
      <c r="AL19" s="48"/>
      <c r="AM19" s="48" t="n">
        <f aca="false">'[1]For rate design'!AM110</f>
        <v>0</v>
      </c>
      <c r="AN19" s="48" t="n">
        <f aca="false">'[1]For rate design'!AN110</f>
        <v>9259808.32643838</v>
      </c>
    </row>
    <row r="20" customFormat="false" ht="13.2" hidden="false" customHeight="false" outlineLevel="0" collapsed="false">
      <c r="B20" s="52" t="s">
        <v>98</v>
      </c>
      <c r="C20" s="48" t="n">
        <v>6543660767.18949</v>
      </c>
      <c r="D20" s="49" t="n">
        <v>444414702.186926</v>
      </c>
      <c r="E20" s="49" t="n">
        <v>444414702.186926</v>
      </c>
      <c r="F20" s="49" t="n">
        <v>0</v>
      </c>
      <c r="G20" s="49" t="n">
        <v>218570304.37374</v>
      </c>
      <c r="H20" s="49" t="n">
        <v>32863370.5481029</v>
      </c>
      <c r="I20" s="49" t="n">
        <v>28777283.7651856</v>
      </c>
      <c r="J20" s="49" t="n">
        <v>71538338.2290093</v>
      </c>
      <c r="K20" s="49" t="n">
        <v>14152352.34496</v>
      </c>
      <c r="L20" s="49" t="n">
        <v>2754787.02189958</v>
      </c>
      <c r="M20" s="49" t="n">
        <v>18815917.6863877</v>
      </c>
      <c r="N20" s="49" t="n">
        <v>387472353.969285</v>
      </c>
      <c r="O20" s="49" t="n">
        <v>0</v>
      </c>
      <c r="P20" s="49" t="n">
        <v>0</v>
      </c>
      <c r="Q20" s="49" t="n">
        <v>387472353.969285</v>
      </c>
      <c r="R20" s="48" t="n">
        <v>0</v>
      </c>
      <c r="S20" s="50" t="n">
        <v>6.79153027637469</v>
      </c>
      <c r="T20" s="50" t="n">
        <v>6.79153027637469</v>
      </c>
      <c r="U20" s="50"/>
      <c r="V20" s="50" t="n">
        <v>3.34018391463187</v>
      </c>
      <c r="W20" s="50" t="n">
        <v>0.502216904532748</v>
      </c>
      <c r="X20" s="50" t="n">
        <v>0.439773466092214</v>
      </c>
      <c r="Y20" s="50" t="n">
        <v>1.09324643764709</v>
      </c>
      <c r="Z20" s="50" t="n">
        <v>0.216275764414946</v>
      </c>
      <c r="AA20" s="50" t="n">
        <v>0.0420985610334865</v>
      </c>
      <c r="AB20" s="50" t="n">
        <v>0.287544210432369</v>
      </c>
      <c r="AC20" s="50" t="n">
        <v>5.92133925878473</v>
      </c>
      <c r="AD20" s="50" t="n">
        <v>0</v>
      </c>
      <c r="AE20" s="50" t="n">
        <v>0</v>
      </c>
      <c r="AF20" s="50" t="n">
        <v>5.92133925878473</v>
      </c>
      <c r="AG20" s="51" t="n">
        <v>-0.128128857883038</v>
      </c>
      <c r="AH20" s="51" t="n">
        <v>-0.128128857883038</v>
      </c>
      <c r="AI20" s="50"/>
      <c r="AJ20" s="48"/>
      <c r="AK20" s="48"/>
      <c r="AL20" s="48"/>
      <c r="AM20" s="48" t="n">
        <f aca="false">'[1]For rate design'!AM111</f>
        <v>0</v>
      </c>
      <c r="AN20" s="48" t="n">
        <f aca="false">'[1]For rate design'!AN111</f>
        <v>65617606.0013161</v>
      </c>
    </row>
    <row r="21" customFormat="false" ht="13.2" hidden="false" customHeight="false" outlineLevel="0" collapsed="false">
      <c r="B21" s="52" t="s">
        <v>99</v>
      </c>
      <c r="C21" s="48" t="n">
        <v>4092079705.60219</v>
      </c>
      <c r="D21" s="49" t="n">
        <v>340382016.873708</v>
      </c>
      <c r="E21" s="49" t="n">
        <v>340382016.873708</v>
      </c>
      <c r="F21" s="49" t="n">
        <v>0</v>
      </c>
      <c r="G21" s="49" t="n">
        <v>141747511.542028</v>
      </c>
      <c r="H21" s="49" t="n">
        <v>22582253.6468298</v>
      </c>
      <c r="I21" s="49" t="n">
        <v>19427843.4527957</v>
      </c>
      <c r="J21" s="49" t="n">
        <v>60587106.8594839</v>
      </c>
      <c r="K21" s="49" t="n">
        <v>10498703.0815008</v>
      </c>
      <c r="L21" s="49" t="n">
        <v>1722706.67240185</v>
      </c>
      <c r="M21" s="49" t="n">
        <v>12703149.7383512</v>
      </c>
      <c r="N21" s="49" t="n">
        <v>269269274.993391</v>
      </c>
      <c r="O21" s="49" t="n">
        <v>0</v>
      </c>
      <c r="P21" s="49" t="n">
        <v>0</v>
      </c>
      <c r="Q21" s="49" t="n">
        <v>269269274.993391</v>
      </c>
      <c r="R21" s="48" t="n">
        <v>0</v>
      </c>
      <c r="S21" s="50" t="n">
        <v>8.31806908374033</v>
      </c>
      <c r="T21" s="50" t="n">
        <v>8.31806908374033</v>
      </c>
      <c r="U21" s="50"/>
      <c r="V21" s="50" t="n">
        <v>3.4639479614234</v>
      </c>
      <c r="W21" s="50" t="n">
        <v>0.5518527318985</v>
      </c>
      <c r="X21" s="50" t="n">
        <v>0.474766985261756</v>
      </c>
      <c r="Y21" s="50" t="n">
        <v>1.48059449517902</v>
      </c>
      <c r="Z21" s="50" t="n">
        <v>0.256561549060928</v>
      </c>
      <c r="AA21" s="50" t="n">
        <v>0.0420985610334865</v>
      </c>
      <c r="AB21" s="50" t="n">
        <v>0.31043260767771</v>
      </c>
      <c r="AC21" s="50" t="n">
        <v>6.5802548915348</v>
      </c>
      <c r="AD21" s="50" t="n">
        <v>0</v>
      </c>
      <c r="AE21" s="50" t="n">
        <v>0</v>
      </c>
      <c r="AF21" s="50" t="n">
        <v>6.5802548915348</v>
      </c>
      <c r="AG21" s="51" t="n">
        <v>-0.208920384612158</v>
      </c>
      <c r="AH21" s="51" t="n">
        <v>-0.208920384612158</v>
      </c>
      <c r="AI21" s="50"/>
      <c r="AJ21" s="48"/>
      <c r="AK21" s="48"/>
      <c r="AL21" s="48"/>
      <c r="AM21" s="48" t="n">
        <f aca="false">'[1]For rate design'!AM112</f>
        <v>0</v>
      </c>
      <c r="AN21" s="48" t="n">
        <f aca="false">'[1]For rate design'!AN112</f>
        <v>74730237.2607958</v>
      </c>
    </row>
    <row r="22" customFormat="false" ht="13.2" hidden="false" customHeight="false" outlineLevel="0" collapsed="false">
      <c r="A22" s="5" t="s">
        <v>102</v>
      </c>
      <c r="B22" s="52"/>
      <c r="C22" s="48" t="n">
        <v>16956031369.8736</v>
      </c>
      <c r="D22" s="49" t="n">
        <v>1079031259.39727</v>
      </c>
      <c r="E22" s="49" t="n">
        <v>1079031259.39727</v>
      </c>
      <c r="F22" s="49" t="n">
        <v>0</v>
      </c>
      <c r="G22" s="49" t="n">
        <v>560556080.374314</v>
      </c>
      <c r="H22" s="49" t="n">
        <v>82572239.8612842</v>
      </c>
      <c r="I22" s="49" t="n">
        <v>74275014.9428693</v>
      </c>
      <c r="J22" s="49" t="n">
        <v>127777722.158466</v>
      </c>
      <c r="K22" s="49" t="n">
        <v>34757363.2042913</v>
      </c>
      <c r="L22" s="49" t="n">
        <v>7138245.21510336</v>
      </c>
      <c r="M22" s="49" t="n">
        <v>48564971.358028</v>
      </c>
      <c r="N22" s="49" t="n">
        <v>935641637.114357</v>
      </c>
      <c r="O22" s="49" t="n">
        <v>0</v>
      </c>
      <c r="P22" s="49" t="n">
        <v>0</v>
      </c>
      <c r="Q22" s="49" t="n">
        <v>935641637.114357</v>
      </c>
      <c r="R22" s="48" t="n">
        <v>0</v>
      </c>
      <c r="S22" s="50" t="n">
        <v>6.36370171686766</v>
      </c>
      <c r="T22" s="50" t="n">
        <v>6.36370171686766</v>
      </c>
      <c r="U22" s="50"/>
      <c r="V22" s="50" t="n">
        <v>3.30593915608268</v>
      </c>
      <c r="W22" s="50" t="n">
        <v>0.486978574526544</v>
      </c>
      <c r="X22" s="50" t="n">
        <v>0.438044807317568</v>
      </c>
      <c r="Y22" s="50" t="n">
        <v>0.753582718568767</v>
      </c>
      <c r="Z22" s="50" t="n">
        <v>0.204985249473211</v>
      </c>
      <c r="AA22" s="50" t="n">
        <v>0.0420985610334865</v>
      </c>
      <c r="AB22" s="50" t="n">
        <v>0.286417088401447</v>
      </c>
      <c r="AC22" s="50" t="n">
        <v>5.5180461554037</v>
      </c>
      <c r="AD22" s="50" t="n">
        <v>0</v>
      </c>
      <c r="AE22" s="50" t="n">
        <v>0</v>
      </c>
      <c r="AF22" s="50" t="n">
        <v>5.5180461554037</v>
      </c>
      <c r="AG22" s="51" t="n">
        <v>-0.132887366361383</v>
      </c>
      <c r="AH22" s="51" t="n">
        <v>-0.132887366361383</v>
      </c>
      <c r="AI22" s="50"/>
      <c r="AJ22" s="48"/>
      <c r="AK22" s="48"/>
      <c r="AL22" s="48"/>
      <c r="AM22" s="48" t="n">
        <f aca="false">SUM(AM19:AM21)</f>
        <v>0</v>
      </c>
      <c r="AN22" s="48" t="n">
        <f aca="false">SUM(AN19:AN21)</f>
        <v>149607651.58855</v>
      </c>
    </row>
    <row r="23" customFormat="false" ht="13.2" hidden="false" customHeight="false" outlineLevel="0" collapsed="false">
      <c r="B23" s="52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8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1"/>
      <c r="AH23" s="51"/>
      <c r="AI23" s="50"/>
      <c r="AJ23" s="48"/>
      <c r="AK23" s="48"/>
      <c r="AL23" s="48"/>
      <c r="AM23" s="48"/>
      <c r="AN23" s="48"/>
    </row>
    <row r="24" customFormat="false" ht="13.2" hidden="false" customHeight="false" outlineLevel="0" collapsed="false">
      <c r="A24" s="5" t="s">
        <v>103</v>
      </c>
      <c r="B24" s="52"/>
      <c r="C24" s="48" t="n">
        <v>237442979</v>
      </c>
      <c r="D24" s="49" t="n">
        <v>20027933.3568328</v>
      </c>
      <c r="E24" s="49" t="n">
        <v>20027933.3568328</v>
      </c>
      <c r="F24" s="49" t="n">
        <v>0</v>
      </c>
      <c r="G24" s="49" t="n">
        <v>7205711.47416658</v>
      </c>
      <c r="H24" s="49" t="n">
        <v>540836.535033267</v>
      </c>
      <c r="I24" s="49" t="n">
        <v>5189206.68853716</v>
      </c>
      <c r="J24" s="49" t="n">
        <v>3851329.78521791</v>
      </c>
      <c r="K24" s="49" t="n">
        <v>616504.415210648</v>
      </c>
      <c r="L24" s="49" t="n">
        <v>99960.0774340436</v>
      </c>
      <c r="M24" s="49" t="n">
        <v>3393142.42767977</v>
      </c>
      <c r="N24" s="49" t="n">
        <v>20896691.4032794</v>
      </c>
      <c r="O24" s="49" t="n">
        <v>0</v>
      </c>
      <c r="P24" s="49" t="n">
        <v>0</v>
      </c>
      <c r="Q24" s="49" t="n">
        <v>20896691.4032794</v>
      </c>
      <c r="R24" s="48" t="n">
        <v>0</v>
      </c>
      <c r="S24" s="50" t="n">
        <v>8.4348391521961</v>
      </c>
      <c r="T24" s="50" t="n">
        <v>8.4348391521961</v>
      </c>
      <c r="U24" s="50"/>
      <c r="V24" s="50" t="n">
        <v>3.03471237789961</v>
      </c>
      <c r="W24" s="50" t="n">
        <v>0.227775332549743</v>
      </c>
      <c r="X24" s="50" t="n">
        <v>2.18545383417598</v>
      </c>
      <c r="Y24" s="50" t="n">
        <v>1.62200196503511</v>
      </c>
      <c r="Z24" s="50" t="n">
        <v>0.259643143716896</v>
      </c>
      <c r="AA24" s="50" t="n">
        <v>0.0420985610334865</v>
      </c>
      <c r="AB24" s="50" t="n">
        <v>1.42903464316785</v>
      </c>
      <c r="AC24" s="50" t="n">
        <v>8.80071985757868</v>
      </c>
      <c r="AD24" s="50" t="n">
        <v>0</v>
      </c>
      <c r="AE24" s="50" t="n">
        <v>0</v>
      </c>
      <c r="AF24" s="50" t="n">
        <v>8.80071985757868</v>
      </c>
      <c r="AG24" s="51" t="n">
        <v>0.0433773186163622</v>
      </c>
      <c r="AH24" s="51" t="n">
        <v>0.0433773186163622</v>
      </c>
      <c r="AI24" s="50"/>
      <c r="AJ24" s="48"/>
      <c r="AK24" s="48"/>
      <c r="AL24" s="48"/>
      <c r="AM24" s="48" t="n">
        <f aca="false">'[1]For rate design'!AM69</f>
        <v>0</v>
      </c>
      <c r="AN24" s="48" t="n">
        <f aca="false">'[1]For rate design'!AN69</f>
        <v>4386481.41287018</v>
      </c>
    </row>
    <row r="25" customFormat="false" ht="13.2" hidden="false" customHeight="false" outlineLevel="0" collapsed="false">
      <c r="B25" s="52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8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  <c r="AH25" s="51"/>
      <c r="AI25" s="50"/>
      <c r="AJ25" s="48"/>
      <c r="AK25" s="48"/>
      <c r="AL25" s="48"/>
      <c r="AM25" s="48"/>
      <c r="AN25" s="48"/>
    </row>
    <row r="26" customFormat="false" ht="13.2" hidden="false" customHeight="false" outlineLevel="0" collapsed="false">
      <c r="A26" s="5" t="s">
        <v>104</v>
      </c>
      <c r="B26" s="52"/>
      <c r="C26" s="48" t="n">
        <v>336169766.96122</v>
      </c>
      <c r="D26" s="49" t="n">
        <v>42872078.5813711</v>
      </c>
      <c r="E26" s="49" t="n">
        <v>42872078.5813711</v>
      </c>
      <c r="F26" s="49" t="n">
        <v>0</v>
      </c>
      <c r="G26" s="49" t="n">
        <v>9799433.65701968</v>
      </c>
      <c r="H26" s="49" t="n">
        <v>402982.131040464</v>
      </c>
      <c r="I26" s="49" t="n">
        <v>840814.824082157</v>
      </c>
      <c r="J26" s="49" t="n">
        <v>26281659.9444888</v>
      </c>
      <c r="K26" s="49" t="n">
        <v>1136776.65869707</v>
      </c>
      <c r="L26" s="49" t="n">
        <v>141522.634520299</v>
      </c>
      <c r="M26" s="49" t="n">
        <v>549795.879149984</v>
      </c>
      <c r="N26" s="49" t="n">
        <v>39152985.7289984</v>
      </c>
      <c r="O26" s="49" t="n">
        <v>0</v>
      </c>
      <c r="P26" s="49" t="n">
        <v>0</v>
      </c>
      <c r="Q26" s="49" t="n">
        <v>39152985.7289984</v>
      </c>
      <c r="R26" s="48" t="n">
        <v>0</v>
      </c>
      <c r="S26" s="50" t="n">
        <v>12.7531035788584</v>
      </c>
      <c r="T26" s="50" t="n">
        <v>12.7531035788584</v>
      </c>
      <c r="U26" s="50"/>
      <c r="V26" s="50" t="n">
        <v>2.91502527</v>
      </c>
      <c r="W26" s="50" t="n">
        <v>0.119874590354507</v>
      </c>
      <c r="X26" s="50" t="n">
        <v>0.250116133786401</v>
      </c>
      <c r="Y26" s="50" t="n">
        <v>7.81797250301828</v>
      </c>
      <c r="Z26" s="50" t="n">
        <v>0.338155530455005</v>
      </c>
      <c r="AA26" s="50" t="n">
        <v>0.0420985610334865</v>
      </c>
      <c r="AB26" s="50" t="n">
        <v>0.163547092327731</v>
      </c>
      <c r="AC26" s="50" t="n">
        <v>11.6467896809754</v>
      </c>
      <c r="AD26" s="50" t="n">
        <v>0</v>
      </c>
      <c r="AE26" s="50" t="n">
        <v>0</v>
      </c>
      <c r="AF26" s="50" t="n">
        <v>11.6467896809754</v>
      </c>
      <c r="AG26" s="51" t="n">
        <v>-0.0867486013143465</v>
      </c>
      <c r="AH26" s="51" t="n">
        <v>-0.0867486013143465</v>
      </c>
      <c r="AI26" s="50"/>
      <c r="AJ26" s="48"/>
      <c r="AK26" s="48"/>
      <c r="AL26" s="48"/>
      <c r="AM26" s="48" t="n">
        <f aca="false">'[1]For rate design'!AM55</f>
        <v>0</v>
      </c>
      <c r="AN26" s="48" t="n">
        <f aca="false">'[1]For rate design'!AN55</f>
        <v>25766917.864452</v>
      </c>
    </row>
    <row r="27" customFormat="false" ht="13.2" hidden="false" customHeight="false" outlineLevel="0" collapsed="false">
      <c r="B27" s="5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8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1"/>
      <c r="AH27" s="51"/>
      <c r="AI27" s="50"/>
      <c r="AJ27" s="48"/>
      <c r="AK27" s="48"/>
      <c r="AL27" s="48"/>
      <c r="AM27" s="48"/>
      <c r="AN27" s="48"/>
    </row>
    <row r="28" customFormat="false" ht="13.2" hidden="false" customHeight="false" outlineLevel="0" collapsed="false">
      <c r="A28" s="5" t="s">
        <v>105</v>
      </c>
      <c r="B28" s="52"/>
      <c r="C28" s="48" t="n">
        <v>140327462.497082</v>
      </c>
      <c r="D28" s="49" t="n">
        <v>15252797.1196132</v>
      </c>
      <c r="E28" s="49" t="n">
        <v>15252797.1196132</v>
      </c>
      <c r="F28" s="49" t="n">
        <v>0</v>
      </c>
      <c r="G28" s="49" t="n">
        <v>4648544.35530066</v>
      </c>
      <c r="H28" s="49" t="n">
        <v>528082.600507267</v>
      </c>
      <c r="I28" s="49" t="n">
        <v>729748.107155634</v>
      </c>
      <c r="J28" s="49" t="n">
        <v>4063369.16461791</v>
      </c>
      <c r="K28" s="49" t="n">
        <v>402525.567672907</v>
      </c>
      <c r="L28" s="49" t="n">
        <v>59075.8424460771</v>
      </c>
      <c r="M28" s="49" t="n">
        <v>477171.061499346</v>
      </c>
      <c r="N28" s="49" t="n">
        <v>10908516.6991998</v>
      </c>
      <c r="O28" s="49" t="n">
        <v>0</v>
      </c>
      <c r="P28" s="49" t="n">
        <v>0</v>
      </c>
      <c r="Q28" s="49" t="n">
        <v>10908516.6991998</v>
      </c>
      <c r="R28" s="48" t="n">
        <v>0</v>
      </c>
      <c r="S28" s="50" t="n">
        <v>10.8694312917761</v>
      </c>
      <c r="T28" s="50" t="n">
        <v>10.8694312917761</v>
      </c>
      <c r="U28" s="50"/>
      <c r="V28" s="50" t="n">
        <v>3.3126405</v>
      </c>
      <c r="W28" s="50" t="n">
        <v>0.376321634489932</v>
      </c>
      <c r="X28" s="50" t="n">
        <v>0.520032283182493</v>
      </c>
      <c r="Y28" s="50" t="n">
        <v>2.89563360750031</v>
      </c>
      <c r="Z28" s="50" t="n">
        <v>0.286847321621936</v>
      </c>
      <c r="AA28" s="50" t="n">
        <v>0.0420985610334865</v>
      </c>
      <c r="AB28" s="50" t="n">
        <v>0.340041110277518</v>
      </c>
      <c r="AC28" s="50" t="n">
        <v>7.77361501810568</v>
      </c>
      <c r="AD28" s="50" t="n">
        <v>0</v>
      </c>
      <c r="AE28" s="50" t="n">
        <v>0</v>
      </c>
      <c r="AF28" s="50" t="n">
        <v>7.77361501810568</v>
      </c>
      <c r="AG28" s="51" t="n">
        <v>-0.284818606472329</v>
      </c>
      <c r="AH28" s="51" t="n">
        <v>-0.284818606472329</v>
      </c>
      <c r="AI28" s="50"/>
      <c r="AJ28" s="48"/>
      <c r="AK28" s="48"/>
      <c r="AL28" s="48"/>
      <c r="AM28" s="48" t="n">
        <f aca="false">'[1]For rate design'!AM17</f>
        <v>0</v>
      </c>
      <c r="AN28" s="48" t="n">
        <f aca="false">'[1]For rate design'!AN17</f>
        <v>6059322.79556717</v>
      </c>
    </row>
    <row r="29" customFormat="false" ht="13.2" hidden="false" customHeight="false" outlineLevel="0" collapsed="false">
      <c r="B29" s="52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8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1"/>
      <c r="AH29" s="51"/>
      <c r="AI29" s="50"/>
      <c r="AJ29" s="48"/>
      <c r="AK29" s="48"/>
      <c r="AL29" s="48"/>
      <c r="AM29" s="48"/>
      <c r="AN29" s="48"/>
    </row>
    <row r="30" customFormat="false" ht="13.2" hidden="false" customHeight="false" outlineLevel="0" collapsed="false">
      <c r="A30" s="5" t="s">
        <v>106</v>
      </c>
      <c r="B30" s="52"/>
      <c r="C30" s="48" t="n">
        <v>819459053</v>
      </c>
      <c r="D30" s="49" t="n">
        <v>40026441.4915103</v>
      </c>
      <c r="E30" s="49" t="n">
        <v>40026441.4915103</v>
      </c>
      <c r="F30" s="49" t="n">
        <v>0</v>
      </c>
      <c r="G30" s="49" t="n">
        <v>25783839.1607</v>
      </c>
      <c r="H30" s="49" t="n">
        <v>3553696.15547179</v>
      </c>
      <c r="I30" s="49" t="n">
        <v>3336403.24674226</v>
      </c>
      <c r="J30" s="49" t="n">
        <v>658320.886886597</v>
      </c>
      <c r="K30" s="49" t="n">
        <v>1056308.94825048</v>
      </c>
      <c r="L30" s="49" t="n">
        <v>344980.469571636</v>
      </c>
      <c r="M30" s="49" t="n">
        <v>2181622.75890403</v>
      </c>
      <c r="N30" s="49" t="n">
        <v>36915171.6265268</v>
      </c>
      <c r="O30" s="49" t="n">
        <v>0</v>
      </c>
      <c r="P30" s="49" t="n">
        <v>0</v>
      </c>
      <c r="Q30" s="49" t="n">
        <v>36915171.6265268</v>
      </c>
      <c r="R30" s="48" t="n">
        <v>0</v>
      </c>
      <c r="S30" s="50" t="n">
        <v>4.88449561268198</v>
      </c>
      <c r="T30" s="50" t="n">
        <v>4.88449561268198</v>
      </c>
      <c r="U30" s="50"/>
      <c r="V30" s="50" t="n">
        <v>3.14644631312652</v>
      </c>
      <c r="W30" s="50" t="n">
        <v>0.433663664152819</v>
      </c>
      <c r="X30" s="50" t="n">
        <v>0.407147036148767</v>
      </c>
      <c r="Y30" s="50" t="n">
        <v>0.0803360319806726</v>
      </c>
      <c r="Z30" s="50" t="n">
        <v>0.12890320076194</v>
      </c>
      <c r="AA30" s="50" t="n">
        <v>0.0420985610334865</v>
      </c>
      <c r="AB30" s="50" t="n">
        <v>0.266227183764364</v>
      </c>
      <c r="AC30" s="50" t="n">
        <v>4.50482199096857</v>
      </c>
      <c r="AD30" s="50" t="n">
        <v>0</v>
      </c>
      <c r="AE30" s="50" t="n">
        <v>0</v>
      </c>
      <c r="AF30" s="50" t="n">
        <v>4.50482199096857</v>
      </c>
      <c r="AG30" s="51" t="n">
        <v>-0.0777303639556224</v>
      </c>
      <c r="AH30" s="51" t="n">
        <v>-0.0777303639556224</v>
      </c>
      <c r="AI30" s="50"/>
      <c r="AJ30" s="48"/>
      <c r="AK30" s="48"/>
      <c r="AL30" s="48"/>
      <c r="AM30" s="48" t="n">
        <f aca="false">'[1]For rate design'!AM118</f>
        <v>0</v>
      </c>
      <c r="AN30" s="48" t="n">
        <f aca="false">'[1]For rate design'!AN118</f>
        <v>1283819.004739</v>
      </c>
    </row>
    <row r="31" customFormat="false" ht="13.2" hidden="false" customHeight="false" outlineLevel="0" collapsed="false">
      <c r="B31" s="52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8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  <c r="AH31" s="51"/>
      <c r="AI31" s="50"/>
      <c r="AJ31" s="48"/>
      <c r="AK31" s="48"/>
      <c r="AL31" s="48"/>
      <c r="AM31" s="48"/>
      <c r="AN31" s="48"/>
    </row>
    <row r="32" customFormat="false" ht="13.2" hidden="false" customHeight="false" outlineLevel="0" collapsed="false">
      <c r="B32" s="52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8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1"/>
      <c r="AH32" s="51"/>
      <c r="AI32" s="50"/>
      <c r="AJ32" s="48"/>
      <c r="AK32" s="48"/>
      <c r="AL32" s="48"/>
      <c r="AM32" s="48"/>
      <c r="AN32" s="48"/>
    </row>
    <row r="33" customFormat="false" ht="13.2" hidden="false" customHeight="false" outlineLevel="0" collapsed="false">
      <c r="A33" s="5" t="s">
        <v>107</v>
      </c>
      <c r="B33" s="52"/>
      <c r="C33" s="48" t="n">
        <v>77819761996</v>
      </c>
      <c r="D33" s="49" t="n">
        <v>7334450344.66174</v>
      </c>
      <c r="E33" s="49" t="n">
        <v>7748829420.00799</v>
      </c>
      <c r="F33" s="49" t="n">
        <v>0</v>
      </c>
      <c r="G33" s="49" t="n">
        <v>2650081062.3619</v>
      </c>
      <c r="H33" s="49" t="n">
        <v>508570000</v>
      </c>
      <c r="I33" s="49" t="n">
        <v>384514621.076388</v>
      </c>
      <c r="J33" s="49" t="n">
        <v>2027405000.00379</v>
      </c>
      <c r="K33" s="49" t="n">
        <v>232192000</v>
      </c>
      <c r="L33" s="49" t="n">
        <v>32761000</v>
      </c>
      <c r="M33" s="49" t="n">
        <v>251425409</v>
      </c>
      <c r="N33" s="49" t="n">
        <v>6086949092.44208</v>
      </c>
      <c r="O33" s="49" t="n">
        <v>384071346.82038</v>
      </c>
      <c r="P33" s="49" t="n">
        <v>-59471713</v>
      </c>
      <c r="Q33" s="49" t="n">
        <v>6411548726.26247</v>
      </c>
      <c r="R33" s="48" t="n">
        <v>0</v>
      </c>
      <c r="S33" s="50" t="n">
        <v>9.95740570423009</v>
      </c>
      <c r="T33" s="50" t="n">
        <v>9.42492004156828</v>
      </c>
      <c r="U33" s="50"/>
      <c r="V33" s="50" t="n">
        <v>3.40540885038703</v>
      </c>
      <c r="W33" s="50" t="n">
        <v>0.653522944501091</v>
      </c>
      <c r="X33" s="50" t="n">
        <v>0.494109222662686</v>
      </c>
      <c r="Y33" s="50" t="n">
        <v>2.60525726114146</v>
      </c>
      <c r="Z33" s="50" t="n">
        <v>0.298371511354577</v>
      </c>
      <c r="AA33" s="50" t="n">
        <v>0.0420985610334865</v>
      </c>
      <c r="AB33" s="50" t="n">
        <v>0.32308683880699</v>
      </c>
      <c r="AC33" s="50" t="n">
        <v>7.82185518988732</v>
      </c>
      <c r="AD33" s="50" t="n">
        <v>0.493539606096613</v>
      </c>
      <c r="AE33" s="50" t="n">
        <v>-0.0764223784224076</v>
      </c>
      <c r="AF33" s="50" t="n">
        <v>8.23897241756152</v>
      </c>
      <c r="AG33" s="51" t="n">
        <v>-0.172578414268945</v>
      </c>
      <c r="AH33" s="51" t="n">
        <v>-0.125831054139046</v>
      </c>
      <c r="AI33" s="50"/>
      <c r="AJ33" s="48"/>
      <c r="AK33" s="48"/>
      <c r="AL33" s="48"/>
      <c r="AM33" s="48" t="n">
        <f aca="false">AM30+AM28+AM26+AM24+AM22+AM17+AM12+AM10+AM8+AM6</f>
        <v>0</v>
      </c>
      <c r="AN33" s="48" t="n">
        <f aca="false">AN30+AN28+AN26+AN24+AN22+AN17+AN12+AN10+AN8+AN6</f>
        <v>2029851431.05248</v>
      </c>
    </row>
    <row r="34" customFormat="false" ht="13.2" hidden="false" customHeight="false" outlineLevel="0" collapsed="false">
      <c r="B34" s="52"/>
      <c r="C34" s="48"/>
      <c r="D34" s="48"/>
      <c r="E34" s="48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S34" s="50" t="str">
        <f aca="false">IF(AND(ISNUMBER(C34),C34&gt;0),100*(E34/C34),"")</f>
        <v/>
      </c>
      <c r="T34" s="50" t="str">
        <f aca="false">IF(AND(ISNUMBER(C34),C34&gt;0),100*(D34/C34),"")</f>
        <v/>
      </c>
      <c r="U34" s="50"/>
      <c r="V34" s="50" t="str">
        <f aca="false">IF(AND(ISNUMBER($C34),$C34&gt;0),100*(G34/$C34),"")</f>
        <v/>
      </c>
      <c r="W34" s="50" t="str">
        <f aca="false">IF(AND(ISNUMBER($C34),$C34&gt;0),100*(H34/$C34),"")</f>
        <v/>
      </c>
      <c r="X34" s="50" t="str">
        <f aca="false">IF(AND(ISNUMBER($C34),$C34&gt;0),100*(I34/$C34),"")</f>
        <v/>
      </c>
      <c r="Y34" s="50" t="str">
        <f aca="false">IF(AND(ISNUMBER($C34),$C34&gt;0),100*(J34/$C34),"")</f>
        <v/>
      </c>
      <c r="Z34" s="50" t="str">
        <f aca="false">IF(AND(ISNUMBER($C34),$C34&gt;0),100*(K34/$C34),"")</f>
        <v/>
      </c>
      <c r="AA34" s="50" t="str">
        <f aca="false">IF(AND(ISNUMBER($C34),$C34&gt;0),100*(L34/$C34),"")</f>
        <v/>
      </c>
      <c r="AB34" s="50" t="str">
        <f aca="false">IF(AND(ISNUMBER($C34),$C34&gt;0),100*(M34/$C34),"")</f>
        <v/>
      </c>
      <c r="AC34" s="50" t="str">
        <f aca="false">IF(AND(ISNUMBER($C34),$C34&gt;0),100*(N34/$C34),"")</f>
        <v/>
      </c>
      <c r="AD34" s="50" t="str">
        <f aca="false">IF(AND(ISNUMBER($C34),$C34&gt;0),100*(O34/$C34),"")</f>
        <v/>
      </c>
      <c r="AE34" s="50" t="str">
        <f aca="false">IF(AND(ISNUMBER($C34),$C34&gt;0),100*(P34/$C34),"")</f>
        <v/>
      </c>
      <c r="AF34" s="50" t="str">
        <f aca="false">IF(AND(ISNUMBER($C34),$C34&gt;0),100*(Q34/$C34),"")</f>
        <v/>
      </c>
      <c r="AG34" s="51" t="str">
        <f aca="false">IF(AND(ISNUMBER(E34),E34&gt;0),(Q34-E34)/E34,"")</f>
        <v/>
      </c>
      <c r="AH34" s="51" t="str">
        <f aca="false">IF(AND(ISNUMBER(D34),D34&gt;0),(Q34-D34)/D34,"")</f>
        <v/>
      </c>
      <c r="AI34" s="54"/>
    </row>
    <row r="35" customFormat="false" ht="13.2" hidden="false" customHeight="false" outlineLevel="0" collapsed="false">
      <c r="B35" s="52"/>
      <c r="C35" s="48"/>
      <c r="D35" s="48"/>
      <c r="E35" s="48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</row>
    <row r="36" customFormat="false" ht="13.2" hidden="false" customHeight="false" outlineLevel="0" collapsed="false">
      <c r="B36" s="52"/>
      <c r="C36" s="48"/>
      <c r="D36" s="48"/>
      <c r="E36" s="48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customFormat="false" ht="13.2" hidden="false" customHeight="false" outlineLevel="0" collapsed="false">
      <c r="B37" s="52"/>
      <c r="C37" s="48"/>
      <c r="D37" s="48"/>
      <c r="E37" s="48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</row>
    <row r="38" customFormat="false" ht="13.2" hidden="false" customHeight="false" outlineLevel="0" collapsed="false">
      <c r="B38" s="52"/>
      <c r="C38" s="48"/>
      <c r="D38" s="48"/>
      <c r="E38" s="48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</row>
    <row r="39" customFormat="false" ht="13.2" hidden="false" customHeight="false" outlineLevel="0" collapsed="false">
      <c r="B39" s="52"/>
      <c r="C39" s="48"/>
      <c r="D39" s="48"/>
      <c r="E39" s="48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</row>
    <row r="40" customFormat="false" ht="13.2" hidden="false" customHeight="false" outlineLevel="0" collapsed="false">
      <c r="B40" s="52"/>
      <c r="C40" s="48"/>
      <c r="D40" s="48"/>
      <c r="E40" s="48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</row>
    <row r="41" customFormat="false" ht="13.2" hidden="false" customHeight="false" outlineLevel="0" collapsed="false">
      <c r="B41" s="52"/>
      <c r="C41" s="48"/>
      <c r="D41" s="48"/>
      <c r="E41" s="48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</row>
    <row r="42" customFormat="false" ht="13.2" hidden="false" customHeight="false" outlineLevel="0" collapsed="false">
      <c r="B42" s="52"/>
      <c r="C42" s="48"/>
      <c r="D42" s="48"/>
      <c r="E42" s="48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</row>
    <row r="43" customFormat="false" ht="13.2" hidden="false" customHeight="false" outlineLevel="0" collapsed="false">
      <c r="B43" s="52"/>
      <c r="C43" s="48"/>
      <c r="D43" s="48"/>
      <c r="E43" s="48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</row>
    <row r="44" customFormat="false" ht="13.2" hidden="false" customHeight="false" outlineLevel="0" collapsed="false">
      <c r="B44" s="52"/>
      <c r="C44" s="48"/>
      <c r="D44" s="48"/>
      <c r="E44" s="48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</row>
    <row r="45" customFormat="false" ht="13.2" hidden="false" customHeight="false" outlineLevel="0" collapsed="false">
      <c r="B45" s="52"/>
      <c r="C45" s="48"/>
      <c r="D45" s="48"/>
      <c r="E45" s="48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</row>
    <row r="46" customFormat="false" ht="13.2" hidden="false" customHeight="false" outlineLevel="0" collapsed="false">
      <c r="B46" s="52"/>
      <c r="C46" s="48"/>
      <c r="D46" s="48"/>
      <c r="E46" s="48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</row>
    <row r="47" customFormat="false" ht="13.2" hidden="false" customHeight="false" outlineLevel="0" collapsed="false">
      <c r="B47" s="52"/>
      <c r="C47" s="48"/>
      <c r="D47" s="48"/>
      <c r="E47" s="48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</row>
    <row r="48" customFormat="false" ht="13.2" hidden="false" customHeight="false" outlineLevel="0" collapsed="false">
      <c r="B48" s="52"/>
      <c r="C48" s="48"/>
      <c r="D48" s="48"/>
      <c r="E48" s="48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</row>
    <row r="49" customFormat="false" ht="13.2" hidden="false" customHeight="false" outlineLevel="0" collapsed="false">
      <c r="B49" s="52"/>
      <c r="C49" s="48"/>
      <c r="D49" s="48"/>
      <c r="E49" s="48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</row>
    <row r="50" customFormat="false" ht="13.2" hidden="false" customHeight="false" outlineLevel="0" collapsed="false">
      <c r="B50" s="52"/>
      <c r="C50" s="48"/>
      <c r="D50" s="48"/>
      <c r="E50" s="48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</row>
    <row r="51" customFormat="false" ht="13.2" hidden="false" customHeight="false" outlineLevel="0" collapsed="false">
      <c r="B51" s="52"/>
      <c r="C51" s="48"/>
      <c r="D51" s="48"/>
      <c r="E51" s="48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</row>
    <row r="52" customFormat="false" ht="13.2" hidden="false" customHeight="false" outlineLevel="0" collapsed="false">
      <c r="B52" s="52"/>
      <c r="C52" s="48"/>
      <c r="D52" s="48"/>
      <c r="E52" s="48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</row>
    <row r="53" customFormat="false" ht="13.2" hidden="false" customHeight="false" outlineLevel="0" collapsed="false">
      <c r="B53" s="52"/>
      <c r="C53" s="48"/>
      <c r="D53" s="48"/>
      <c r="E53" s="48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</row>
    <row r="54" customFormat="false" ht="13.2" hidden="false" customHeight="false" outlineLevel="0" collapsed="false">
      <c r="B54" s="52"/>
      <c r="C54" s="48"/>
      <c r="D54" s="48"/>
      <c r="E54" s="48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</row>
    <row r="55" customFormat="false" ht="13.2" hidden="false" customHeight="false" outlineLevel="0" collapsed="false">
      <c r="B55" s="52"/>
      <c r="C55" s="48"/>
      <c r="D55" s="48"/>
      <c r="E55" s="48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</row>
    <row r="56" customFormat="false" ht="13.2" hidden="false" customHeight="false" outlineLevel="0" collapsed="false">
      <c r="B56" s="52"/>
      <c r="C56" s="48"/>
      <c r="D56" s="48"/>
      <c r="E56" s="48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</row>
    <row r="57" customFormat="false" ht="13.2" hidden="false" customHeight="false" outlineLevel="0" collapsed="false">
      <c r="B57" s="52"/>
      <c r="C57" s="48"/>
      <c r="D57" s="48"/>
      <c r="E57" s="48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</row>
    <row r="58" customFormat="false" ht="13.2" hidden="false" customHeight="false" outlineLevel="0" collapsed="false">
      <c r="B58" s="52"/>
      <c r="C58" s="48"/>
      <c r="D58" s="48"/>
      <c r="E58" s="48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</row>
    <row r="59" customFormat="false" ht="13.2" hidden="false" customHeight="false" outlineLevel="0" collapsed="false">
      <c r="B59" s="52"/>
      <c r="C59" s="48"/>
      <c r="D59" s="48"/>
      <c r="E59" s="48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</row>
    <row r="60" customFormat="false" ht="13.2" hidden="false" customHeight="false" outlineLevel="0" collapsed="false">
      <c r="B60" s="52"/>
      <c r="C60" s="48"/>
      <c r="D60" s="48"/>
      <c r="E60" s="48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</row>
    <row r="61" customFormat="false" ht="13.2" hidden="false" customHeight="false" outlineLevel="0" collapsed="false">
      <c r="B61" s="52"/>
      <c r="C61" s="48"/>
      <c r="D61" s="48"/>
      <c r="E61" s="48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</row>
    <row r="62" customFormat="false" ht="13.2" hidden="false" customHeight="false" outlineLevel="0" collapsed="false">
      <c r="B62" s="52"/>
      <c r="C62" s="48"/>
      <c r="D62" s="48"/>
      <c r="E62" s="48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</row>
    <row r="63" customFormat="false" ht="13.2" hidden="false" customHeight="false" outlineLevel="0" collapsed="false">
      <c r="B63" s="52"/>
      <c r="C63" s="48"/>
      <c r="D63" s="48"/>
      <c r="E63" s="48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</row>
    <row r="64" customFormat="false" ht="13.2" hidden="false" customHeight="false" outlineLevel="0" collapsed="false">
      <c r="B64" s="52"/>
      <c r="C64" s="48"/>
      <c r="D64" s="48"/>
      <c r="E64" s="48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customFormat="false" ht="13.2" hidden="false" customHeight="false" outlineLevel="0" collapsed="false">
      <c r="B65" s="52"/>
      <c r="C65" s="48"/>
      <c r="D65" s="48"/>
      <c r="E65" s="48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</row>
    <row r="66" customFormat="false" ht="13.2" hidden="false" customHeight="false" outlineLevel="0" collapsed="false">
      <c r="B66" s="52"/>
      <c r="C66" s="48"/>
      <c r="D66" s="48"/>
      <c r="E66" s="48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</row>
    <row r="67" customFormat="false" ht="13.2" hidden="false" customHeight="false" outlineLevel="0" collapsed="false">
      <c r="B67" s="52"/>
      <c r="C67" s="48"/>
      <c r="D67" s="48"/>
      <c r="E67" s="48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</row>
    <row r="68" customFormat="false" ht="13.2" hidden="false" customHeight="false" outlineLevel="0" collapsed="false">
      <c r="B68" s="52"/>
      <c r="C68" s="48"/>
      <c r="D68" s="48"/>
      <c r="E68" s="48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</row>
    <row r="69" customFormat="false" ht="13.2" hidden="false" customHeight="false" outlineLevel="0" collapsed="false">
      <c r="B69" s="52"/>
      <c r="C69" s="48"/>
      <c r="D69" s="48"/>
      <c r="E69" s="48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</row>
    <row r="70" customFormat="false" ht="13.2" hidden="false" customHeight="false" outlineLevel="0" collapsed="false">
      <c r="B70" s="52"/>
      <c r="C70" s="48"/>
      <c r="D70" s="48"/>
      <c r="E70" s="48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customFormat="false" ht="13.2" hidden="false" customHeight="false" outlineLevel="0" collapsed="false">
      <c r="B71" s="52"/>
      <c r="C71" s="48"/>
      <c r="D71" s="48"/>
      <c r="E71" s="48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</row>
    <row r="72" customFormat="false" ht="13.2" hidden="false" customHeight="false" outlineLevel="0" collapsed="false">
      <c r="B72" s="52"/>
      <c r="C72" s="48"/>
      <c r="D72" s="48"/>
      <c r="E72" s="48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</row>
    <row r="73" customFormat="false" ht="13.2" hidden="false" customHeight="false" outlineLevel="0" collapsed="false">
      <c r="B73" s="52"/>
      <c r="C73" s="48"/>
      <c r="D73" s="48"/>
      <c r="E73" s="48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</row>
    <row r="74" customFormat="false" ht="13.2" hidden="false" customHeight="false" outlineLevel="0" collapsed="false">
      <c r="B74" s="52"/>
      <c r="C74" s="48"/>
      <c r="D74" s="48"/>
      <c r="E74" s="48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</row>
    <row r="75" customFormat="false" ht="13.2" hidden="false" customHeight="false" outlineLevel="0" collapsed="false">
      <c r="B75" s="52"/>
      <c r="C75" s="48"/>
      <c r="D75" s="48"/>
      <c r="E75" s="48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</row>
    <row r="76" customFormat="false" ht="13.2" hidden="false" customHeight="false" outlineLevel="0" collapsed="false">
      <c r="B76" s="52"/>
      <c r="C76" s="48"/>
      <c r="D76" s="48"/>
      <c r="E76" s="48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</row>
    <row r="77" customFormat="false" ht="13.2" hidden="false" customHeight="false" outlineLevel="0" collapsed="false">
      <c r="B77" s="52"/>
      <c r="C77" s="48"/>
      <c r="D77" s="48"/>
      <c r="E77" s="48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</row>
    <row r="78" customFormat="false" ht="13.2" hidden="false" customHeight="false" outlineLevel="0" collapsed="false">
      <c r="B78" s="52"/>
      <c r="C78" s="48"/>
      <c r="D78" s="48"/>
      <c r="E78" s="48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</row>
    <row r="79" customFormat="false" ht="13.2" hidden="false" customHeight="false" outlineLevel="0" collapsed="false">
      <c r="B79" s="52"/>
      <c r="C79" s="48"/>
      <c r="D79" s="48"/>
      <c r="E79" s="48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</row>
    <row r="80" customFormat="false" ht="13.2" hidden="false" customHeight="false" outlineLevel="0" collapsed="false">
      <c r="B80" s="52"/>
      <c r="C80" s="48"/>
      <c r="D80" s="48"/>
      <c r="E80" s="48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</row>
    <row r="81" customFormat="false" ht="13.2" hidden="false" customHeight="false" outlineLevel="0" collapsed="false">
      <c r="B81" s="52"/>
      <c r="C81" s="48"/>
      <c r="D81" s="48"/>
      <c r="E81" s="48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customFormat="false" ht="13.2" hidden="false" customHeight="false" outlineLevel="0" collapsed="false">
      <c r="B82" s="52"/>
      <c r="C82" s="48"/>
      <c r="D82" s="48"/>
      <c r="E82" s="48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</row>
    <row r="83" customFormat="false" ht="13.2" hidden="false" customHeight="false" outlineLevel="0" collapsed="false">
      <c r="B83" s="52"/>
      <c r="C83" s="48"/>
      <c r="D83" s="48"/>
      <c r="E83" s="48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</row>
    <row r="84" customFormat="false" ht="13.2" hidden="false" customHeight="false" outlineLevel="0" collapsed="false">
      <c r="B84" s="52"/>
      <c r="C84" s="48"/>
      <c r="D84" s="48"/>
      <c r="E84" s="48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</row>
    <row r="85" customFormat="false" ht="13.2" hidden="false" customHeight="false" outlineLevel="0" collapsed="false">
      <c r="B85" s="52"/>
      <c r="C85" s="48"/>
      <c r="D85" s="48"/>
      <c r="E85" s="48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</row>
    <row r="86" customFormat="false" ht="13.2" hidden="false" customHeight="false" outlineLevel="0" collapsed="false">
      <c r="B86" s="52"/>
      <c r="C86" s="48"/>
      <c r="D86" s="48"/>
      <c r="E86" s="48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</row>
    <row r="87" customFormat="false" ht="13.2" hidden="false" customHeight="false" outlineLevel="0" collapsed="false">
      <c r="B87" s="52"/>
      <c r="C87" s="48"/>
      <c r="D87" s="48"/>
      <c r="E87" s="48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</row>
    <row r="88" customFormat="false" ht="13.2" hidden="false" customHeight="false" outlineLevel="0" collapsed="false">
      <c r="B88" s="52"/>
      <c r="C88" s="48"/>
      <c r="D88" s="48"/>
      <c r="E88" s="48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</row>
    <row r="89" customFormat="false" ht="13.2" hidden="false" customHeight="false" outlineLevel="0" collapsed="false">
      <c r="B89" s="52"/>
      <c r="C89" s="48"/>
      <c r="D89" s="48"/>
      <c r="E89" s="48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</row>
    <row r="90" customFormat="false" ht="13.2" hidden="false" customHeight="false" outlineLevel="0" collapsed="false">
      <c r="B90" s="52"/>
      <c r="C90" s="48"/>
      <c r="D90" s="48"/>
      <c r="E90" s="48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</row>
    <row r="91" customFormat="false" ht="13.2" hidden="false" customHeight="false" outlineLevel="0" collapsed="false">
      <c r="B91" s="52"/>
      <c r="C91" s="48"/>
      <c r="D91" s="48"/>
      <c r="E91" s="48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</row>
    <row r="92" customFormat="false" ht="13.2" hidden="false" customHeight="false" outlineLevel="0" collapsed="false">
      <c r="B92" s="52"/>
      <c r="C92" s="48"/>
      <c r="D92" s="48"/>
      <c r="E92" s="48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</row>
    <row r="93" customFormat="false" ht="13.2" hidden="false" customHeight="false" outlineLevel="0" collapsed="false">
      <c r="B93" s="52"/>
      <c r="C93" s="48"/>
      <c r="D93" s="48"/>
      <c r="E93" s="48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</row>
    <row r="94" customFormat="false" ht="13.2" hidden="false" customHeight="false" outlineLevel="0" collapsed="false">
      <c r="B94" s="52"/>
      <c r="C94" s="48"/>
      <c r="D94" s="48"/>
      <c r="E94" s="48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</row>
    <row r="95" customFormat="false" ht="13.2" hidden="false" customHeight="false" outlineLevel="0" collapsed="false">
      <c r="B95" s="52"/>
      <c r="C95" s="48"/>
      <c r="D95" s="48"/>
      <c r="E95" s="48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</row>
    <row r="96" customFormat="false" ht="13.2" hidden="false" customHeight="false" outlineLevel="0" collapsed="false">
      <c r="B96" s="52"/>
      <c r="C96" s="48"/>
      <c r="D96" s="48"/>
      <c r="E96" s="48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</row>
    <row r="97" customFormat="false" ht="13.2" hidden="false" customHeight="false" outlineLevel="0" collapsed="false">
      <c r="B97" s="52"/>
      <c r="C97" s="48"/>
      <c r="D97" s="48"/>
      <c r="E97" s="48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</row>
    <row r="98" customFormat="false" ht="13.2" hidden="false" customHeight="false" outlineLevel="0" collapsed="false">
      <c r="B98" s="52"/>
      <c r="C98" s="48"/>
      <c r="D98" s="48"/>
      <c r="E98" s="48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</row>
    <row r="99" customFormat="false" ht="13.2" hidden="false" customHeight="false" outlineLevel="0" collapsed="false">
      <c r="B99" s="52"/>
      <c r="C99" s="48"/>
      <c r="D99" s="48"/>
      <c r="E99" s="48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</row>
    <row r="100" customFormat="false" ht="13.2" hidden="false" customHeight="false" outlineLevel="0" collapsed="false">
      <c r="B100" s="52"/>
      <c r="C100" s="48"/>
      <c r="D100" s="48"/>
      <c r="E100" s="48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</row>
    <row r="101" customFormat="false" ht="13.2" hidden="false" customHeight="false" outlineLevel="0" collapsed="false">
      <c r="B101" s="52"/>
      <c r="C101" s="48"/>
      <c r="D101" s="48"/>
      <c r="E101" s="48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</row>
    <row r="102" customFormat="false" ht="13.2" hidden="false" customHeight="false" outlineLevel="0" collapsed="false">
      <c r="B102" s="52"/>
      <c r="C102" s="48"/>
      <c r="D102" s="48"/>
      <c r="E102" s="48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</row>
    <row r="103" customFormat="false" ht="13.2" hidden="false" customHeight="false" outlineLevel="0" collapsed="false">
      <c r="B103" s="52"/>
      <c r="C103" s="48"/>
      <c r="D103" s="48"/>
      <c r="E103" s="48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</row>
    <row r="104" customFormat="false" ht="13.2" hidden="false" customHeight="false" outlineLevel="0" collapsed="false">
      <c r="B104" s="52"/>
      <c r="C104" s="48"/>
      <c r="D104" s="48"/>
      <c r="E104" s="48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</row>
    <row r="105" customFormat="false" ht="13.2" hidden="false" customHeight="false" outlineLevel="0" collapsed="false">
      <c r="B105" s="52"/>
      <c r="C105" s="48"/>
      <c r="D105" s="48"/>
      <c r="E105" s="48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</row>
    <row r="106" customFormat="false" ht="13.2" hidden="false" customHeight="false" outlineLevel="0" collapsed="false">
      <c r="B106" s="52"/>
      <c r="C106" s="48"/>
      <c r="D106" s="48"/>
      <c r="E106" s="48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</row>
    <row r="107" customFormat="false" ht="13.2" hidden="false" customHeight="false" outlineLevel="0" collapsed="false"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</row>
    <row r="108" customFormat="false" ht="13.2" hidden="false" customHeight="false" outlineLevel="0" collapsed="false"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</row>
    <row r="109" customFormat="false" ht="13.2" hidden="false" customHeight="false" outlineLevel="0" collapsed="false"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customFormat="false" ht="13.2" hidden="false" customHeight="false" outlineLevel="0" collapsed="false"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</row>
    <row r="111" customFormat="false" ht="13.2" hidden="false" customHeight="false" outlineLevel="0" collapsed="false"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</row>
    <row r="112" customFormat="false" ht="13.2" hidden="false" customHeight="false" outlineLevel="0" collapsed="false"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</row>
    <row r="113" customFormat="false" ht="13.2" hidden="false" customHeight="false" outlineLevel="0" collapsed="false"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</row>
    <row r="114" customFormat="false" ht="13.2" hidden="false" customHeight="false" outlineLevel="0" collapsed="false"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</row>
    <row r="115" customFormat="false" ht="13.2" hidden="false" customHeight="false" outlineLevel="0" collapsed="false"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</row>
    <row r="116" customFormat="false" ht="13.2" hidden="false" customHeight="false" outlineLevel="0" collapsed="false"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</row>
    <row r="117" customFormat="false" ht="13.2" hidden="false" customHeight="false" outlineLevel="0" collapsed="false"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</row>
    <row r="118" customFormat="false" ht="13.2" hidden="false" customHeight="false" outlineLevel="0" collapsed="false"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</row>
    <row r="119" customFormat="false" ht="13.2" hidden="false" customHeight="false" outlineLevel="0" collapsed="false"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</row>
    <row r="120" customFormat="false" ht="13.2" hidden="false" customHeight="false" outlineLevel="0" collapsed="false"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</row>
    <row r="121" customFormat="false" ht="13.2" hidden="false" customHeight="false" outlineLevel="0" collapsed="false"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</row>
    <row r="122" customFormat="false" ht="13.2" hidden="false" customHeight="false" outlineLevel="0" collapsed="false"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</row>
    <row r="123" customFormat="false" ht="13.2" hidden="false" customHeight="false" outlineLevel="0" collapsed="false"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</row>
    <row r="124" customFormat="false" ht="13.2" hidden="false" customHeight="false" outlineLevel="0" collapsed="false"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</row>
    <row r="125" customFormat="false" ht="13.2" hidden="false" customHeight="false" outlineLevel="0" collapsed="false"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</row>
    <row r="126" customFormat="false" ht="13.2" hidden="false" customHeight="false" outlineLevel="0" collapsed="false"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</row>
    <row r="127" customFormat="false" ht="13.2" hidden="false" customHeight="false" outlineLevel="0" collapsed="false"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</row>
    <row r="128" customFormat="false" ht="13.2" hidden="false" customHeight="false" outlineLevel="0" collapsed="false"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</row>
    <row r="129" customFormat="false" ht="13.2" hidden="false" customHeight="false" outlineLevel="0" collapsed="false"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</row>
    <row r="130" customFormat="false" ht="13.2" hidden="false" customHeight="false" outlineLevel="0" collapsed="false"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</row>
    <row r="131" customFormat="false" ht="13.2" hidden="false" customHeight="false" outlineLevel="0" collapsed="false"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</row>
    <row r="132" customFormat="false" ht="13.2" hidden="false" customHeight="false" outlineLevel="0" collapsed="false"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</row>
    <row r="133" customFormat="false" ht="13.2" hidden="false" customHeight="false" outlineLevel="0" collapsed="false"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</row>
    <row r="134" customFormat="false" ht="13.2" hidden="false" customHeight="false" outlineLevel="0" collapsed="false"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</row>
    <row r="135" customFormat="false" ht="13.2" hidden="false" customHeight="false" outlineLevel="0" collapsed="false"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</row>
    <row r="136" customFormat="false" ht="13.2" hidden="false" customHeight="false" outlineLevel="0" collapsed="false"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</row>
    <row r="137" customFormat="false" ht="13.2" hidden="false" customHeight="false" outlineLevel="0" collapsed="false"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</row>
    <row r="138" customFormat="false" ht="13.2" hidden="false" customHeight="false" outlineLevel="0" collapsed="false"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</row>
    <row r="139" customFormat="false" ht="13.2" hidden="false" customHeight="false" outlineLevel="0" collapsed="false"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</row>
    <row r="140" customFormat="false" ht="13.2" hidden="false" customHeight="false" outlineLevel="0" collapsed="false"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</row>
    <row r="141" customFormat="false" ht="13.2" hidden="false" customHeight="false" outlineLevel="0" collapsed="false"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</row>
    <row r="142" customFormat="false" ht="13.2" hidden="false" customHeight="false" outlineLevel="0" collapsed="false"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</row>
    <row r="143" customFormat="false" ht="13.2" hidden="false" customHeight="false" outlineLevel="0" collapsed="false"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</row>
    <row r="144" customFormat="false" ht="13.2" hidden="false" customHeight="false" outlineLevel="0" collapsed="false"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</row>
    <row r="145" customFormat="false" ht="13.2" hidden="false" customHeight="false" outlineLevel="0" collapsed="false"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</row>
    <row r="146" customFormat="false" ht="13.2" hidden="false" customHeight="false" outlineLevel="0" collapsed="false"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</row>
    <row r="147" customFormat="false" ht="13.2" hidden="false" customHeight="false" outlineLevel="0" collapsed="false"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</row>
    <row r="148" customFormat="false" ht="13.2" hidden="false" customHeight="false" outlineLevel="0" collapsed="false"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</row>
    <row r="149" customFormat="false" ht="13.2" hidden="false" customHeight="false" outlineLevel="0" collapsed="false"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</row>
    <row r="150" customFormat="false" ht="13.2" hidden="false" customHeight="false" outlineLevel="0" collapsed="false"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</row>
    <row r="151" customFormat="false" ht="13.2" hidden="false" customHeight="false" outlineLevel="0" collapsed="false"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</row>
    <row r="152" customFormat="false" ht="13.2" hidden="false" customHeight="false" outlineLevel="0" collapsed="false"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</row>
    <row r="153" customFormat="false" ht="13.2" hidden="false" customHeight="false" outlineLevel="0" collapsed="false"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</row>
    <row r="154" customFormat="false" ht="13.2" hidden="false" customHeight="false" outlineLevel="0" collapsed="false"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</row>
    <row r="155" customFormat="false" ht="13.2" hidden="false" customHeight="false" outlineLevel="0" collapsed="false"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</row>
    <row r="156" customFormat="false" ht="13.2" hidden="false" customHeight="false" outlineLevel="0" collapsed="false"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</row>
    <row r="157" customFormat="false" ht="13.2" hidden="false" customHeight="false" outlineLevel="0" collapsed="false"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</row>
    <row r="158" customFormat="false" ht="13.2" hidden="false" customHeight="false" outlineLevel="0" collapsed="false"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</row>
    <row r="159" customFormat="false" ht="13.2" hidden="false" customHeight="false" outlineLevel="0" collapsed="false"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</row>
    <row r="160" customFormat="false" ht="13.2" hidden="false" customHeight="false" outlineLevel="0" collapsed="false"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</row>
    <row r="161" customFormat="false" ht="13.2" hidden="false" customHeight="false" outlineLevel="0" collapsed="false"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</row>
    <row r="162" customFormat="false" ht="13.2" hidden="false" customHeight="false" outlineLevel="0" collapsed="false"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</row>
    <row r="163" customFormat="false" ht="13.2" hidden="false" customHeight="false" outlineLevel="0" collapsed="false"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</row>
    <row r="164" customFormat="false" ht="13.2" hidden="false" customHeight="false" outlineLevel="0" collapsed="false"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</row>
    <row r="165" customFormat="false" ht="13.2" hidden="false" customHeight="false" outlineLevel="0" collapsed="false"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</row>
    <row r="166" customFormat="false" ht="13.2" hidden="false" customHeight="false" outlineLevel="0" collapsed="false"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</row>
    <row r="167" customFormat="false" ht="13.2" hidden="false" customHeight="false" outlineLevel="0" collapsed="false"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</row>
    <row r="168" customFormat="false" ht="13.2" hidden="false" customHeight="false" outlineLevel="0" collapsed="false"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</row>
  </sheetData>
  <printOptions headings="false" gridLines="false" gridLinesSet="true" horizontalCentered="false" verticalCentered="false"/>
  <pageMargins left="0.379861111111111" right="0.370138888888889" top="1.40972222222222" bottom="0.870138888888889" header="0.5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Roman,Bold"&amp;12&amp;UTABLE 4-3
&amp;UFUNCTIONAL REVENUE ALLOCATIONS AND AVERAGE RATES
&amp;"Times New Roman,Regular"&amp;10 
(Dollars in Thousands, Average Rates in Cents/kWh)</oddHeader>
    <oddFooter>&amp;C&amp;"Times New Roman,Regular"4-19&amp;&amp;20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1015625" defaultRowHeight="26.4" customHeight="true" zeroHeight="false" outlineLevelRow="0" outlineLevelCol="0"/>
  <cols>
    <col collapsed="false" customWidth="true" hidden="false" outlineLevel="0" max="3" min="1" style="55" width="16.66"/>
    <col collapsed="false" customWidth="true" hidden="false" outlineLevel="0" max="4" min="4" style="56" width="16.66"/>
    <col collapsed="false" customWidth="true" hidden="false" outlineLevel="0" max="5" min="5" style="57" width="16.66"/>
    <col collapsed="false" customWidth="false" hidden="false" outlineLevel="0" max="257" min="6" style="58" width="9.1"/>
  </cols>
  <sheetData>
    <row r="1" customFormat="false" ht="26.4" hidden="false" customHeight="true" outlineLevel="0" collapsed="false">
      <c r="A1" s="59" t="s">
        <v>108</v>
      </c>
      <c r="B1" s="59"/>
      <c r="C1" s="59"/>
      <c r="D1" s="59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26.4" hidden="false" customHeight="true" outlineLevel="0" collapsed="false">
      <c r="A2" s="61" t="s">
        <v>13</v>
      </c>
      <c r="B2" s="61"/>
      <c r="C2" s="61"/>
      <c r="D2" s="61"/>
      <c r="E2" s="61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</row>
    <row r="4" customFormat="false" ht="26.4" hidden="false" customHeight="true" outlineLevel="0" collapsed="false">
      <c r="A4" s="62" t="s">
        <v>109</v>
      </c>
      <c r="B4" s="63" t="s">
        <v>110</v>
      </c>
      <c r="C4" s="63" t="s">
        <v>111</v>
      </c>
      <c r="D4" s="64" t="s">
        <v>112</v>
      </c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26.4" hidden="false" customHeight="true" outlineLevel="0" collapsed="false">
      <c r="A5" s="66"/>
      <c r="B5" s="67" t="s">
        <v>113</v>
      </c>
      <c r="C5" s="67" t="s">
        <v>113</v>
      </c>
      <c r="D5" s="67" t="s">
        <v>114</v>
      </c>
      <c r="E5" s="68" t="s">
        <v>115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customFormat="false" ht="40.2" hidden="false" customHeight="true" outlineLevel="0" collapsed="false">
      <c r="A6" s="69" t="s">
        <v>92</v>
      </c>
      <c r="B6" s="70" t="n">
        <f aca="false">'Table 4-6'!B5+'Table 4-9'!B5</f>
        <v>717536321</v>
      </c>
      <c r="C6" s="70" t="n">
        <f aca="false">'Table 4-6'!D5+'Table 4-9'!D5</f>
        <v>628029258</v>
      </c>
      <c r="D6" s="71" t="n">
        <f aca="false">'Table 4-6'!F5+'Table 4-9'!F5</f>
        <v>895496973.5</v>
      </c>
      <c r="E6" s="72" t="n">
        <v>460697775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</row>
    <row r="7" customFormat="false" ht="26.4" hidden="false" customHeight="true" outlineLevel="0" collapsed="false">
      <c r="A7" s="73" t="s">
        <v>93</v>
      </c>
      <c r="B7" s="74" t="n">
        <f aca="false">'Table 4-6'!B6+'Table 4-9'!B6</f>
        <v>213181365</v>
      </c>
      <c r="C7" s="74" t="n">
        <f aca="false">'Table 4-6'!D6+'Table 4-9'!D6</f>
        <v>209289034</v>
      </c>
      <c r="D7" s="71" t="n">
        <f aca="false">'Table 4-6'!F6+'Table 4-9'!F6</f>
        <v>251516811.5</v>
      </c>
      <c r="E7" s="72" t="n">
        <f aca="false">140302931-976255</f>
        <v>139326676</v>
      </c>
    </row>
    <row r="8" customFormat="false" ht="26.4" hidden="false" customHeight="true" outlineLevel="0" collapsed="false">
      <c r="A8" s="73" t="s">
        <v>94</v>
      </c>
      <c r="B8" s="74" t="n">
        <f aca="false">'Table 4-6'!B7+'Table 4-9'!B7</f>
        <v>279683135</v>
      </c>
      <c r="C8" s="74" t="n">
        <f aca="false">'Table 4-6'!D7+'Table 4-9'!D7</f>
        <v>210337613</v>
      </c>
      <c r="D8" s="71" t="n">
        <f aca="false">'Table 4-6'!F7+'Table 4-9'!F7</f>
        <v>307638841</v>
      </c>
      <c r="E8" s="72" t="n">
        <v>209989193</v>
      </c>
    </row>
    <row r="9" customFormat="false" ht="26.4" hidden="false" customHeight="true" outlineLevel="0" collapsed="false">
      <c r="A9" s="73" t="s">
        <v>95</v>
      </c>
      <c r="B9" s="74" t="n">
        <f aca="false">'Table 4-6'!B8+'Table 4-9'!B8</f>
        <v>33644949</v>
      </c>
      <c r="C9" s="74" t="n">
        <f aca="false">'Table 4-6'!D8+'Table 4-9'!D8</f>
        <v>20105296</v>
      </c>
      <c r="D9" s="71" t="n">
        <f aca="false">'Table 4-6'!F8+'Table 4-9'!F8</f>
        <v>151244116</v>
      </c>
      <c r="E9" s="72" t="n">
        <v>99811918</v>
      </c>
    </row>
    <row r="10" customFormat="false" ht="26.4" hidden="false" customHeight="true" outlineLevel="0" collapsed="false">
      <c r="A10" s="75" t="s">
        <v>116</v>
      </c>
      <c r="B10" s="76"/>
      <c r="C10" s="76"/>
      <c r="D10" s="77"/>
      <c r="E10" s="78"/>
    </row>
    <row r="11" customFormat="false" ht="26.4" hidden="false" customHeight="true" outlineLevel="0" collapsed="false">
      <c r="A11" s="79" t="s">
        <v>97</v>
      </c>
      <c r="B11" s="80" t="n">
        <f aca="false">'Table 4-6'!B10+'Table 4-9'!B10</f>
        <v>84684</v>
      </c>
      <c r="C11" s="80" t="n">
        <f aca="false">'Table 4-6'!D10+'Table 4-9'!D10</f>
        <v>49019</v>
      </c>
      <c r="D11" s="81" t="n">
        <f aca="false">'Table 4-6'!F10+'Table 4-9'!F10</f>
        <v>49019</v>
      </c>
      <c r="E11" s="82" t="n">
        <f aca="false">'Table 4-9'!F10</f>
        <v>0</v>
      </c>
    </row>
    <row r="12" customFormat="false" ht="26.4" hidden="false" customHeight="true" outlineLevel="0" collapsed="false">
      <c r="A12" s="79" t="s">
        <v>98</v>
      </c>
      <c r="B12" s="80" t="n">
        <f aca="false">'Table 4-6'!B11+'Table 4-9'!B11</f>
        <v>4185970</v>
      </c>
      <c r="C12" s="80" t="n">
        <f aca="false">'Table 4-6'!D11+'Table 4-9'!D11</f>
        <v>3520120</v>
      </c>
      <c r="D12" s="81" t="n">
        <f aca="false">'Table 4-6'!F11+'Table 4-9'!F11</f>
        <v>7197541</v>
      </c>
      <c r="E12" s="82" t="n">
        <v>5660959</v>
      </c>
    </row>
    <row r="13" customFormat="false" ht="26.4" hidden="false" customHeight="true" outlineLevel="0" collapsed="false">
      <c r="A13" s="83" t="s">
        <v>99</v>
      </c>
      <c r="B13" s="70" t="n">
        <f aca="false">'Table 4-6'!B12+'Table 4-9'!B12</f>
        <v>48721611</v>
      </c>
      <c r="C13" s="70" t="n">
        <f aca="false">'Table 4-6'!D12+'Table 4-9'!D12</f>
        <v>28756995</v>
      </c>
      <c r="D13" s="71" t="n">
        <f aca="false">'Table 4-6'!F12+'Table 4-9'!F12</f>
        <v>52334746</v>
      </c>
      <c r="E13" s="72" t="n">
        <v>41330834</v>
      </c>
    </row>
    <row r="14" customFormat="false" ht="26.4" hidden="false" customHeight="true" outlineLevel="0" collapsed="false">
      <c r="A14" s="75" t="s">
        <v>117</v>
      </c>
      <c r="B14" s="76"/>
      <c r="C14" s="76"/>
      <c r="D14" s="77"/>
      <c r="E14" s="78"/>
    </row>
    <row r="15" customFormat="false" ht="26.4" hidden="false" customHeight="true" outlineLevel="0" collapsed="false">
      <c r="A15" s="79" t="s">
        <v>97</v>
      </c>
      <c r="B15" s="80" t="n">
        <f aca="false">'Table 4-6'!B14+'Table 4-9'!B14</f>
        <v>2237754</v>
      </c>
      <c r="C15" s="80" t="n">
        <f aca="false">'Table 4-6'!D14+'Table 4-9'!D14</f>
        <v>3050258</v>
      </c>
      <c r="D15" s="81" t="n">
        <f aca="false">'Table 4-6'!F14+'Table 4-9'!F14</f>
        <v>3050258</v>
      </c>
      <c r="E15" s="82" t="n">
        <f aca="false">'Table 4-9'!F14</f>
        <v>0</v>
      </c>
    </row>
    <row r="16" customFormat="false" ht="26.4" hidden="false" customHeight="true" outlineLevel="0" collapsed="false">
      <c r="A16" s="79" t="s">
        <v>98</v>
      </c>
      <c r="B16" s="80" t="n">
        <f aca="false">'Table 4-6'!B15+'Table 4-9'!B15</f>
        <v>42861542</v>
      </c>
      <c r="C16" s="80" t="n">
        <f aca="false">'Table 4-6'!D15+'Table 4-9'!D15</f>
        <v>43618974</v>
      </c>
      <c r="D16" s="81" t="n">
        <f aca="false">'Table 4-6'!F15+'Table 4-9'!F15</f>
        <v>78133532.5</v>
      </c>
      <c r="E16" s="82" t="n">
        <v>61519267</v>
      </c>
    </row>
    <row r="17" customFormat="false" ht="26.4" hidden="false" customHeight="true" outlineLevel="0" collapsed="false">
      <c r="A17" s="83" t="s">
        <v>99</v>
      </c>
      <c r="B17" s="70" t="n">
        <f aca="false">'Table 4-6'!B16+'Table 4-9'!B16</f>
        <v>47715911</v>
      </c>
      <c r="C17" s="70" t="n">
        <f aca="false">'Table 4-6'!D16+'Table 4-9'!D16</f>
        <v>25805503</v>
      </c>
      <c r="D17" s="71" t="n">
        <f aca="false">'Table 4-6'!F16+'Table 4-9'!F16</f>
        <v>51254242.5</v>
      </c>
      <c r="E17" s="72" t="n">
        <v>38338846</v>
      </c>
    </row>
    <row r="18" customFormat="false" ht="26.4" hidden="false" customHeight="true" outlineLevel="0" collapsed="false">
      <c r="A18" s="73" t="s">
        <v>103</v>
      </c>
      <c r="B18" s="74" t="n">
        <f aca="false">'Table 4-6'!B17+'Table 4-9'!B17</f>
        <v>2428959</v>
      </c>
      <c r="C18" s="74" t="n">
        <f aca="false">'Table 4-6'!D17+'Table 4-9'!D17</f>
        <v>2712945</v>
      </c>
      <c r="D18" s="71" t="n">
        <f aca="false">'Table 4-6'!F17+'Table 4-9'!F17</f>
        <v>3376736</v>
      </c>
      <c r="E18" s="72" t="n">
        <v>1114896</v>
      </c>
    </row>
    <row r="19" customFormat="false" ht="26.4" hidden="false" customHeight="true" outlineLevel="0" collapsed="false">
      <c r="A19" s="73" t="s">
        <v>104</v>
      </c>
      <c r="B19" s="74" t="n">
        <f aca="false">'Table 4-6'!B18+'Table 4-9'!B18</f>
        <v>5058170</v>
      </c>
      <c r="C19" s="74" t="n">
        <f aca="false">'Table 4-6'!D18+'Table 4-9'!D18</f>
        <v>7190817</v>
      </c>
      <c r="D19" s="71" t="n">
        <f aca="false">'Table 4-6'!F18+'Table 4-9'!F18</f>
        <v>9131443</v>
      </c>
      <c r="E19" s="72" t="n">
        <v>2358111</v>
      </c>
    </row>
    <row r="20" customFormat="false" ht="26.4" hidden="false" customHeight="true" outlineLevel="0" collapsed="false">
      <c r="A20" s="73" t="s">
        <v>105</v>
      </c>
      <c r="B20" s="74" t="n">
        <f aca="false">'Table 4-6'!B19+'Table 4-9'!B19</f>
        <v>4273456</v>
      </c>
      <c r="C20" s="74" t="n">
        <f aca="false">'Table 4-6'!D19+'Table 4-9'!D19</f>
        <v>3956635</v>
      </c>
      <c r="D20" s="71" t="n">
        <f aca="false">'Table 4-6'!F19+'Table 4-9'!F19</f>
        <v>3392266</v>
      </c>
      <c r="E20" s="72" t="n">
        <v>976255</v>
      </c>
    </row>
    <row r="21" customFormat="false" ht="26.4" hidden="false" customHeight="true" outlineLevel="0" collapsed="false">
      <c r="A21" s="73" t="s">
        <v>106</v>
      </c>
      <c r="B21" s="74" t="n">
        <f aca="false">'Table 4-6'!B20+'Table 4-9'!B20</f>
        <v>415870</v>
      </c>
      <c r="C21" s="74" t="n">
        <f aca="false">'Table 4-6'!D20+'Table 4-9'!D20</f>
        <v>280650</v>
      </c>
      <c r="D21" s="71" t="n">
        <f aca="false">'Table 4-6'!F20+'Table 4-9'!F20</f>
        <v>466616</v>
      </c>
      <c r="E21" s="72" t="n">
        <v>279991</v>
      </c>
    </row>
    <row r="22" customFormat="false" ht="26.4" hidden="false" customHeight="true" outlineLevel="0" collapsed="false">
      <c r="A22" s="84" t="s">
        <v>45</v>
      </c>
      <c r="B22" s="85" t="n">
        <f aca="false">'Table 4-6'!B21+'Table 4-9'!B21</f>
        <v>1402029696</v>
      </c>
      <c r="C22" s="85" t="n">
        <f aca="false">'Table 4-6'!D21+'Table 4-9'!D21</f>
        <v>1186703117</v>
      </c>
      <c r="D22" s="86" t="n">
        <f aca="false">'Table 4-6'!F21+'Table 4-9'!F21</f>
        <v>1814283142</v>
      </c>
      <c r="E22" s="87" t="n">
        <f aca="false">SUM(E6:E21)</f>
        <v>1061404721</v>
      </c>
    </row>
    <row r="23" customFormat="false" ht="26.4" hidden="false" customHeight="true" outlineLevel="0" collapsed="false">
      <c r="A23" s="55" t="s">
        <v>118</v>
      </c>
    </row>
    <row r="24" customFormat="false" ht="26.4" hidden="false" customHeight="true" outlineLevel="0" collapsed="false">
      <c r="A24" s="55" t="s">
        <v>119</v>
      </c>
    </row>
  </sheetData>
  <mergeCells count="3">
    <mergeCell ref="A1:E1"/>
    <mergeCell ref="A2:E2"/>
    <mergeCell ref="D4:E4"/>
  </mergeCells>
  <printOptions headings="false" gridLines="false" gridLinesSet="true" horizontalCentered="false" verticalCentered="false"/>
  <pageMargins left="1.05" right="0.490277777777778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015625" defaultRowHeight="27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4" min="2" style="88" width="15.66"/>
    <col collapsed="false" customWidth="true" hidden="false" outlineLevel="0" max="5" min="5" style="2" width="14.33"/>
    <col collapsed="false" customWidth="false" hidden="false" outlineLevel="0" max="257" min="6" style="2" width="9.1"/>
  </cols>
  <sheetData>
    <row r="1" customFormat="false" ht="27" hidden="false" customHeight="true" outlineLevel="0" collapsed="false">
      <c r="A1" s="89" t="s">
        <v>120</v>
      </c>
      <c r="B1" s="89"/>
      <c r="C1" s="89"/>
      <c r="D1" s="89"/>
      <c r="E1" s="89"/>
    </row>
    <row r="2" customFormat="false" ht="27" hidden="false" customHeight="true" outlineLevel="0" collapsed="false">
      <c r="A2" s="90" t="s">
        <v>15</v>
      </c>
      <c r="B2" s="90"/>
      <c r="C2" s="90"/>
      <c r="D2" s="90"/>
      <c r="E2" s="90"/>
    </row>
    <row r="4" customFormat="false" ht="26.4" hidden="false" customHeight="true" outlineLevel="0" collapsed="false">
      <c r="A4" s="62" t="s">
        <v>109</v>
      </c>
      <c r="B4" s="63" t="s">
        <v>110</v>
      </c>
      <c r="C4" s="63" t="s">
        <v>111</v>
      </c>
      <c r="D4" s="64" t="s">
        <v>112</v>
      </c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26.4" hidden="false" customHeight="true" outlineLevel="0" collapsed="false">
      <c r="A5" s="66"/>
      <c r="B5" s="67" t="s">
        <v>113</v>
      </c>
      <c r="C5" s="67" t="s">
        <v>113</v>
      </c>
      <c r="D5" s="67" t="s">
        <v>114</v>
      </c>
      <c r="E5" s="68" t="s">
        <v>115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customFormat="false" ht="40.2" hidden="false" customHeight="true" outlineLevel="0" collapsed="false">
      <c r="A6" s="91" t="s">
        <v>92</v>
      </c>
      <c r="B6" s="92" t="n">
        <f aca="false">'Table 4-4'!B6/'Table 4-4'!$B$22</f>
        <v>0.511783967948137</v>
      </c>
      <c r="C6" s="92" t="n">
        <f aca="false">'Table 4-4'!C6/'Table 4-4'!$C$22</f>
        <v>0.529221882881428</v>
      </c>
      <c r="D6" s="92" t="n">
        <f aca="false">'Table 4-4'!D6/'Table 4-4'!$D$22</f>
        <v>0.493581708813563</v>
      </c>
      <c r="E6" s="93" t="n">
        <f aca="false">'Table 4-4'!E6/'Table 4-4'!$E$22</f>
        <v>0.43404534188048</v>
      </c>
    </row>
    <row r="7" customFormat="false" ht="27" hidden="false" customHeight="true" outlineLevel="0" collapsed="false">
      <c r="A7" s="94" t="s">
        <v>93</v>
      </c>
      <c r="B7" s="95" t="n">
        <f aca="false">'Table 4-4'!B7/'Table 4-4'!$B$22</f>
        <v>0.152051961244621</v>
      </c>
      <c r="C7" s="95" t="n">
        <f aca="false">'Table 4-4'!C7/'Table 4-4'!$C$22</f>
        <v>0.176361746254687</v>
      </c>
      <c r="D7" s="95" t="n">
        <f aca="false">'Table 4-4'!D7/'Table 4-4'!$D$22</f>
        <v>0.138631509976297</v>
      </c>
      <c r="E7" s="96" t="n">
        <f aca="false">'Table 4-4'!E7/'Table 4-4'!$E$22</f>
        <v>0.131266305155242</v>
      </c>
    </row>
    <row r="8" customFormat="false" ht="27" hidden="false" customHeight="true" outlineLevel="0" collapsed="false">
      <c r="A8" s="94" t="s">
        <v>94</v>
      </c>
      <c r="B8" s="95" t="n">
        <f aca="false">'Table 4-4'!B8/'Table 4-4'!$B$22</f>
        <v>0.199484458708641</v>
      </c>
      <c r="C8" s="95" t="n">
        <f aca="false">'Table 4-4'!C8/'Table 4-4'!$C$22</f>
        <v>0.177245353102077</v>
      </c>
      <c r="D8" s="95" t="n">
        <f aca="false">'Table 4-4'!D8/'Table 4-4'!$D$22</f>
        <v>0.169564955920204</v>
      </c>
      <c r="E8" s="96" t="n">
        <f aca="false">'Table 4-4'!E8/'Table 4-4'!$E$22</f>
        <v>0.197840831913918</v>
      </c>
    </row>
    <row r="9" customFormat="false" ht="27" hidden="false" customHeight="true" outlineLevel="0" collapsed="false">
      <c r="A9" s="94" t="s">
        <v>95</v>
      </c>
      <c r="B9" s="95" t="n">
        <f aca="false">'Table 4-4'!B9/'Table 4-4'!$B$22</f>
        <v>0.0239973155318958</v>
      </c>
      <c r="C9" s="95" t="n">
        <f aca="false">'Table 4-4'!C9/'Table 4-4'!$C$22</f>
        <v>0.0169421447639123</v>
      </c>
      <c r="D9" s="95" t="n">
        <f aca="false">'Table 4-4'!D9/'Table 4-4'!$D$22</f>
        <v>0.0833630167743685</v>
      </c>
      <c r="E9" s="96" t="n">
        <f aca="false">'Table 4-4'!E9/'Table 4-4'!$E$22</f>
        <v>0.0940375674096893</v>
      </c>
    </row>
    <row r="10" customFormat="false" ht="27" hidden="false" customHeight="true" outlineLevel="0" collapsed="false">
      <c r="A10" s="97" t="s">
        <v>116</v>
      </c>
      <c r="B10" s="98"/>
      <c r="C10" s="98"/>
      <c r="D10" s="98"/>
      <c r="E10" s="99"/>
    </row>
    <row r="11" customFormat="false" ht="27" hidden="false" customHeight="true" outlineLevel="0" collapsed="false">
      <c r="A11" s="100" t="s">
        <v>97</v>
      </c>
      <c r="B11" s="101" t="n">
        <f aca="false">'Table 4-4'!B11/'Table 4-4'!$B$22</f>
        <v>6.04010030897377E-005</v>
      </c>
      <c r="C11" s="101" t="n">
        <f aca="false">'Table 4-4'!C11/'Table 4-4'!$C$22</f>
        <v>4.13068772617035E-005</v>
      </c>
      <c r="D11" s="101" t="n">
        <f aca="false">'Table 4-4'!D11/'Table 4-4'!$D$22</f>
        <v>2.70183847632312E-005</v>
      </c>
      <c r="E11" s="102" t="n">
        <f aca="false">'Table 4-4'!E11/'Table 4-4'!$E$22</f>
        <v>0</v>
      </c>
    </row>
    <row r="12" customFormat="false" ht="27" hidden="false" customHeight="true" outlineLevel="0" collapsed="false">
      <c r="A12" s="100" t="s">
        <v>98</v>
      </c>
      <c r="B12" s="101" t="n">
        <f aca="false">'Table 4-4'!B12/'Table 4-4'!$B$22</f>
        <v>0.00298565002720171</v>
      </c>
      <c r="C12" s="101" t="n">
        <f aca="false">'Table 4-4'!C12/'Table 4-4'!$C$22</f>
        <v>0.00296630214379053</v>
      </c>
      <c r="D12" s="101" t="n">
        <f aca="false">'Table 4-4'!D12/'Table 4-4'!$D$22</f>
        <v>0.00396715420728966</v>
      </c>
      <c r="E12" s="102" t="n">
        <f aca="false">'Table 4-4'!E12/'Table 4-4'!$E$22</f>
        <v>0.00533345941279264</v>
      </c>
    </row>
    <row r="13" customFormat="false" ht="27" hidden="false" customHeight="true" outlineLevel="0" collapsed="false">
      <c r="A13" s="103" t="s">
        <v>99</v>
      </c>
      <c r="B13" s="92" t="n">
        <f aca="false">'Table 4-4'!B13/'Table 4-4'!$B$22</f>
        <v>0.0347507696441831</v>
      </c>
      <c r="C13" s="92" t="n">
        <f aca="false">'Table 4-4'!C13/'Table 4-4'!$C$22</f>
        <v>0.0242326784079729</v>
      </c>
      <c r="D13" s="92" t="n">
        <f aca="false">'Table 4-4'!D13/'Table 4-4'!$D$22</f>
        <v>0.0288459638897973</v>
      </c>
      <c r="E13" s="93" t="n">
        <f aca="false">'Table 4-4'!E13/'Table 4-4'!$E$22</f>
        <v>0.0389397495434732</v>
      </c>
    </row>
    <row r="14" customFormat="false" ht="27" hidden="false" customHeight="true" outlineLevel="0" collapsed="false">
      <c r="A14" s="104" t="s">
        <v>117</v>
      </c>
      <c r="B14" s="105"/>
      <c r="C14" s="105"/>
      <c r="D14" s="105"/>
      <c r="E14" s="106"/>
    </row>
    <row r="15" customFormat="false" ht="27" hidden="false" customHeight="true" outlineLevel="0" collapsed="false">
      <c r="A15" s="100" t="s">
        <v>97</v>
      </c>
      <c r="B15" s="105" t="n">
        <f aca="false">'Table 4-4'!B15/'Table 4-4'!$B$22</f>
        <v>0.00159608174233708</v>
      </c>
      <c r="C15" s="105" t="n">
        <f aca="false">'Table 4-4'!C15/'Table 4-4'!$C$22</f>
        <v>0.00257036318208306</v>
      </c>
      <c r="D15" s="105" t="n">
        <f aca="false">'Table 4-4'!D15/'Table 4-4'!$D$22</f>
        <v>0.00168124695059312</v>
      </c>
      <c r="E15" s="106" t="n">
        <f aca="false">'Table 4-4'!E15/'Table 4-4'!$E$22</f>
        <v>0</v>
      </c>
    </row>
    <row r="16" customFormat="false" ht="27" hidden="false" customHeight="true" outlineLevel="0" collapsed="false">
      <c r="A16" s="100" t="s">
        <v>98</v>
      </c>
      <c r="B16" s="105" t="n">
        <f aca="false">'Table 4-4'!B16/'Table 4-4'!$B$22</f>
        <v>0.0305710657358288</v>
      </c>
      <c r="C16" s="105" t="n">
        <f aca="false">'Table 4-4'!C16/'Table 4-4'!$C$22</f>
        <v>0.0367564333278818</v>
      </c>
      <c r="D16" s="105" t="n">
        <f aca="false">'Table 4-4'!D16/'Table 4-4'!$D$22</f>
        <v>0.0430657876332734</v>
      </c>
      <c r="E16" s="106" t="n">
        <f aca="false">'Table 4-4'!E16/'Table 4-4'!$E$22</f>
        <v>0.0579602349441594</v>
      </c>
    </row>
    <row r="17" customFormat="false" ht="27" hidden="false" customHeight="true" outlineLevel="0" collapsed="false">
      <c r="A17" s="103" t="s">
        <v>99</v>
      </c>
      <c r="B17" s="107" t="n">
        <f aca="false">'Table 4-4'!B17/'Table 4-4'!$B$22</f>
        <v>0.0340334524554892</v>
      </c>
      <c r="C17" s="107" t="n">
        <f aca="false">'Table 4-4'!C17/'Table 4-4'!$C$22</f>
        <v>0.0217455424447158</v>
      </c>
      <c r="D17" s="92" t="n">
        <f aca="false">'Table 4-4'!D17/'Table 4-4'!$D$22</f>
        <v>0.0282504099351875</v>
      </c>
      <c r="E17" s="93" t="n">
        <f aca="false">'Table 4-4'!E17/'Table 4-4'!$E$22</f>
        <v>0.0361208549778063</v>
      </c>
    </row>
    <row r="18" customFormat="false" ht="27" hidden="false" customHeight="true" outlineLevel="0" collapsed="false">
      <c r="A18" s="94" t="s">
        <v>103</v>
      </c>
      <c r="B18" s="95" t="n">
        <f aca="false">'Table 4-4'!B18/'Table 4-4'!$B$22</f>
        <v>0.00173245902489073</v>
      </c>
      <c r="C18" s="95" t="n">
        <f aca="false">'Table 4-4'!C18/'Table 4-4'!$C$22</f>
        <v>0.00228611938498852</v>
      </c>
      <c r="D18" s="95" t="n">
        <f aca="false">'Table 4-4'!D18/'Table 4-4'!$D$22</f>
        <v>0.00186119570966063</v>
      </c>
      <c r="E18" s="96" t="n">
        <f aca="false">'Table 4-4'!E18/'Table 4-4'!$E$22</f>
        <v>0.00105039668464034</v>
      </c>
    </row>
    <row r="19" customFormat="false" ht="27" hidden="false" customHeight="true" outlineLevel="0" collapsed="false">
      <c r="A19" s="94" t="s">
        <v>104</v>
      </c>
      <c r="B19" s="95" t="n">
        <f aca="false">'Table 4-4'!B19/'Table 4-4'!$B$22</f>
        <v>0.00360774812005123</v>
      </c>
      <c r="C19" s="95" t="n">
        <f aca="false">'Table 4-4'!C19/'Table 4-4'!$C$22</f>
        <v>0.00605949112038947</v>
      </c>
      <c r="D19" s="95" t="n">
        <f aca="false">'Table 4-4'!D19/'Table 4-4'!$D$22</f>
        <v>0.00503308595478313</v>
      </c>
      <c r="E19" s="96" t="n">
        <f aca="false">'Table 4-4'!E19/'Table 4-4'!$E$22</f>
        <v>0.00222168881798294</v>
      </c>
    </row>
    <row r="20" customFormat="false" ht="27" hidden="false" customHeight="true" outlineLevel="0" collapsed="false">
      <c r="A20" s="94" t="s">
        <v>105</v>
      </c>
      <c r="B20" s="95" t="n">
        <f aca="false">'Table 4-4'!B20/'Table 4-4'!$B$22</f>
        <v>0.00304804956142669</v>
      </c>
      <c r="C20" s="95" t="n">
        <f aca="false">'Table 4-4'!C20/'Table 4-4'!$C$22</f>
        <v>0.00333414056415595</v>
      </c>
      <c r="D20" s="95" t="n">
        <f aca="false">'Table 4-4'!D20/'Table 4-4'!$D$22</f>
        <v>0.00186975556431643</v>
      </c>
      <c r="E20" s="96" t="n">
        <f aca="false">'Table 4-4'!E20/'Table 4-4'!$E$22</f>
        <v>0.000919776387540677</v>
      </c>
    </row>
    <row r="21" customFormat="false" ht="27" hidden="false" customHeight="true" outlineLevel="0" collapsed="false">
      <c r="A21" s="94" t="s">
        <v>106</v>
      </c>
      <c r="B21" s="95" t="n">
        <f aca="false">'Table 4-4'!B21/'Table 4-4'!$B$22</f>
        <v>0.000296619965458991</v>
      </c>
      <c r="C21" s="95" t="n">
        <f aca="false">'Table 4-4'!C21/'Table 4-4'!$C$22</f>
        <v>0.000236495544656094</v>
      </c>
      <c r="D21" s="95" t="n">
        <f aca="false">'Table 4-4'!D21/'Table 4-4'!$D$22</f>
        <v>0.000257190285903015</v>
      </c>
      <c r="E21" s="96" t="n">
        <f aca="false">'Table 4-4'!E21/'Table 4-4'!$E$22</f>
        <v>0.000263792872276098</v>
      </c>
    </row>
    <row r="22" customFormat="false" ht="27" hidden="false" customHeight="true" outlineLevel="0" collapsed="false">
      <c r="A22" s="108" t="s">
        <v>45</v>
      </c>
      <c r="B22" s="109" t="n">
        <f aca="false">'Table 4-4'!B22/'Table 4-4'!$B$22</f>
        <v>1</v>
      </c>
      <c r="C22" s="109" t="n">
        <f aca="false">'Table 4-4'!C22/'Table 4-4'!$C$22</f>
        <v>1</v>
      </c>
      <c r="D22" s="109" t="n">
        <f aca="false">'Table 4-4'!D22/'Table 4-4'!$D$22</f>
        <v>1</v>
      </c>
      <c r="E22" s="110" t="n">
        <f aca="false">'Table 4-4'!E22/'Table 4-4'!$E$22</f>
        <v>1</v>
      </c>
    </row>
    <row r="23" customFormat="false" ht="27" hidden="false" customHeight="true" outlineLevel="0" collapsed="false">
      <c r="A23" s="55" t="s">
        <v>121</v>
      </c>
    </row>
    <row r="24" customFormat="false" ht="27" hidden="false" customHeight="true" outlineLevel="0" collapsed="false">
      <c r="A24" s="55" t="s">
        <v>122</v>
      </c>
    </row>
  </sheetData>
  <mergeCells count="3">
    <mergeCell ref="A1:E1"/>
    <mergeCell ref="A2:E2"/>
    <mergeCell ref="D4:E4"/>
  </mergeCells>
  <printOptions headings="false" gridLines="false" gridLinesSet="true" horizontalCentered="false" verticalCentered="false"/>
  <pageMargins left="0.959722222222222" right="0.490277777777778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1"/>
    </sheetView>
  </sheetViews>
  <sheetFormatPr defaultColWidth="9.1015625" defaultRowHeight="27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2" min="2" style="88" width="15.66"/>
    <col collapsed="false" customWidth="true" hidden="false" outlineLevel="0" max="3" min="3" style="111" width="10.43"/>
    <col collapsed="false" customWidth="true" hidden="false" outlineLevel="0" max="4" min="4" style="88" width="18.43"/>
    <col collapsed="false" customWidth="true" hidden="false" outlineLevel="0" max="5" min="5" style="111" width="10.87"/>
    <col collapsed="false" customWidth="true" hidden="false" outlineLevel="0" max="6" min="6" style="58" width="17.99"/>
    <col collapsed="false" customWidth="true" hidden="false" outlineLevel="0" max="7" min="7" style="2" width="10.32"/>
    <col collapsed="false" customWidth="false" hidden="false" outlineLevel="0" max="257" min="8" style="2" width="9.1"/>
  </cols>
  <sheetData>
    <row r="1" customFormat="false" ht="27" hidden="false" customHeight="true" outlineLevel="0" collapsed="false">
      <c r="A1" s="89" t="s">
        <v>123</v>
      </c>
      <c r="B1" s="89"/>
      <c r="C1" s="89"/>
      <c r="D1" s="89"/>
      <c r="E1" s="89"/>
      <c r="F1" s="89"/>
      <c r="G1" s="89"/>
    </row>
    <row r="2" customFormat="false" ht="27" hidden="false" customHeight="true" outlineLevel="0" collapsed="false">
      <c r="A2" s="90" t="s">
        <v>17</v>
      </c>
      <c r="B2" s="90"/>
      <c r="C2" s="90"/>
      <c r="D2" s="90"/>
      <c r="E2" s="90"/>
      <c r="F2" s="90"/>
      <c r="G2" s="90"/>
    </row>
    <row r="4" customFormat="false" ht="27" hidden="false" customHeight="true" outlineLevel="0" collapsed="false">
      <c r="A4" s="112" t="s">
        <v>109</v>
      </c>
      <c r="B4" s="113" t="s">
        <v>124</v>
      </c>
      <c r="C4" s="114" t="s">
        <v>125</v>
      </c>
      <c r="D4" s="113" t="s">
        <v>126</v>
      </c>
      <c r="E4" s="114" t="s">
        <v>125</v>
      </c>
      <c r="F4" s="115" t="s">
        <v>127</v>
      </c>
      <c r="G4" s="116" t="s">
        <v>125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40.2" hidden="false" customHeight="true" outlineLevel="0" collapsed="false">
      <c r="A5" s="91" t="s">
        <v>92</v>
      </c>
      <c r="B5" s="117" t="n">
        <v>275669849</v>
      </c>
      <c r="C5" s="92" t="n">
        <f aca="false">B5/$B$21</f>
        <v>0.622296182611629</v>
      </c>
      <c r="D5" s="117" t="n">
        <v>370664731</v>
      </c>
      <c r="E5" s="92" t="n">
        <f aca="false">D5/$D$21</f>
        <v>0.614198737798432</v>
      </c>
      <c r="F5" s="118" t="n">
        <v>333445688</v>
      </c>
      <c r="G5" s="93" t="n">
        <f aca="false">F5/$F$21</f>
        <v>0.642020300526609</v>
      </c>
    </row>
    <row r="6" customFormat="false" ht="27" hidden="false" customHeight="true" outlineLevel="0" collapsed="false">
      <c r="A6" s="94" t="s">
        <v>93</v>
      </c>
      <c r="B6" s="119" t="n">
        <v>77887824</v>
      </c>
      <c r="C6" s="95" t="n">
        <f aca="false">B6/$B$21</f>
        <v>0.175823709857825</v>
      </c>
      <c r="D6" s="119" t="n">
        <v>140146759</v>
      </c>
      <c r="E6" s="95" t="n">
        <f aca="false">D6/$D$21</f>
        <v>0.232225931644792</v>
      </c>
      <c r="F6" s="120" t="n">
        <f aca="false">83739502-2201235</f>
        <v>81538267</v>
      </c>
      <c r="G6" s="96" t="n">
        <f aca="false">F6/$F$21</f>
        <v>0.156994750772602</v>
      </c>
    </row>
    <row r="7" customFormat="false" ht="27" hidden="false" customHeight="true" outlineLevel="0" collapsed="false">
      <c r="A7" s="94" t="s">
        <v>94</v>
      </c>
      <c r="B7" s="119" t="n">
        <v>62060940</v>
      </c>
      <c r="C7" s="95" t="n">
        <f aca="false">B7/$B$21</f>
        <v>0.140096155569372</v>
      </c>
      <c r="D7" s="119" t="n">
        <v>65921762</v>
      </c>
      <c r="E7" s="95" t="n">
        <f aca="false">D7/$D$21</f>
        <v>0.109233654101956</v>
      </c>
      <c r="F7" s="120" t="n">
        <v>51452025</v>
      </c>
      <c r="G7" s="96" t="n">
        <f aca="false">F7/$F$21</f>
        <v>0.0990663419621208</v>
      </c>
    </row>
    <row r="8" customFormat="false" ht="27" hidden="false" customHeight="true" outlineLevel="0" collapsed="false">
      <c r="A8" s="94" t="s">
        <v>95</v>
      </c>
      <c r="B8" s="119" t="n">
        <v>4362155</v>
      </c>
      <c r="C8" s="95" t="n">
        <f aca="false">B8/$B$21</f>
        <v>0.00984711390929166</v>
      </c>
      <c r="D8" s="119" t="n">
        <v>1992724</v>
      </c>
      <c r="E8" s="95" t="n">
        <f aca="false">D8/$D$21</f>
        <v>0.00330198279798205</v>
      </c>
      <c r="F8" s="120" t="n">
        <v>29473576</v>
      </c>
      <c r="G8" s="96" t="n">
        <f aca="false">F8/$F$21</f>
        <v>0.0567487743944491</v>
      </c>
    </row>
    <row r="9" customFormat="false" ht="27" hidden="false" customHeight="true" outlineLevel="0" collapsed="false">
      <c r="A9" s="97" t="s">
        <v>116</v>
      </c>
      <c r="B9" s="121"/>
      <c r="C9" s="98"/>
      <c r="D9" s="121"/>
      <c r="E9" s="98"/>
      <c r="F9" s="122"/>
      <c r="G9" s="99"/>
    </row>
    <row r="10" customFormat="false" ht="27" hidden="false" customHeight="true" outlineLevel="0" collapsed="false">
      <c r="A10" s="100" t="s">
        <v>97</v>
      </c>
      <c r="B10" s="123" t="n">
        <v>84684</v>
      </c>
      <c r="C10" s="101" t="n">
        <f aca="false">B10/$B$21</f>
        <v>0.000191165374521184</v>
      </c>
      <c r="D10" s="123" t="n">
        <v>49019</v>
      </c>
      <c r="E10" s="101" t="n">
        <f aca="false">D10/$D$21</f>
        <v>8.12254455580813E-005</v>
      </c>
      <c r="F10" s="124" t="n">
        <v>49019</v>
      </c>
      <c r="G10" s="102" t="n">
        <f aca="false">F10/$F$21</f>
        <v>9.43817666387513E-005</v>
      </c>
    </row>
    <row r="11" customFormat="false" ht="27" hidden="false" customHeight="true" outlineLevel="0" collapsed="false">
      <c r="A11" s="100" t="s">
        <v>98</v>
      </c>
      <c r="B11" s="123" t="n">
        <v>122327</v>
      </c>
      <c r="C11" s="101" t="n">
        <f aca="false">B11/$B$21</f>
        <v>0.000276140555111389</v>
      </c>
      <c r="D11" s="123" t="n">
        <v>299809</v>
      </c>
      <c r="E11" s="101" t="n">
        <f aca="false">D11/$D$21</f>
        <v>0.000496789400177947</v>
      </c>
      <c r="F11" s="124" t="n">
        <v>291171</v>
      </c>
      <c r="G11" s="102" t="n">
        <f aca="false">F11/$F$21</f>
        <v>0.000560624112568022</v>
      </c>
    </row>
    <row r="12" customFormat="false" ht="27" hidden="false" customHeight="true" outlineLevel="0" collapsed="false">
      <c r="A12" s="103" t="s">
        <v>99</v>
      </c>
      <c r="B12" s="117" t="n">
        <v>4151479</v>
      </c>
      <c r="C12" s="92" t="n">
        <f aca="false">B12/$B$21</f>
        <v>0.00937153462108344</v>
      </c>
      <c r="D12" s="117" t="n">
        <v>2064396</v>
      </c>
      <c r="E12" s="92" t="n">
        <f aca="false">D12/$D$21</f>
        <v>0.00342074470936414</v>
      </c>
      <c r="F12" s="118" t="n">
        <v>1911129</v>
      </c>
      <c r="G12" s="93" t="n">
        <f aca="false">F12/$F$21</f>
        <v>0.0036797105468196</v>
      </c>
    </row>
    <row r="13" customFormat="false" ht="27" hidden="false" customHeight="true" outlineLevel="0" collapsed="false">
      <c r="A13" s="97" t="s">
        <v>117</v>
      </c>
      <c r="B13" s="121"/>
      <c r="C13" s="98"/>
      <c r="D13" s="121"/>
      <c r="E13" s="98"/>
      <c r="F13" s="122"/>
      <c r="G13" s="99"/>
    </row>
    <row r="14" customFormat="false" ht="27" hidden="false" customHeight="true" outlineLevel="0" collapsed="false">
      <c r="A14" s="100" t="s">
        <v>97</v>
      </c>
      <c r="B14" s="123" t="n">
        <v>2237754</v>
      </c>
      <c r="C14" s="101" t="n">
        <f aca="false">B14/$B$21</f>
        <v>0.00505149829361246</v>
      </c>
      <c r="D14" s="123" t="n">
        <v>3050258</v>
      </c>
      <c r="E14" s="101" t="n">
        <f aca="false">D14/$D$21</f>
        <v>0.00505433740217267</v>
      </c>
      <c r="F14" s="124" t="n">
        <v>3050258</v>
      </c>
      <c r="G14" s="102" t="n">
        <f aca="false">F14/$F$21</f>
        <v>0.00587300309561566</v>
      </c>
    </row>
    <row r="15" customFormat="false" ht="27" hidden="false" customHeight="true" outlineLevel="0" collapsed="false">
      <c r="A15" s="100" t="s">
        <v>98</v>
      </c>
      <c r="B15" s="123" t="n">
        <v>4192296</v>
      </c>
      <c r="C15" s="101" t="n">
        <f aca="false">B15/$B$21</f>
        <v>0.00946367477851378</v>
      </c>
      <c r="D15" s="123" t="n">
        <v>3095958</v>
      </c>
      <c r="E15" s="101" t="n">
        <f aca="false">D15/$D$21</f>
        <v>0.00513006319955744</v>
      </c>
      <c r="F15" s="124" t="n">
        <v>3080028</v>
      </c>
      <c r="G15" s="102" t="n">
        <f aca="false">F15/$F$21</f>
        <v>0.00593032260831147</v>
      </c>
    </row>
    <row r="16" customFormat="false" ht="27" hidden="false" customHeight="true" outlineLevel="0" collapsed="false">
      <c r="A16" s="103" t="s">
        <v>99</v>
      </c>
      <c r="B16" s="117" t="n">
        <v>5102602</v>
      </c>
      <c r="C16" s="92" t="n">
        <f aca="false">B16/$B$21</f>
        <v>0.0115185964569758</v>
      </c>
      <c r="D16" s="117" t="n">
        <v>4580730</v>
      </c>
      <c r="E16" s="92" t="n">
        <f aca="false">D16/$D$21</f>
        <v>0.00759035955917644</v>
      </c>
      <c r="F16" s="118" t="n">
        <v>4480851</v>
      </c>
      <c r="G16" s="93" t="n">
        <f aca="false">F16/$F$21</f>
        <v>0.00862748390267071</v>
      </c>
    </row>
    <row r="17" customFormat="false" ht="27" hidden="false" customHeight="true" outlineLevel="0" collapsed="false">
      <c r="A17" s="94" t="s">
        <v>103</v>
      </c>
      <c r="B17" s="119" t="n">
        <v>1597881</v>
      </c>
      <c r="C17" s="95" t="n">
        <f aca="false">B17/$B$21</f>
        <v>0.00360705115258235</v>
      </c>
      <c r="D17" s="119" t="n">
        <v>2025843</v>
      </c>
      <c r="E17" s="95" t="n">
        <f aca="false">D17/$D$21</f>
        <v>0.00335686163132092</v>
      </c>
      <c r="F17" s="120" t="n">
        <v>2016563</v>
      </c>
      <c r="G17" s="96" t="n">
        <f aca="false">F17/$F$21</f>
        <v>0.00388271442661703</v>
      </c>
    </row>
    <row r="18" customFormat="false" ht="27" hidden="false" customHeight="true" outlineLevel="0" collapsed="false">
      <c r="A18" s="94" t="s">
        <v>104</v>
      </c>
      <c r="B18" s="119" t="n">
        <v>3739125</v>
      </c>
      <c r="C18" s="95" t="n">
        <f aca="false">B18/$B$21</f>
        <v>0.00844068809936377</v>
      </c>
      <c r="D18" s="119" t="n">
        <v>6254547</v>
      </c>
      <c r="E18" s="95" t="n">
        <f aca="false">D18/$D$21</f>
        <v>0.010363907195964</v>
      </c>
      <c r="F18" s="120" t="n">
        <v>6254547</v>
      </c>
      <c r="G18" s="96" t="n">
        <f aca="false">F18/$F$21</f>
        <v>0.0120425793138396</v>
      </c>
    </row>
    <row r="19" customFormat="false" ht="27" hidden="false" customHeight="true" outlineLevel="0" collapsed="false">
      <c r="A19" s="94" t="s">
        <v>105</v>
      </c>
      <c r="B19" s="119" t="n">
        <v>1676440</v>
      </c>
      <c r="C19" s="95" t="n">
        <f aca="false">B19/$B$21</f>
        <v>0.00378438997286729</v>
      </c>
      <c r="D19" s="119" t="n">
        <v>3220985</v>
      </c>
      <c r="E19" s="95" t="n">
        <f aca="false">D19/$D$21</f>
        <v>0.00533723539364117</v>
      </c>
      <c r="F19" s="120" t="n">
        <v>2201235</v>
      </c>
      <c r="G19" s="96" t="n">
        <f aca="false">F19/$F$21</f>
        <v>0.00423828409569864</v>
      </c>
    </row>
    <row r="20" customFormat="false" ht="27" hidden="false" customHeight="true" outlineLevel="0" collapsed="false">
      <c r="A20" s="94" t="s">
        <v>106</v>
      </c>
      <c r="B20" s="119" t="n">
        <v>102817</v>
      </c>
      <c r="C20" s="95" t="n">
        <f aca="false">B20/$B$21</f>
        <v>0.000232098747250302</v>
      </c>
      <c r="D20" s="119" t="n">
        <v>125629</v>
      </c>
      <c r="E20" s="95" t="n">
        <f aca="false">D20/$D$21</f>
        <v>0.000208169719904857</v>
      </c>
      <c r="F20" s="120" t="n">
        <v>125027</v>
      </c>
      <c r="G20" s="96" t="n">
        <f aca="false">F20/$F$21</f>
        <v>0.000240728475438976</v>
      </c>
    </row>
    <row r="21" customFormat="false" ht="27" hidden="false" customHeight="true" outlineLevel="0" collapsed="false">
      <c r="A21" s="108" t="s">
        <v>45</v>
      </c>
      <c r="B21" s="125" t="n">
        <v>442988173</v>
      </c>
      <c r="C21" s="109" t="n">
        <f aca="false">B21/$B$21</f>
        <v>1</v>
      </c>
      <c r="D21" s="125" t="n">
        <v>603493150</v>
      </c>
      <c r="E21" s="109" t="n">
        <f aca="false">D21/$D$21</f>
        <v>1</v>
      </c>
      <c r="F21" s="126" t="n">
        <f aca="false">SUM(F5:F20)</f>
        <v>519369384</v>
      </c>
      <c r="G21" s="110" t="n">
        <f aca="false">F21/$F$21</f>
        <v>1</v>
      </c>
    </row>
    <row r="22" customFormat="false" ht="27" hidden="false" customHeight="true" outlineLevel="0" collapsed="false">
      <c r="A22" s="2" t="s">
        <v>128</v>
      </c>
    </row>
    <row r="23" customFormat="false" ht="27" hidden="false" customHeight="true" outlineLevel="0" collapsed="false">
      <c r="A23" s="2" t="s">
        <v>129</v>
      </c>
    </row>
    <row r="24" customFormat="false" ht="27" hidden="false" customHeight="true" outlineLevel="0" collapsed="false">
      <c r="A24" s="2" t="s">
        <v>130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820138888888889" right="0.490277777777778" top="0.77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false" showOutlineSymbols="true" defaultGridColor="true" view="normal" topLeftCell="C10" colorId="64" zoomScale="100" zoomScaleNormal="100" zoomScalePageLayoutView="100" workbookViewId="0">
      <selection pane="topLeft" activeCell="F17" activeCellId="0" sqref="F17"/>
    </sheetView>
  </sheetViews>
  <sheetFormatPr defaultColWidth="9.1015625" defaultRowHeight="27.6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2" min="2" style="88" width="20.1"/>
    <col collapsed="false" customWidth="true" hidden="false" outlineLevel="0" max="3" min="3" style="88" width="11.66"/>
    <col collapsed="false" customWidth="true" hidden="false" outlineLevel="0" max="4" min="4" style="88" width="19.55"/>
    <col collapsed="false" customWidth="false" hidden="false" outlineLevel="0" max="5" min="5" style="111" width="9.1"/>
    <col collapsed="false" customWidth="false" hidden="false" outlineLevel="0" max="257" min="6" style="2" width="9.1"/>
  </cols>
  <sheetData>
    <row r="1" customFormat="false" ht="27.6" hidden="false" customHeight="true" outlineLevel="0" collapsed="false">
      <c r="A1" s="127" t="s">
        <v>131</v>
      </c>
      <c r="B1" s="127"/>
      <c r="C1" s="127"/>
      <c r="D1" s="127"/>
      <c r="E1" s="127"/>
    </row>
    <row r="2" customFormat="false" ht="27.6" hidden="false" customHeight="true" outlineLevel="0" collapsed="false">
      <c r="A2" s="128" t="s">
        <v>19</v>
      </c>
      <c r="B2" s="128"/>
      <c r="C2" s="128"/>
      <c r="D2" s="128"/>
      <c r="E2" s="128"/>
    </row>
    <row r="4" customFormat="false" ht="27.6" hidden="false" customHeight="true" outlineLevel="0" collapsed="false">
      <c r="A4" s="112" t="s">
        <v>109</v>
      </c>
      <c r="B4" s="113" t="s">
        <v>132</v>
      </c>
      <c r="C4" s="116" t="s">
        <v>125</v>
      </c>
      <c r="D4" s="113" t="s">
        <v>133</v>
      </c>
      <c r="E4" s="129" t="s">
        <v>125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40.2" hidden="false" customHeight="true" outlineLevel="0" collapsed="false">
      <c r="A5" s="94" t="s">
        <v>92</v>
      </c>
      <c r="B5" s="119" t="n">
        <v>24852844.5</v>
      </c>
      <c r="C5" s="95" t="n">
        <f aca="false">B5/$B$21</f>
        <v>0.262418507195534</v>
      </c>
      <c r="D5" s="119" t="n">
        <v>12044998</v>
      </c>
      <c r="E5" s="96" t="n">
        <f aca="false">D5/$D$21</f>
        <v>0.293239876345021</v>
      </c>
    </row>
    <row r="6" customFormat="false" ht="27.6" hidden="false" customHeight="true" outlineLevel="0" collapsed="false">
      <c r="A6" s="94" t="s">
        <v>93</v>
      </c>
      <c r="B6" s="119" t="n">
        <v>46448331</v>
      </c>
      <c r="C6" s="95" t="n">
        <f aca="false">B6/$B$21</f>
        <v>0.490442922247554</v>
      </c>
      <c r="D6" s="119" t="n">
        <f aca="false">11639389-305961</f>
        <v>11333428</v>
      </c>
      <c r="E6" s="96" t="n">
        <f aca="false">D6/$D$21</f>
        <v>0.275916444758662</v>
      </c>
    </row>
    <row r="7" customFormat="false" ht="27.6" hidden="false" customHeight="true" outlineLevel="0" collapsed="false">
      <c r="A7" s="94" t="s">
        <v>94</v>
      </c>
      <c r="B7" s="119" t="n">
        <v>18673780</v>
      </c>
      <c r="C7" s="95" t="n">
        <f aca="false">B7/$B$21</f>
        <v>0.197174430930746</v>
      </c>
      <c r="D7" s="119" t="n">
        <v>9815266</v>
      </c>
      <c r="E7" s="96" t="n">
        <f aca="false">D7/$D$21</f>
        <v>0.23895623628443</v>
      </c>
    </row>
    <row r="8" customFormat="false" ht="27.6" hidden="false" customHeight="true" outlineLevel="0" collapsed="false">
      <c r="A8" s="94" t="s">
        <v>95</v>
      </c>
      <c r="B8" s="119" t="n">
        <v>513096</v>
      </c>
      <c r="C8" s="95" t="n">
        <f aca="false">B8/$B$21</f>
        <v>0.00541772537819563</v>
      </c>
      <c r="D8" s="119" t="n">
        <v>4687207</v>
      </c>
      <c r="E8" s="96" t="n">
        <f aca="false">D8/$D$21</f>
        <v>0.114111766650647</v>
      </c>
    </row>
    <row r="9" customFormat="false" ht="24" hidden="false" customHeight="true" outlineLevel="0" collapsed="false">
      <c r="A9" s="97" t="s">
        <v>116</v>
      </c>
      <c r="B9" s="121"/>
      <c r="C9" s="98"/>
      <c r="D9" s="130"/>
      <c r="E9" s="99"/>
    </row>
    <row r="10" customFormat="false" ht="24" hidden="false" customHeight="true" outlineLevel="0" collapsed="false">
      <c r="A10" s="100" t="s">
        <v>97</v>
      </c>
      <c r="B10" s="123" t="n">
        <v>9460</v>
      </c>
      <c r="C10" s="101" t="n">
        <f aca="false">B10/$B$21</f>
        <v>9.988712069034E-005</v>
      </c>
      <c r="D10" s="131" t="n">
        <v>9460</v>
      </c>
      <c r="E10" s="102" t="n">
        <f aca="false">D10/$D$21</f>
        <v>0.000230307155735841</v>
      </c>
    </row>
    <row r="11" customFormat="false" ht="24" hidden="false" customHeight="true" outlineLevel="0" collapsed="false">
      <c r="A11" s="100" t="s">
        <v>98</v>
      </c>
      <c r="B11" s="123" t="n">
        <v>136880</v>
      </c>
      <c r="C11" s="101" t="n">
        <f aca="false">B11/$B$21</f>
        <v>0.00144530117125727</v>
      </c>
      <c r="D11" s="131" t="n">
        <v>128242</v>
      </c>
      <c r="E11" s="102" t="n">
        <f aca="false">D11/$D$21</f>
        <v>0.00312209833677333</v>
      </c>
    </row>
    <row r="12" customFormat="false" ht="24" hidden="false" customHeight="true" outlineLevel="0" collapsed="false">
      <c r="A12" s="103" t="s">
        <v>99</v>
      </c>
      <c r="B12" s="117" t="n">
        <v>579856</v>
      </c>
      <c r="C12" s="92" t="n">
        <f aca="false">B12/$B$21</f>
        <v>0.00612263702484332</v>
      </c>
      <c r="D12" s="132" t="n">
        <v>443696</v>
      </c>
      <c r="E12" s="93" t="n">
        <f aca="false">D12/$D$21</f>
        <v>0.0108019412020475</v>
      </c>
    </row>
    <row r="13" customFormat="false" ht="24" hidden="false" customHeight="true" outlineLevel="0" collapsed="false">
      <c r="A13" s="97" t="s">
        <v>117</v>
      </c>
      <c r="B13" s="121"/>
      <c r="C13" s="98"/>
      <c r="D13" s="130"/>
      <c r="E13" s="99"/>
    </row>
    <row r="14" customFormat="false" ht="24" hidden="false" customHeight="true" outlineLevel="0" collapsed="false">
      <c r="A14" s="100" t="s">
        <v>97</v>
      </c>
      <c r="B14" s="123" t="n">
        <v>588677</v>
      </c>
      <c r="C14" s="101" t="n">
        <f aca="false">B14/$B$21</f>
        <v>0.00621577701338555</v>
      </c>
      <c r="D14" s="131" t="n">
        <v>588677</v>
      </c>
      <c r="E14" s="102" t="n">
        <f aca="false">D14/$D$21</f>
        <v>0.0143315566085738</v>
      </c>
    </row>
    <row r="15" customFormat="false" ht="24" hidden="false" customHeight="true" outlineLevel="0" collapsed="false">
      <c r="A15" s="100" t="s">
        <v>98</v>
      </c>
      <c r="B15" s="123" t="n">
        <v>217662</v>
      </c>
      <c r="C15" s="101" t="n">
        <f aca="false">B15/$B$21</f>
        <v>0.00229826960504237</v>
      </c>
      <c r="D15" s="131" t="n">
        <v>201732</v>
      </c>
      <c r="E15" s="102" t="n">
        <f aca="false">D15/$D$21</f>
        <v>0.00491123923265356</v>
      </c>
    </row>
    <row r="16" customFormat="false" ht="24" hidden="false" customHeight="true" outlineLevel="0" collapsed="false">
      <c r="A16" s="103" t="s">
        <v>99</v>
      </c>
      <c r="B16" s="117" t="n">
        <v>419423</v>
      </c>
      <c r="C16" s="92" t="n">
        <f aca="false">B16/$B$21</f>
        <v>0.00442864226440851</v>
      </c>
      <c r="D16" s="132" t="n">
        <v>325700</v>
      </c>
      <c r="E16" s="93" t="n">
        <f aca="false">D16/$D$21</f>
        <v>0.00792928547813567</v>
      </c>
    </row>
    <row r="17" customFormat="false" ht="27.6" hidden="false" customHeight="true" outlineLevel="0" collapsed="false">
      <c r="A17" s="94" t="s">
        <v>103</v>
      </c>
      <c r="B17" s="119" t="n">
        <v>370832</v>
      </c>
      <c r="C17" s="95" t="n">
        <f aca="false">B17/$B$21</f>
        <v>0.00391557513106133</v>
      </c>
      <c r="D17" s="119" t="n">
        <v>363538</v>
      </c>
      <c r="E17" s="96" t="n">
        <f aca="false">D17/$D$21</f>
        <v>0.00885046541034844</v>
      </c>
    </row>
    <row r="18" customFormat="false" ht="27.6" hidden="false" customHeight="true" outlineLevel="0" collapsed="false">
      <c r="A18" s="94" t="s">
        <v>104</v>
      </c>
      <c r="B18" s="119" t="n">
        <v>807097</v>
      </c>
      <c r="C18" s="95" t="n">
        <f aca="false">B18/$B$21</f>
        <v>0.00852205025875384</v>
      </c>
      <c r="D18" s="119" t="n">
        <v>806793</v>
      </c>
      <c r="E18" s="96" t="n">
        <f aca="false">D18/$D$21</f>
        <v>0.0196416703062988</v>
      </c>
    </row>
    <row r="19" customFormat="false" ht="27.6" hidden="false" customHeight="true" outlineLevel="0" collapsed="false">
      <c r="A19" s="94" t="s">
        <v>105</v>
      </c>
      <c r="B19" s="119" t="n">
        <v>1067519</v>
      </c>
      <c r="C19" s="95" t="n">
        <f aca="false">B19/$B$21</f>
        <v>0.0112718180964303</v>
      </c>
      <c r="D19" s="119" t="n">
        <v>305961</v>
      </c>
      <c r="E19" s="96" t="n">
        <f aca="false">D19/$D$21</f>
        <v>0.00744873231248348</v>
      </c>
    </row>
    <row r="20" customFormat="false" ht="27.6" hidden="false" customHeight="true" outlineLevel="0" collapsed="false">
      <c r="A20" s="94" t="s">
        <v>106</v>
      </c>
      <c r="B20" s="119" t="n">
        <v>21447</v>
      </c>
      <c r="C20" s="95" t="n">
        <f aca="false">B20/$B$21</f>
        <v>0.000226456562097856</v>
      </c>
      <c r="D20" s="119" t="n">
        <v>20882</v>
      </c>
      <c r="E20" s="96" t="n">
        <f aca="false">D20/$D$21</f>
        <v>0.000508379918189835</v>
      </c>
    </row>
    <row r="21" customFormat="false" ht="27.6" hidden="false" customHeight="true" outlineLevel="0" collapsed="false">
      <c r="A21" s="108" t="s">
        <v>45</v>
      </c>
      <c r="B21" s="125" t="n">
        <f aca="false">SUM(B5:B20)</f>
        <v>94706904.5</v>
      </c>
      <c r="C21" s="109" t="n">
        <f aca="false">SUM(C5:C20)</f>
        <v>1</v>
      </c>
      <c r="D21" s="125" t="n">
        <f aca="false">SUM(D5:D20)</f>
        <v>41075580</v>
      </c>
      <c r="E21" s="110" t="n">
        <f aca="false">SUM(E5:E20)</f>
        <v>1</v>
      </c>
    </row>
    <row r="22" customFormat="false" ht="27.6" hidden="false" customHeight="true" outlineLevel="0" collapsed="false">
      <c r="A22" s="2" t="s">
        <v>134</v>
      </c>
    </row>
    <row r="23" customFormat="false" ht="27.6" hidden="false" customHeight="true" outlineLevel="0" collapsed="false">
      <c r="A23" s="2" t="s">
        <v>135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959722222222222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015625" defaultRowHeight="27.6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2" min="2" style="88" width="20.1"/>
    <col collapsed="false" customWidth="true" hidden="false" outlineLevel="0" max="3" min="3" style="88" width="11.66"/>
    <col collapsed="false" customWidth="true" hidden="false" outlineLevel="0" max="4" min="4" style="2" width="19.55"/>
    <col collapsed="false" customWidth="true" hidden="false" outlineLevel="0" max="5" min="5" style="2" width="10.87"/>
    <col collapsed="false" customWidth="false" hidden="false" outlineLevel="0" max="257" min="6" style="2" width="9.1"/>
  </cols>
  <sheetData>
    <row r="1" customFormat="false" ht="27.6" hidden="false" customHeight="true" outlineLevel="0" collapsed="false">
      <c r="A1" s="89" t="s">
        <v>136</v>
      </c>
      <c r="B1" s="89"/>
      <c r="C1" s="89"/>
      <c r="D1" s="89"/>
      <c r="E1" s="89"/>
    </row>
    <row r="2" customFormat="false" ht="27.6" hidden="false" customHeight="true" outlineLevel="0" collapsed="false">
      <c r="A2" s="90" t="s">
        <v>21</v>
      </c>
      <c r="B2" s="90"/>
      <c r="C2" s="90"/>
      <c r="D2" s="90"/>
      <c r="E2" s="90"/>
    </row>
    <row r="4" customFormat="false" ht="27.6" hidden="false" customHeight="true" outlineLevel="0" collapsed="false">
      <c r="A4" s="112" t="s">
        <v>109</v>
      </c>
      <c r="B4" s="113" t="s">
        <v>111</v>
      </c>
      <c r="C4" s="116" t="s">
        <v>125</v>
      </c>
      <c r="D4" s="133" t="s">
        <v>112</v>
      </c>
      <c r="E4" s="116" t="s">
        <v>125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40.2" hidden="false" customHeight="true" outlineLevel="0" collapsed="false">
      <c r="A5" s="94" t="s">
        <v>92</v>
      </c>
      <c r="B5" s="119" t="n">
        <v>345811885</v>
      </c>
      <c r="C5" s="95" t="n">
        <f aca="false">B5/$B$21</f>
        <v>0.679680112964692</v>
      </c>
      <c r="D5" s="119" t="n">
        <v>321440840</v>
      </c>
      <c r="E5" s="96" t="n">
        <f aca="false">D5/$D$21</f>
        <v>0.673153326529701</v>
      </c>
    </row>
    <row r="6" customFormat="false" ht="27.6" hidden="false" customHeight="true" outlineLevel="0" collapsed="false">
      <c r="A6" s="94" t="s">
        <v>93</v>
      </c>
      <c r="B6" s="119" t="n">
        <v>93698428</v>
      </c>
      <c r="C6" s="95" t="n">
        <f aca="false">B6/$B$21</f>
        <v>0.184160698027062</v>
      </c>
      <c r="D6" s="119" t="n">
        <f aca="false">72096056-1895167</f>
        <v>70200889</v>
      </c>
      <c r="E6" s="96" t="n">
        <f aca="false">D6/$D$21</f>
        <v>0.147012936986141</v>
      </c>
    </row>
    <row r="7" customFormat="false" ht="27.6" hidden="false" customHeight="true" outlineLevel="0" collapsed="false">
      <c r="A7" s="94" t="s">
        <v>94</v>
      </c>
      <c r="B7" s="119" t="n">
        <v>47247976</v>
      </c>
      <c r="C7" s="95" t="n">
        <f aca="false">B7/$B$21</f>
        <v>0.0928641005644819</v>
      </c>
      <c r="D7" s="119" t="n">
        <v>41636756</v>
      </c>
      <c r="E7" s="96" t="n">
        <f aca="false">D7/$D$21</f>
        <v>0.0871946477221298</v>
      </c>
    </row>
    <row r="8" customFormat="false" ht="27.6" hidden="false" customHeight="true" outlineLevel="0" collapsed="false">
      <c r="A8" s="94" t="s">
        <v>95</v>
      </c>
      <c r="B8" s="119" t="n">
        <v>1479628</v>
      </c>
      <c r="C8" s="95" t="n">
        <f aca="false">B8/$B$21</f>
        <v>0.00290815258181691</v>
      </c>
      <c r="D8" s="119" t="n">
        <v>24786307</v>
      </c>
      <c r="E8" s="96" t="n">
        <f aca="false">D8/$D$21</f>
        <v>0.051906861024369</v>
      </c>
    </row>
    <row r="9" customFormat="false" ht="24" hidden="false" customHeight="true" outlineLevel="0" collapsed="false">
      <c r="A9" s="97" t="s">
        <v>116</v>
      </c>
      <c r="B9" s="121"/>
      <c r="C9" s="98"/>
      <c r="D9" s="130"/>
      <c r="E9" s="99"/>
    </row>
    <row r="10" customFormat="false" ht="24" hidden="false" customHeight="true" outlineLevel="0" collapsed="false">
      <c r="A10" s="100" t="s">
        <v>97</v>
      </c>
      <c r="B10" s="123" t="n">
        <v>39558</v>
      </c>
      <c r="C10" s="101" t="n">
        <f aca="false">B10/$B$21</f>
        <v>7.77497450923564E-005</v>
      </c>
      <c r="D10" s="131" t="n">
        <v>39558</v>
      </c>
      <c r="E10" s="102" t="n">
        <f aca="false">D10/$D$21</f>
        <v>8.2841369164111E-005</v>
      </c>
    </row>
    <row r="11" customFormat="false" ht="24" hidden="false" customHeight="true" outlineLevel="0" collapsed="false">
      <c r="A11" s="100" t="s">
        <v>98</v>
      </c>
      <c r="B11" s="123" t="n">
        <v>162929</v>
      </c>
      <c r="C11" s="101" t="n">
        <f aca="false">B11/$B$21</f>
        <v>0.000320230755299877</v>
      </c>
      <c r="D11" s="131" t="n">
        <v>162929</v>
      </c>
      <c r="E11" s="102" t="n">
        <f aca="false">D11/$D$21</f>
        <v>0.000341201815980066</v>
      </c>
    </row>
    <row r="12" customFormat="false" ht="24" hidden="false" customHeight="true" outlineLevel="0" collapsed="false">
      <c r="A12" s="103" t="s">
        <v>99</v>
      </c>
      <c r="B12" s="117" t="n">
        <v>1484541</v>
      </c>
      <c r="C12" s="92" t="n">
        <f aca="false">B12/$B$21</f>
        <v>0.00291780889653551</v>
      </c>
      <c r="D12" s="132" t="n">
        <v>1467433</v>
      </c>
      <c r="E12" s="93" t="n">
        <f aca="false">D12/$D$21</f>
        <v>0.00307306129927193</v>
      </c>
    </row>
    <row r="13" customFormat="false" ht="24" hidden="false" customHeight="true" outlineLevel="0" collapsed="false">
      <c r="A13" s="97" t="s">
        <v>117</v>
      </c>
      <c r="B13" s="121"/>
      <c r="C13" s="98"/>
      <c r="D13" s="130"/>
      <c r="E13" s="99"/>
    </row>
    <row r="14" customFormat="false" ht="24" hidden="false" customHeight="true" outlineLevel="0" collapsed="false">
      <c r="A14" s="100" t="s">
        <v>97</v>
      </c>
      <c r="B14" s="123" t="n">
        <v>2461581</v>
      </c>
      <c r="C14" s="101" t="n">
        <f aca="false">B14/$B$21</f>
        <v>0.00483814387163628</v>
      </c>
      <c r="D14" s="131" t="n">
        <v>2461581</v>
      </c>
      <c r="E14" s="102" t="n">
        <f aca="false">D14/$D$21</f>
        <v>0.00515498104930384</v>
      </c>
    </row>
    <row r="15" customFormat="false" ht="24" hidden="false" customHeight="true" outlineLevel="0" collapsed="false">
      <c r="A15" s="100" t="s">
        <v>98</v>
      </c>
      <c r="B15" s="123" t="n">
        <v>2878296</v>
      </c>
      <c r="C15" s="101" t="n">
        <f aca="false">B15/$B$21</f>
        <v>0.0056571813615539</v>
      </c>
      <c r="D15" s="131" t="n">
        <v>2878296.5</v>
      </c>
      <c r="E15" s="102" t="n">
        <f aca="false">D15/$D$21</f>
        <v>0.00602765617372639</v>
      </c>
    </row>
    <row r="16" customFormat="false" ht="24" hidden="false" customHeight="true" outlineLevel="0" collapsed="false">
      <c r="A16" s="103" t="s">
        <v>99</v>
      </c>
      <c r="B16" s="117" t="n">
        <v>4161302</v>
      </c>
      <c r="C16" s="92" t="n">
        <f aca="false">B16/$B$21</f>
        <v>0.00817888087750424</v>
      </c>
      <c r="D16" s="132" t="n">
        <v>4155151</v>
      </c>
      <c r="E16" s="93" t="n">
        <f aca="false">D16/$D$21</f>
        <v>0.00870161276919017</v>
      </c>
    </row>
    <row r="17" customFormat="false" ht="27.6" hidden="false" customHeight="true" outlineLevel="0" collapsed="false">
      <c r="A17" s="94" t="s">
        <v>103</v>
      </c>
      <c r="B17" s="119" t="n">
        <v>1655012</v>
      </c>
      <c r="C17" s="92" t="n">
        <f aca="false">B17/$B$21</f>
        <v>0.00325286316610524</v>
      </c>
      <c r="D17" s="119" t="n">
        <v>838237</v>
      </c>
      <c r="E17" s="93" t="n">
        <f aca="false">D17/$D$21</f>
        <v>0.0017554148532286</v>
      </c>
    </row>
    <row r="18" customFormat="false" ht="27.6" hidden="false" customHeight="true" outlineLevel="0" collapsed="false">
      <c r="A18" s="94" t="s">
        <v>104</v>
      </c>
      <c r="B18" s="119" t="n">
        <v>5447450</v>
      </c>
      <c r="C18" s="92" t="n">
        <f aca="false">B18/$B$21</f>
        <v>0.0107067558750027</v>
      </c>
      <c r="D18" s="119" t="n">
        <v>5447754</v>
      </c>
      <c r="E18" s="93" t="n">
        <f aca="false">D18/$D$21</f>
        <v>0.0114085494774575</v>
      </c>
    </row>
    <row r="19" customFormat="false" ht="27.6" hidden="false" customHeight="true" outlineLevel="0" collapsed="false">
      <c r="A19" s="94" t="s">
        <v>105</v>
      </c>
      <c r="B19" s="119" t="n">
        <v>2153466</v>
      </c>
      <c r="C19" s="92" t="n">
        <f aca="false">B19/$B$21</f>
        <v>0.00423255555298692</v>
      </c>
      <c r="D19" s="119" t="n">
        <v>1895167</v>
      </c>
      <c r="E19" s="93" t="n">
        <f aca="false">D19/$D$21</f>
        <v>0.00396881108940393</v>
      </c>
    </row>
    <row r="20" customFormat="false" ht="27.6" hidden="false" customHeight="true" outlineLevel="0" collapsed="false">
      <c r="A20" s="94" t="s">
        <v>106</v>
      </c>
      <c r="B20" s="119" t="n">
        <v>104182</v>
      </c>
      <c r="C20" s="92" t="n">
        <f aca="false">B20/$B$21</f>
        <v>0.000204765760230848</v>
      </c>
      <c r="D20" s="119" t="n">
        <v>104145</v>
      </c>
      <c r="E20" s="93" t="n">
        <f aca="false">D20/$D$21</f>
        <v>0.000218097840932209</v>
      </c>
    </row>
    <row r="21" customFormat="false" ht="27.6" hidden="false" customHeight="true" outlineLevel="0" collapsed="false">
      <c r="A21" s="108" t="s">
        <v>45</v>
      </c>
      <c r="B21" s="125" t="n">
        <f aca="false">SUM(B5:B20)</f>
        <v>508786234</v>
      </c>
      <c r="C21" s="109" t="n">
        <f aca="false">SUM(C5:C20)</f>
        <v>1</v>
      </c>
      <c r="D21" s="125" t="n">
        <f aca="false">SUM(D5:D20)</f>
        <v>477515043.5</v>
      </c>
      <c r="E21" s="110" t="n">
        <f aca="false">SUM(E5:E20)</f>
        <v>1</v>
      </c>
    </row>
    <row r="22" customFormat="false" ht="27.6" hidden="false" customHeight="true" outlineLevel="0" collapsed="false">
      <c r="A22" s="2" t="s">
        <v>134</v>
      </c>
    </row>
    <row r="23" customFormat="false" ht="27.6" hidden="false" customHeight="true" outlineLevel="0" collapsed="false">
      <c r="A23" s="2" t="s">
        <v>137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1.05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1"/>
    </sheetView>
  </sheetViews>
  <sheetFormatPr defaultColWidth="9.1015625" defaultRowHeight="27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2" min="2" style="88" width="15.66"/>
    <col collapsed="false" customWidth="true" hidden="false" outlineLevel="0" max="3" min="3" style="111" width="10.87"/>
    <col collapsed="false" customWidth="true" hidden="false" outlineLevel="0" max="4" min="4" style="88" width="16.32"/>
    <col collapsed="false" customWidth="true" hidden="false" outlineLevel="0" max="5" min="5" style="88" width="10.99"/>
    <col collapsed="false" customWidth="true" hidden="false" outlineLevel="0" max="6" min="6" style="58" width="15.99"/>
    <col collapsed="false" customWidth="true" hidden="false" outlineLevel="0" max="7" min="7" style="134" width="9.33"/>
    <col collapsed="false" customWidth="false" hidden="false" outlineLevel="0" max="257" min="8" style="2" width="9.1"/>
  </cols>
  <sheetData>
    <row r="1" customFormat="false" ht="27" hidden="false" customHeight="true" outlineLevel="0" collapsed="false">
      <c r="A1" s="89" t="s">
        <v>138</v>
      </c>
      <c r="B1" s="89"/>
      <c r="C1" s="89"/>
      <c r="D1" s="89"/>
      <c r="E1" s="89"/>
      <c r="F1" s="89"/>
      <c r="G1" s="89"/>
    </row>
    <row r="2" customFormat="false" ht="27" hidden="false" customHeight="true" outlineLevel="0" collapsed="false">
      <c r="A2" s="90" t="s">
        <v>23</v>
      </c>
      <c r="B2" s="90"/>
      <c r="C2" s="90"/>
      <c r="D2" s="90"/>
      <c r="E2" s="90"/>
      <c r="F2" s="90"/>
      <c r="G2" s="90"/>
    </row>
    <row r="4" customFormat="false" ht="27" hidden="false" customHeight="true" outlineLevel="0" collapsed="false">
      <c r="A4" s="112" t="s">
        <v>109</v>
      </c>
      <c r="B4" s="113" t="s">
        <v>124</v>
      </c>
      <c r="C4" s="133" t="s">
        <v>125</v>
      </c>
      <c r="D4" s="113" t="s">
        <v>126</v>
      </c>
      <c r="E4" s="133" t="s">
        <v>125</v>
      </c>
      <c r="F4" s="115" t="s">
        <v>139</v>
      </c>
      <c r="G4" s="135" t="s">
        <v>125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40.2" hidden="false" customHeight="true" outlineLevel="0" collapsed="false">
      <c r="A5" s="91" t="s">
        <v>92</v>
      </c>
      <c r="B5" s="117" t="n">
        <v>441866472</v>
      </c>
      <c r="C5" s="92" t="n">
        <f aca="false">B5/$B$21</f>
        <v>0.460737581640665</v>
      </c>
      <c r="D5" s="132" t="n">
        <v>257364527</v>
      </c>
      <c r="E5" s="92" t="n">
        <f aca="false">D5/$D$21</f>
        <v>0.441289658206407</v>
      </c>
      <c r="F5" s="117" t="n">
        <v>562051285.5</v>
      </c>
      <c r="G5" s="136" t="n">
        <f aca="false">F5/$F$21</f>
        <v>0.434045342423491</v>
      </c>
    </row>
    <row r="6" customFormat="false" ht="27" hidden="false" customHeight="true" outlineLevel="0" collapsed="false">
      <c r="A6" s="94" t="s">
        <v>93</v>
      </c>
      <c r="B6" s="119" t="n">
        <v>135293541</v>
      </c>
      <c r="C6" s="95" t="n">
        <f aca="false">B6/$B$21</f>
        <v>0.141071619690444</v>
      </c>
      <c r="D6" s="137" t="n">
        <v>69142275</v>
      </c>
      <c r="E6" s="95" t="n">
        <f aca="false">D6/$D$21</f>
        <v>0.118554686840597</v>
      </c>
      <c r="F6" s="119" t="n">
        <f aca="false">171169576-1191031-0.5</f>
        <v>169978544.5</v>
      </c>
      <c r="G6" s="138" t="n">
        <f aca="false">F6/$F$21</f>
        <v>0.131266305149567</v>
      </c>
    </row>
    <row r="7" customFormat="false" ht="27" hidden="false" customHeight="true" outlineLevel="0" collapsed="false">
      <c r="A7" s="94" t="s">
        <v>94</v>
      </c>
      <c r="B7" s="119" t="n">
        <v>217622195</v>
      </c>
      <c r="C7" s="95" t="n">
        <f aca="false">B7/$B$21</f>
        <v>0.226916342807818</v>
      </c>
      <c r="D7" s="137" t="n">
        <v>144415851</v>
      </c>
      <c r="E7" s="95" t="n">
        <f aca="false">D7/$D$21</f>
        <v>0.247622398744087</v>
      </c>
      <c r="F7" s="119" t="n">
        <v>256186816</v>
      </c>
      <c r="G7" s="138" t="n">
        <f aca="false">F7/$F$21</f>
        <v>0.197840832578443</v>
      </c>
    </row>
    <row r="8" customFormat="false" ht="27" hidden="false" customHeight="true" outlineLevel="0" collapsed="false">
      <c r="A8" s="94" t="s">
        <v>95</v>
      </c>
      <c r="B8" s="119" t="n">
        <v>29282794</v>
      </c>
      <c r="C8" s="95" t="n">
        <f aca="false">B8/$B$21</f>
        <v>0.0305333953720792</v>
      </c>
      <c r="D8" s="137" t="n">
        <v>18112572</v>
      </c>
      <c r="E8" s="95" t="n">
        <f aca="false">D8/$D$21</f>
        <v>0.031056691457401</v>
      </c>
      <c r="F8" s="119" t="n">
        <v>121770540</v>
      </c>
      <c r="G8" s="138" t="n">
        <f aca="false">F8/$F$21</f>
        <v>0.094037567558225</v>
      </c>
    </row>
    <row r="9" customFormat="false" ht="27" hidden="false" customHeight="true" outlineLevel="0" collapsed="false">
      <c r="A9" s="97" t="s">
        <v>116</v>
      </c>
      <c r="B9" s="121"/>
      <c r="C9" s="98"/>
      <c r="D9" s="130"/>
      <c r="E9" s="98"/>
      <c r="F9" s="121"/>
      <c r="G9" s="139"/>
    </row>
    <row r="10" customFormat="false" ht="27" hidden="false" customHeight="true" outlineLevel="0" collapsed="false">
      <c r="A10" s="100" t="s">
        <v>97</v>
      </c>
      <c r="B10" s="123" t="n">
        <v>0</v>
      </c>
      <c r="C10" s="101" t="n">
        <f aca="false">B10/$B$21</f>
        <v>0</v>
      </c>
      <c r="D10" s="131" t="n">
        <v>0</v>
      </c>
      <c r="E10" s="101" t="n">
        <f aca="false">D10/$D$21</f>
        <v>0</v>
      </c>
      <c r="F10" s="123" t="n">
        <v>0</v>
      </c>
      <c r="G10" s="140" t="n">
        <f aca="false">F10/$F$21</f>
        <v>0</v>
      </c>
    </row>
    <row r="11" customFormat="false" ht="27" hidden="false" customHeight="true" outlineLevel="0" collapsed="false">
      <c r="A11" s="100" t="s">
        <v>98</v>
      </c>
      <c r="B11" s="123" t="n">
        <v>4063643</v>
      </c>
      <c r="C11" s="101" t="n">
        <f aca="false">B11/$B$21</f>
        <v>0.00423719192813302</v>
      </c>
      <c r="D11" s="131" t="n">
        <v>3220311</v>
      </c>
      <c r="E11" s="101" t="n">
        <f aca="false">D11/$D$21</f>
        <v>0.00552170090056091</v>
      </c>
      <c r="F11" s="123" t="n">
        <v>6906370</v>
      </c>
      <c r="G11" s="140" t="n">
        <f aca="false">F11/$F$21</f>
        <v>0.00533345943491011</v>
      </c>
    </row>
    <row r="12" customFormat="false" ht="27" hidden="false" customHeight="true" outlineLevel="0" collapsed="false">
      <c r="A12" s="103" t="s">
        <v>99</v>
      </c>
      <c r="B12" s="117" t="n">
        <v>44570132</v>
      </c>
      <c r="C12" s="92" t="n">
        <f aca="false">B12/$B$21</f>
        <v>0.0464736207255961</v>
      </c>
      <c r="D12" s="132" t="n">
        <v>26692599</v>
      </c>
      <c r="E12" s="92" t="n">
        <f aca="false">D12/$D$21</f>
        <v>0.0457684204838015</v>
      </c>
      <c r="F12" s="117" t="n">
        <v>50423617</v>
      </c>
      <c r="G12" s="136" t="n">
        <f aca="false">F12/$F$21</f>
        <v>0.0389397492215076</v>
      </c>
    </row>
    <row r="13" customFormat="false" ht="27" hidden="false" customHeight="true" outlineLevel="0" collapsed="false">
      <c r="A13" s="97" t="s">
        <v>117</v>
      </c>
      <c r="B13" s="121"/>
      <c r="C13" s="98"/>
      <c r="D13" s="130"/>
      <c r="E13" s="98"/>
      <c r="F13" s="121"/>
      <c r="G13" s="139"/>
    </row>
    <row r="14" customFormat="false" ht="27" hidden="false" customHeight="true" outlineLevel="0" collapsed="false">
      <c r="A14" s="100" t="s">
        <v>97</v>
      </c>
      <c r="B14" s="123" t="n">
        <v>0</v>
      </c>
      <c r="C14" s="101" t="n">
        <f aca="false">B14/$B$21</f>
        <v>0</v>
      </c>
      <c r="D14" s="131" t="n">
        <v>0</v>
      </c>
      <c r="E14" s="101" t="n">
        <f aca="false">D14/$D$21</f>
        <v>0</v>
      </c>
      <c r="F14" s="123" t="n">
        <v>0</v>
      </c>
      <c r="G14" s="140" t="n">
        <f aca="false">F14/$F$21</f>
        <v>0</v>
      </c>
    </row>
    <row r="15" customFormat="false" ht="27" hidden="false" customHeight="true" outlineLevel="0" collapsed="false">
      <c r="A15" s="100" t="s">
        <v>98</v>
      </c>
      <c r="B15" s="123" t="n">
        <v>38669246</v>
      </c>
      <c r="C15" s="101" t="n">
        <f aca="false">B15/$B$21</f>
        <v>0.0403207213375265</v>
      </c>
      <c r="D15" s="131" t="n">
        <v>40523016</v>
      </c>
      <c r="E15" s="101" t="n">
        <f aca="false">D15/$D$21</f>
        <v>0.069482721991958</v>
      </c>
      <c r="F15" s="123" t="n">
        <v>75053504.5</v>
      </c>
      <c r="G15" s="140" t="n">
        <f aca="false">F15/$F$21</f>
        <v>0.0579602340590778</v>
      </c>
    </row>
    <row r="16" customFormat="false" ht="27" hidden="false" customHeight="true" outlineLevel="0" collapsed="false">
      <c r="A16" s="103" t="s">
        <v>99</v>
      </c>
      <c r="B16" s="117" t="n">
        <v>42613309</v>
      </c>
      <c r="C16" s="92" t="n">
        <f aca="false">B16/$B$21</f>
        <v>0.044433226276481</v>
      </c>
      <c r="D16" s="132" t="n">
        <v>21224773</v>
      </c>
      <c r="E16" s="92" t="n">
        <f aca="false">D16/$D$21</f>
        <v>0.0363930217262559</v>
      </c>
      <c r="F16" s="117" t="n">
        <v>46773391.5</v>
      </c>
      <c r="G16" s="136" t="n">
        <f aca="false">F16/$F$21</f>
        <v>0.0361208545441989</v>
      </c>
    </row>
    <row r="17" customFormat="false" ht="27" hidden="false" customHeight="true" outlineLevel="0" collapsed="false">
      <c r="A17" s="94" t="s">
        <v>103</v>
      </c>
      <c r="B17" s="119" t="n">
        <v>831078</v>
      </c>
      <c r="C17" s="95" t="n">
        <f aca="false">B17/$B$21</f>
        <v>0.000866571446667174</v>
      </c>
      <c r="D17" s="137" t="n">
        <v>687102</v>
      </c>
      <c r="E17" s="95" t="n">
        <f aca="false">D17/$D$21</f>
        <v>0.00117813830160416</v>
      </c>
      <c r="F17" s="119" t="n">
        <v>1360173</v>
      </c>
      <c r="G17" s="138" t="n">
        <f aca="false">F17/$F$21</f>
        <v>0.00105039659328417</v>
      </c>
    </row>
    <row r="18" customFormat="false" ht="27" hidden="false" customHeight="true" outlineLevel="0" collapsed="false">
      <c r="A18" s="94" t="s">
        <v>104</v>
      </c>
      <c r="B18" s="119" t="n">
        <v>1319045</v>
      </c>
      <c r="C18" s="95" t="n">
        <f aca="false">B18/$B$21</f>
        <v>0.00137537840475756</v>
      </c>
      <c r="D18" s="137" t="n">
        <v>936270</v>
      </c>
      <c r="E18" s="95" t="n">
        <f aca="false">D18/$D$21</f>
        <v>0.00160537379842138</v>
      </c>
      <c r="F18" s="119" t="n">
        <v>2876896</v>
      </c>
      <c r="G18" s="138" t="n">
        <f aca="false">F18/$F$21</f>
        <v>0.00222168926866866</v>
      </c>
    </row>
    <row r="19" customFormat="false" ht="27" hidden="false" customHeight="true" outlineLevel="0" collapsed="false">
      <c r="A19" s="94" t="s">
        <v>105</v>
      </c>
      <c r="B19" s="119" t="n">
        <v>2597016</v>
      </c>
      <c r="C19" s="95" t="n">
        <f aca="false">B19/$B$21</f>
        <v>0.00270792863261667</v>
      </c>
      <c r="D19" s="137" t="n">
        <v>735650</v>
      </c>
      <c r="E19" s="95" t="n">
        <f aca="false">D19/$D$21</f>
        <v>0.00126138104906564</v>
      </c>
      <c r="F19" s="119" t="n">
        <v>1191031</v>
      </c>
      <c r="G19" s="138" t="n">
        <f aca="false">F19/$F$21</f>
        <v>0.000919776311466142</v>
      </c>
    </row>
    <row r="20" customFormat="false" ht="27" hidden="false" customHeight="true" outlineLevel="0" collapsed="false">
      <c r="A20" s="94" t="s">
        <v>106</v>
      </c>
      <c r="B20" s="119" t="n">
        <v>313053</v>
      </c>
      <c r="C20" s="95" t="n">
        <f aca="false">B20/$B$21</f>
        <v>0.000326422779923784</v>
      </c>
      <c r="D20" s="137" t="n">
        <v>155021</v>
      </c>
      <c r="E20" s="95" t="n">
        <f aca="false">D20/$D$21</f>
        <v>0.000265806499839877</v>
      </c>
      <c r="F20" s="119" t="n">
        <v>341589</v>
      </c>
      <c r="G20" s="138" t="n">
        <f aca="false">F20/$F$21</f>
        <v>0.000263792857161071</v>
      </c>
    </row>
    <row r="21" customFormat="false" ht="27" hidden="false" customHeight="true" outlineLevel="0" collapsed="false">
      <c r="A21" s="108" t="s">
        <v>45</v>
      </c>
      <c r="B21" s="125" t="n">
        <v>959041523</v>
      </c>
      <c r="C21" s="109" t="n">
        <f aca="false">B21/$B$21</f>
        <v>1</v>
      </c>
      <c r="D21" s="141" t="n">
        <v>583209967</v>
      </c>
      <c r="E21" s="109" t="n">
        <f aca="false">D21/$D$21</f>
        <v>1</v>
      </c>
      <c r="F21" s="125" t="n">
        <f aca="false">SUM(F5:F20)</f>
        <v>1294913758</v>
      </c>
      <c r="G21" s="142" t="n">
        <f aca="false">F21/$F$21</f>
        <v>1</v>
      </c>
    </row>
    <row r="22" customFormat="false" ht="27" hidden="false" customHeight="true" outlineLevel="0" collapsed="false">
      <c r="A22" s="2" t="s">
        <v>128</v>
      </c>
    </row>
    <row r="23" customFormat="false" ht="27" hidden="false" customHeight="true" outlineLevel="0" collapsed="false">
      <c r="A23" s="2" t="s">
        <v>129</v>
      </c>
    </row>
    <row r="24" customFormat="false" ht="27" hidden="false" customHeight="true" outlineLevel="0" collapsed="false">
      <c r="A24" s="2" t="s">
        <v>130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1.05" right="0.459722222222222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Roman,Regular"4-26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E3"/>
    </sheetView>
  </sheetViews>
  <sheetFormatPr defaultColWidth="9.1015625" defaultRowHeight="27" customHeight="true" zeroHeight="false" outlineLevelRow="0" outlineLevelCol="0"/>
  <cols>
    <col collapsed="false" customWidth="true" hidden="false" outlineLevel="0" max="1" min="1" style="2" width="17.55"/>
    <col collapsed="false" customWidth="true" hidden="false" outlineLevel="0" max="3" min="2" style="88" width="15.66"/>
    <col collapsed="false" customWidth="true" hidden="false" outlineLevel="0" max="4" min="4" style="88" width="16.32"/>
    <col collapsed="false" customWidth="true" hidden="false" outlineLevel="0" max="5" min="5" style="88" width="17.32"/>
    <col collapsed="false" customWidth="false" hidden="false" outlineLevel="0" max="257" min="6" style="2" width="9.1"/>
  </cols>
  <sheetData>
    <row r="1" customFormat="false" ht="27" hidden="false" customHeight="true" outlineLevel="0" collapsed="false">
      <c r="A1" s="89" t="s">
        <v>140</v>
      </c>
      <c r="B1" s="89"/>
      <c r="C1" s="89"/>
      <c r="D1" s="89"/>
      <c r="E1" s="89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143"/>
      <c r="FT1" s="143"/>
      <c r="FU1" s="143"/>
      <c r="FV1" s="143"/>
      <c r="FW1" s="143"/>
      <c r="FX1" s="143"/>
      <c r="FY1" s="143"/>
      <c r="FZ1" s="143"/>
      <c r="GA1" s="143"/>
      <c r="GB1" s="143"/>
      <c r="GC1" s="143"/>
      <c r="GD1" s="143"/>
      <c r="GE1" s="143"/>
      <c r="GF1" s="143"/>
      <c r="GG1" s="143"/>
      <c r="GH1" s="143"/>
      <c r="GI1" s="143"/>
      <c r="GJ1" s="143"/>
      <c r="GK1" s="143"/>
      <c r="GL1" s="143"/>
      <c r="GM1" s="143"/>
      <c r="GN1" s="143"/>
      <c r="GO1" s="143"/>
      <c r="GP1" s="143"/>
      <c r="GQ1" s="143"/>
      <c r="GR1" s="143"/>
      <c r="GS1" s="143"/>
      <c r="GT1" s="143"/>
      <c r="GU1" s="143"/>
      <c r="GV1" s="143"/>
      <c r="GW1" s="143"/>
      <c r="GX1" s="143"/>
      <c r="GY1" s="143"/>
      <c r="GZ1" s="143"/>
      <c r="HA1" s="143"/>
      <c r="HB1" s="143"/>
      <c r="HC1" s="143"/>
      <c r="HD1" s="143"/>
      <c r="HE1" s="143"/>
      <c r="HF1" s="143"/>
      <c r="HG1" s="143"/>
      <c r="HH1" s="143"/>
      <c r="HI1" s="143"/>
      <c r="HJ1" s="143"/>
      <c r="HK1" s="143"/>
      <c r="HL1" s="143"/>
      <c r="HM1" s="143"/>
      <c r="HN1" s="143"/>
      <c r="HO1" s="143"/>
      <c r="HP1" s="143"/>
      <c r="HQ1" s="143"/>
      <c r="HR1" s="143"/>
      <c r="HS1" s="143"/>
      <c r="HT1" s="143"/>
      <c r="HU1" s="143"/>
      <c r="HV1" s="143"/>
      <c r="HW1" s="143"/>
      <c r="HX1" s="143"/>
      <c r="HY1" s="143"/>
      <c r="HZ1" s="143"/>
      <c r="IA1" s="143"/>
      <c r="IB1" s="143"/>
      <c r="IC1" s="143"/>
      <c r="ID1" s="143"/>
      <c r="IE1" s="143"/>
      <c r="IF1" s="143"/>
      <c r="IG1" s="143"/>
      <c r="IH1" s="143"/>
      <c r="II1" s="143"/>
      <c r="IJ1" s="143"/>
      <c r="IK1" s="143"/>
      <c r="IL1" s="143"/>
      <c r="IM1" s="143"/>
      <c r="IN1" s="143"/>
      <c r="IO1" s="143"/>
      <c r="IP1" s="143"/>
      <c r="IQ1" s="143"/>
      <c r="IR1" s="143"/>
      <c r="IS1" s="143"/>
      <c r="IT1" s="143"/>
      <c r="IU1" s="143"/>
      <c r="IV1" s="143"/>
      <c r="IW1" s="143"/>
    </row>
    <row r="2" customFormat="false" ht="27" hidden="false" customHeight="true" outlineLevel="0" collapsed="false">
      <c r="A2" s="90" t="s">
        <v>25</v>
      </c>
      <c r="B2" s="90"/>
      <c r="C2" s="90"/>
      <c r="D2" s="90"/>
      <c r="E2" s="90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3"/>
      <c r="DW2" s="143"/>
      <c r="DX2" s="143"/>
      <c r="DY2" s="143"/>
      <c r="DZ2" s="143"/>
      <c r="EA2" s="143"/>
      <c r="EB2" s="143"/>
      <c r="EC2" s="143"/>
      <c r="ED2" s="143"/>
      <c r="EE2" s="143"/>
      <c r="EF2" s="143"/>
      <c r="EG2" s="143"/>
      <c r="EH2" s="143"/>
      <c r="EI2" s="143"/>
      <c r="EJ2" s="143"/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3"/>
      <c r="EW2" s="143"/>
      <c r="EX2" s="143"/>
      <c r="EY2" s="143"/>
      <c r="EZ2" s="143"/>
      <c r="FA2" s="143"/>
      <c r="FB2" s="143"/>
      <c r="FC2" s="143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  <c r="GR2" s="143"/>
      <c r="GS2" s="143"/>
      <c r="GT2" s="143"/>
      <c r="GU2" s="143"/>
      <c r="GV2" s="143"/>
      <c r="GW2" s="143"/>
      <c r="GX2" s="143"/>
      <c r="GY2" s="143"/>
      <c r="GZ2" s="143"/>
      <c r="HA2" s="143"/>
      <c r="HB2" s="143"/>
      <c r="HC2" s="143"/>
      <c r="HD2" s="143"/>
      <c r="HE2" s="143"/>
      <c r="HF2" s="143"/>
      <c r="HG2" s="143"/>
      <c r="HH2" s="143"/>
      <c r="HI2" s="143"/>
      <c r="HJ2" s="143"/>
      <c r="HK2" s="143"/>
      <c r="HL2" s="143"/>
      <c r="HM2" s="143"/>
      <c r="HN2" s="143"/>
      <c r="HO2" s="143"/>
      <c r="HP2" s="143"/>
      <c r="HQ2" s="143"/>
      <c r="HR2" s="143"/>
      <c r="HS2" s="143"/>
      <c r="HT2" s="143"/>
      <c r="HU2" s="143"/>
      <c r="HV2" s="143"/>
      <c r="HW2" s="143"/>
      <c r="HX2" s="143"/>
      <c r="HY2" s="143"/>
      <c r="HZ2" s="143"/>
      <c r="IA2" s="143"/>
      <c r="IB2" s="143"/>
      <c r="IC2" s="143"/>
      <c r="ID2" s="143"/>
      <c r="IE2" s="143"/>
      <c r="IF2" s="143"/>
      <c r="IG2" s="143"/>
      <c r="IH2" s="143"/>
      <c r="II2" s="143"/>
      <c r="IJ2" s="143"/>
      <c r="IK2" s="143"/>
      <c r="IL2" s="143"/>
      <c r="IM2" s="143"/>
      <c r="IN2" s="143"/>
      <c r="IO2" s="143"/>
      <c r="IP2" s="143"/>
      <c r="IQ2" s="143"/>
      <c r="IR2" s="143"/>
      <c r="IS2" s="143"/>
      <c r="IT2" s="143"/>
      <c r="IU2" s="143"/>
      <c r="IV2" s="143"/>
      <c r="IW2" s="143"/>
    </row>
    <row r="3" customFormat="false" ht="27" hidden="false" customHeight="true" outlineLevel="0" collapsed="false">
      <c r="A3" s="144" t="s">
        <v>141</v>
      </c>
      <c r="B3" s="144"/>
      <c r="C3" s="144"/>
      <c r="D3" s="144"/>
      <c r="E3" s="144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</row>
    <row r="4" customFormat="false" ht="27" hidden="false" customHeight="true" outlineLevel="0" collapsed="false">
      <c r="A4" s="112" t="s">
        <v>109</v>
      </c>
      <c r="B4" s="113" t="s">
        <v>111</v>
      </c>
      <c r="C4" s="113"/>
      <c r="D4" s="145" t="s">
        <v>112</v>
      </c>
      <c r="E4" s="14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27" hidden="false" customHeight="true" outlineLevel="0" collapsed="false">
      <c r="A5" s="146"/>
      <c r="B5" s="147" t="s">
        <v>142</v>
      </c>
      <c r="C5" s="147" t="s">
        <v>143</v>
      </c>
      <c r="D5" s="147" t="s">
        <v>144</v>
      </c>
      <c r="E5" s="148" t="s">
        <v>145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40.2" hidden="false" customHeight="true" outlineLevel="0" collapsed="false">
      <c r="A6" s="94" t="s">
        <v>92</v>
      </c>
      <c r="B6" s="119" t="n">
        <v>1067421</v>
      </c>
      <c r="C6" s="119" t="n">
        <v>1067427</v>
      </c>
      <c r="D6" s="119" t="n">
        <v>995743</v>
      </c>
      <c r="E6" s="149" t="n">
        <v>1011584</v>
      </c>
    </row>
    <row r="7" customFormat="false" ht="27" hidden="false" customHeight="true" outlineLevel="0" collapsed="false">
      <c r="A7" s="94" t="s">
        <v>93</v>
      </c>
      <c r="B7" s="119" t="n">
        <v>357448</v>
      </c>
      <c r="C7" s="119" t="n">
        <v>299931</v>
      </c>
      <c r="D7" s="119" t="n">
        <v>281043</v>
      </c>
      <c r="E7" s="149" t="n">
        <v>285333</v>
      </c>
    </row>
    <row r="8" customFormat="false" ht="27" hidden="false" customHeight="true" outlineLevel="0" collapsed="false">
      <c r="A8" s="94" t="s">
        <v>94</v>
      </c>
      <c r="B8" s="119" t="n">
        <v>359841</v>
      </c>
      <c r="C8" s="119" t="n">
        <v>322796</v>
      </c>
      <c r="D8" s="119" t="n">
        <v>344024</v>
      </c>
      <c r="E8" s="149" t="n">
        <v>350446</v>
      </c>
    </row>
    <row r="9" customFormat="false" ht="27" hidden="false" customHeight="true" outlineLevel="0" collapsed="false">
      <c r="A9" s="94" t="s">
        <v>95</v>
      </c>
      <c r="B9" s="119" t="n">
        <v>34358</v>
      </c>
      <c r="C9" s="119" t="n">
        <v>129151</v>
      </c>
      <c r="D9" s="119" t="n">
        <v>168835</v>
      </c>
      <c r="E9" s="149" t="n">
        <v>149963</v>
      </c>
    </row>
    <row r="10" customFormat="false" ht="27" hidden="false" customHeight="true" outlineLevel="0" collapsed="false">
      <c r="A10" s="97" t="s">
        <v>116</v>
      </c>
      <c r="B10" s="121"/>
      <c r="C10" s="121"/>
      <c r="D10" s="121"/>
      <c r="E10" s="150"/>
    </row>
    <row r="11" customFormat="false" ht="27" hidden="false" customHeight="true" outlineLevel="0" collapsed="false">
      <c r="A11" s="100" t="s">
        <v>97</v>
      </c>
      <c r="B11" s="123" t="n">
        <v>76</v>
      </c>
      <c r="C11" s="123" t="n">
        <v>76</v>
      </c>
      <c r="D11" s="123" t="n">
        <v>48</v>
      </c>
      <c r="E11" s="151" t="n">
        <v>50</v>
      </c>
    </row>
    <row r="12" customFormat="false" ht="27" hidden="false" customHeight="true" outlineLevel="0" collapsed="false">
      <c r="A12" s="100" t="s">
        <v>98</v>
      </c>
      <c r="B12" s="123" t="n">
        <v>5860</v>
      </c>
      <c r="C12" s="123" t="n">
        <v>5860</v>
      </c>
      <c r="D12" s="123" t="n">
        <v>7873</v>
      </c>
      <c r="E12" s="151" t="n">
        <v>6828</v>
      </c>
    </row>
    <row r="13" customFormat="false" ht="27" hidden="false" customHeight="true" outlineLevel="0" collapsed="false">
      <c r="A13" s="103" t="s">
        <v>99</v>
      </c>
      <c r="B13" s="117" t="n">
        <v>49227</v>
      </c>
      <c r="C13" s="117" t="n">
        <v>49227</v>
      </c>
      <c r="D13" s="117" t="n">
        <v>58505</v>
      </c>
      <c r="E13" s="152" t="n">
        <v>60569</v>
      </c>
    </row>
    <row r="14" customFormat="false" ht="27" hidden="false" customHeight="true" outlineLevel="0" collapsed="false">
      <c r="A14" s="104" t="s">
        <v>117</v>
      </c>
      <c r="B14" s="123"/>
      <c r="C14" s="123"/>
      <c r="D14" s="123"/>
      <c r="E14" s="151"/>
    </row>
    <row r="15" customFormat="false" ht="27" hidden="false" customHeight="true" outlineLevel="0" collapsed="false">
      <c r="A15" s="100" t="s">
        <v>97</v>
      </c>
      <c r="B15" s="123" t="n">
        <v>-2006</v>
      </c>
      <c r="C15" s="123" t="n">
        <v>-2006</v>
      </c>
      <c r="D15" s="123" t="n">
        <v>-3794</v>
      </c>
      <c r="E15" s="151" t="n">
        <v>-4348</v>
      </c>
    </row>
    <row r="16" customFormat="false" ht="27" hidden="false" customHeight="true" outlineLevel="0" collapsed="false">
      <c r="A16" s="100" t="s">
        <v>98</v>
      </c>
      <c r="B16" s="123" t="n">
        <v>71413</v>
      </c>
      <c r="C16" s="123" t="n">
        <v>71413</v>
      </c>
      <c r="D16" s="123" t="n">
        <v>84102</v>
      </c>
      <c r="E16" s="151" t="n">
        <v>71538</v>
      </c>
    </row>
    <row r="17" customFormat="false" ht="27" hidden="false" customHeight="true" outlineLevel="0" collapsed="false">
      <c r="A17" s="100" t="s">
        <v>99</v>
      </c>
      <c r="B17" s="123" t="n">
        <v>43859</v>
      </c>
      <c r="C17" s="123" t="n">
        <v>43859</v>
      </c>
      <c r="D17" s="123" t="n">
        <v>56941</v>
      </c>
      <c r="E17" s="151" t="n">
        <v>60587</v>
      </c>
    </row>
    <row r="18" customFormat="false" ht="27" hidden="false" customHeight="true" outlineLevel="0" collapsed="false">
      <c r="A18" s="94" t="s">
        <v>103</v>
      </c>
      <c r="B18" s="119" t="n">
        <v>4632</v>
      </c>
      <c r="C18" s="119" t="n">
        <v>4631</v>
      </c>
      <c r="D18" s="119" t="n">
        <v>3778</v>
      </c>
      <c r="E18" s="149" t="n">
        <v>3851</v>
      </c>
    </row>
    <row r="19" customFormat="false" ht="27" hidden="false" customHeight="true" outlineLevel="0" collapsed="false">
      <c r="A19" s="94" t="s">
        <v>104</v>
      </c>
      <c r="B19" s="119" t="n">
        <v>28001</v>
      </c>
      <c r="C19" s="119" t="n">
        <v>28001</v>
      </c>
      <c r="D19" s="119" t="n">
        <v>25937</v>
      </c>
      <c r="E19" s="149" t="n">
        <v>26282</v>
      </c>
    </row>
    <row r="20" customFormat="false" ht="27" hidden="false" customHeight="true" outlineLevel="0" collapsed="false">
      <c r="A20" s="94" t="s">
        <v>105</v>
      </c>
      <c r="B20" s="119" t="n">
        <v>6731</v>
      </c>
      <c r="C20" s="119" t="n">
        <v>6495</v>
      </c>
      <c r="D20" s="119" t="n">
        <v>3786</v>
      </c>
      <c r="E20" s="149" t="n">
        <v>4063</v>
      </c>
    </row>
    <row r="21" customFormat="false" ht="27" hidden="false" customHeight="true" outlineLevel="0" collapsed="false">
      <c r="A21" s="94" t="s">
        <v>106</v>
      </c>
      <c r="B21" s="119" t="n">
        <v>543</v>
      </c>
      <c r="C21" s="119" t="n">
        <v>543</v>
      </c>
      <c r="D21" s="119" t="n">
        <v>585</v>
      </c>
      <c r="E21" s="149" t="n">
        <v>658</v>
      </c>
    </row>
    <row r="22" customFormat="false" ht="27" hidden="false" customHeight="true" outlineLevel="0" collapsed="false">
      <c r="A22" s="108" t="s">
        <v>45</v>
      </c>
      <c r="B22" s="125" t="n">
        <v>2027405</v>
      </c>
      <c r="C22" s="125" t="n">
        <f aca="false">SUM(C6:C21)+1</f>
        <v>2027405</v>
      </c>
      <c r="D22" s="125" t="n">
        <f aca="false">SUM(D6:D21)-1</f>
        <v>2027405</v>
      </c>
      <c r="E22" s="153" t="n">
        <f aca="false">SUM(E6:E21)+1</f>
        <v>2027405</v>
      </c>
    </row>
  </sheetData>
  <mergeCells count="5">
    <mergeCell ref="A1:E1"/>
    <mergeCell ref="A2:E2"/>
    <mergeCell ref="A3:E3"/>
    <mergeCell ref="B4:C4"/>
    <mergeCell ref="D4:E4"/>
  </mergeCells>
  <printOptions headings="false" gridLines="false" gridLinesSet="true" horizontalCentered="false" verticalCentered="false"/>
  <pageMargins left="0.959722222222222" right="0.3" top="0.984027777777778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Roman,Regular"4-27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2000-08-29T02:46:38Z</dcterms:created>
  <dc:creator>Scarlett Liang-Uejio</dc:creator>
  <dc:description/>
  <dc:language>en-US</dc:language>
  <cp:lastModifiedBy>Scarlet Liang-Uejio</cp:lastModifiedBy>
  <cp:lastPrinted>2000-09-01T19:21:00Z</cp:lastPrinted>
  <cp:revision>0</cp:revision>
  <dc:subject/>
  <dc:title/>
</cp:coreProperties>
</file>