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oss" sheetId="1" state="visible" r:id="rId3"/>
    <sheet name="Net" sheetId="2" state="visible" r:id="rId4"/>
    <sheet name="Orig '02 Plan Gross" sheetId="3" state="visible" r:id="rId5"/>
    <sheet name="Orig '02 Plan Net" sheetId="4" state="visible" r:id="rId6"/>
  </sheets>
  <definedNames>
    <definedName function="false" hidden="false" localSheetId="0" name="_xlnm.Print_Area" vbProcedure="false">Gross!$A$1:$AO$51</definedName>
    <definedName function="false" hidden="false" localSheetId="1" name="_xlnm.Print_Area" vbProcedure="false">Net!$A$1:$AO$51</definedName>
    <definedName function="false" hidden="false" localSheetId="2" name="_xlnm.Print_Area" vbProcedure="false">'Orig ''02 Plan Gross'!$A$1:$AK$47</definedName>
    <definedName function="false" hidden="false" localSheetId="3" name="_xlnm.Print_Area" vbProcedure="false">'Orig ''02 Plan Net'!$A$1:$AK$48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<sst xmlns="http://schemas.openxmlformats.org/spreadsheetml/2006/main" count="226" uniqueCount="48">
  <si>
    <t xml:space="preserve">GROSS  O &amp; M COSTS</t>
  </si>
  <si>
    <t xml:space="preserve">(including Benefits &amp; Payroll Taxes)</t>
  </si>
  <si>
    <t xml:space="preserve">OPERATIONS SUPPORT SERVICES (Included in Finance &amp; Accounting)</t>
  </si>
  <si>
    <t xml:space="preserve">( $ In Thousands)</t>
  </si>
  <si>
    <t xml:space="preserve">Original</t>
  </si>
  <si>
    <t xml:space="preserve">Gross</t>
  </si>
  <si>
    <t xml:space="preserve">Gross O&amp;M</t>
  </si>
  <si>
    <t xml:space="preserve">Oct</t>
  </si>
  <si>
    <t xml:space="preserve">Avg</t>
  </si>
  <si>
    <t xml:space="preserve">% O(U)</t>
  </si>
  <si>
    <t xml:space="preserve">Department</t>
  </si>
  <si>
    <t xml:space="preserve">YTD</t>
  </si>
  <si>
    <t xml:space="preserve">Spend</t>
  </si>
  <si>
    <t xml:space="preserve">Nov</t>
  </si>
  <si>
    <t xml:space="preserve">Dec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</si>
  <si>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</si>
  <si>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</si>
  <si>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</si>
  <si>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</si>
  <si>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</si>
  <si>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</si>
  <si>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</si>
  <si>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</si>
  <si>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</si>
  <si>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2000 Plan</t>
  </si>
  <si>
    <t xml:space="preserve">Total</t>
  </si>
  <si>
    <t xml:space="preserve">Savings</t>
  </si>
  <si>
    <t xml:space="preserve">NNG</t>
  </si>
  <si>
    <t xml:space="preserve">TW</t>
  </si>
  <si>
    <t xml:space="preserve">Citrus</t>
  </si>
  <si>
    <t xml:space="preserve">Northern Border Partners</t>
  </si>
  <si>
    <t xml:space="preserve">EOTT (Co 1195) **</t>
  </si>
  <si>
    <t xml:space="preserve">EMMS</t>
  </si>
  <si>
    <t xml:space="preserve">GCO/HPL</t>
  </si>
  <si>
    <t xml:space="preserve">EAMR</t>
  </si>
  <si>
    <t xml:space="preserve">ETS</t>
  </si>
  <si>
    <t xml:space="preserve">Other *</t>
  </si>
  <si>
    <t xml:space="preserve"> </t>
  </si>
  <si>
    <t xml:space="preserve">Total Original 2002 Plan</t>
  </si>
  <si>
    <t xml:space="preserve">Savings from Original 2002 Plan</t>
  </si>
  <si>
    <t xml:space="preserve">* For companies outside of ETS</t>
  </si>
  <si>
    <t xml:space="preserve">**  Exclude Co. 1195</t>
  </si>
  <si>
    <t xml:space="preserve">NOTE:  For Nov. 2001 through Dec. 2002 provide your best guess of minimum spend required</t>
  </si>
  <si>
    <t xml:space="preserve">NET  O &amp; M COSTS</t>
  </si>
  <si>
    <t xml:space="preserve">Net</t>
  </si>
  <si>
    <t xml:space="preserve">ORIGINAL '02 PLAN GROSS  O &amp; M COSTS</t>
  </si>
  <si>
    <t xml:space="preserve">Sum</t>
  </si>
  <si>
    <t xml:space="preserve">ORIGINAL '02 PLAN NET  O &amp; M COSTS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</si>
</sst>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.0_);_(* \(#,##0.0\);_(* \-??_);_(@_)"/>
    <numFmt numFmtId="167" formatCode="0.0_);\(0.0\)"/>
    <numFmt numFmtId="168" formatCode="[$-409]m/d/yyyy\ h:mm"/>
    <numFmt numFmtId="169" formatCode="0.0"/>
    <numFmt numFmtId="170" formatCode="0%"/>
    <numFmt numFmtId="171" formatCode="0.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u val="doub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NG_TWO&amp; M(vs.3CE)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14"/>
    <col collapsed="false" customWidth="true" hidden="false" outlineLevel="0" max="2" min="2" style="1" width="2.13"/>
    <col collapsed="false" customWidth="true" hidden="false" outlineLevel="0" max="3" min="3" style="1" width="10.71"/>
    <col collapsed="false" customWidth="true" hidden="false" outlineLevel="0" max="4" min="4" style="1" width="1.7"/>
    <col collapsed="false" customWidth="true" hidden="false" outlineLevel="0" max="5" min="5" style="1" width="10.71"/>
    <col collapsed="false" customWidth="true" hidden="false" outlineLevel="0" max="6" min="6" style="1" width="3.7"/>
    <col collapsed="false" customWidth="true" hidden="false" outlineLevel="0" max="7" min="7" style="1" width="10.71"/>
    <col collapsed="false" customWidth="true" hidden="false" outlineLevel="0" max="8" min="8" style="1" width="1.7"/>
    <col collapsed="false" customWidth="true" hidden="false" outlineLevel="0" max="9" min="9" style="1" width="10.71"/>
    <col collapsed="false" customWidth="true" hidden="false" outlineLevel="0" max="10" min="10" style="1" width="1.7"/>
    <col collapsed="false" customWidth="true" hidden="false" outlineLevel="0" max="11" min="11" style="1" width="10.71"/>
    <col collapsed="false" customWidth="true" hidden="false" outlineLevel="0" max="12" min="12" style="1" width="1.7"/>
    <col collapsed="false" customWidth="true" hidden="false" outlineLevel="0" max="13" min="13" style="1" width="10.71"/>
    <col collapsed="false" customWidth="true" hidden="false" outlineLevel="0" max="14" min="14" style="1" width="1.7"/>
    <col collapsed="false" customWidth="true" hidden="false" outlineLevel="0" max="15" min="15" style="1" width="10.71"/>
    <col collapsed="false" customWidth="true" hidden="false" outlineLevel="0" max="16" min="16" style="1" width="1.7"/>
    <col collapsed="false" customWidth="true" hidden="false" outlineLevel="0" max="17" min="17" style="1" width="10.71"/>
    <col collapsed="false" customWidth="true" hidden="false" outlineLevel="0" max="18" min="18" style="1" width="1.7"/>
    <col collapsed="false" customWidth="true" hidden="false" outlineLevel="0" max="19" min="19" style="1" width="10.71"/>
    <col collapsed="false" customWidth="true" hidden="false" outlineLevel="0" max="20" min="20" style="1" width="1.7"/>
    <col collapsed="false" customWidth="true" hidden="false" outlineLevel="0" max="21" min="21" style="1" width="10.71"/>
    <col collapsed="false" customWidth="true" hidden="false" outlineLevel="0" max="22" min="22" style="1" width="1.7"/>
    <col collapsed="false" customWidth="true" hidden="false" outlineLevel="0" max="23" min="23" style="1" width="10.71"/>
    <col collapsed="false" customWidth="true" hidden="false" outlineLevel="0" max="24" min="24" style="1" width="1.7"/>
    <col collapsed="false" customWidth="true" hidden="false" outlineLevel="0" max="25" min="25" style="1" width="10.71"/>
    <col collapsed="false" customWidth="true" hidden="false" outlineLevel="0" max="26" min="26" style="1" width="1.7"/>
    <col collapsed="false" customWidth="true" hidden="false" outlineLevel="0" max="27" min="27" style="1" width="10.71"/>
    <col collapsed="false" customWidth="true" hidden="false" outlineLevel="0" max="28" min="28" style="1" width="1.7"/>
    <col collapsed="false" customWidth="true" hidden="false" outlineLevel="0" max="29" min="29" style="1" width="10.71"/>
    <col collapsed="false" customWidth="true" hidden="false" outlineLevel="0" max="30" min="30" style="1" width="1.7"/>
    <col collapsed="false" customWidth="true" hidden="false" outlineLevel="0" max="31" min="31" style="1" width="10.71"/>
    <col collapsed="false" customWidth="true" hidden="false" outlineLevel="0" max="32" min="32" style="1" width="1.7"/>
    <col collapsed="false" customWidth="true" hidden="true" outlineLevel="0" max="33" min="33" style="1" width="11.7"/>
    <col collapsed="false" customWidth="true" hidden="true" outlineLevel="0" max="34" min="34" style="1" width="1.85"/>
    <col collapsed="false" customWidth="true" hidden="false" outlineLevel="0" max="35" min="35" style="1" width="10.71"/>
    <col collapsed="false" customWidth="true" hidden="false" outlineLevel="0" max="36" min="36" style="2" width="1.7"/>
    <col collapsed="false" customWidth="true" hidden="false" outlineLevel="0" max="37" min="37" style="1" width="10.71"/>
    <col collapsed="false" customWidth="true" hidden="false" outlineLevel="0" max="38" min="38" style="1" width="1.7"/>
    <col collapsed="false" customWidth="true" hidden="false" outlineLevel="0" max="39" min="39" style="1" width="10.71"/>
    <col collapsed="false" customWidth="true" hidden="false" outlineLevel="0" max="40" min="40" style="1" width="1.7"/>
    <col collapsed="false" customWidth="true" hidden="false" outlineLevel="0" max="41" min="41" style="1" width="10.71"/>
    <col collapsed="false" customWidth="true" hidden="false" outlineLevel="0" max="42" min="42" style="1" width="9.28"/>
    <col collapsed="false" customWidth="false" hidden="false" outlineLevel="0" max="257" min="43" style="1" width="9.14"/>
  </cols>
  <sheetData>
    <row r="1" customFormat="false" ht="15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5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5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customFormat="false" ht="15.75" hidden="false" customHeight="false" outlineLevel="0" collapsed="false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customFormat="false" ht="12.75" hidden="false" customHeight="false" outlineLevel="0" collapsed="false">
      <c r="A6" s="7"/>
    </row>
    <row r="8" customFormat="false" ht="12.75" hidden="false" customHeight="false" outlineLevel="0" collapsed="false">
      <c r="A8" s="2"/>
      <c r="B8" s="2"/>
      <c r="C8" s="8"/>
      <c r="D8" s="8"/>
      <c r="E8" s="8"/>
      <c r="F8" s="8"/>
      <c r="G8" s="8"/>
      <c r="H8" s="8"/>
      <c r="I8" s="8"/>
      <c r="J8" s="8"/>
      <c r="K8" s="8"/>
      <c r="L8" s="2"/>
      <c r="M8" s="8"/>
      <c r="N8" s="8"/>
      <c r="O8" s="8"/>
      <c r="P8" s="8"/>
      <c r="Q8" s="8"/>
      <c r="R8" s="8"/>
      <c r="S8" s="8"/>
      <c r="T8" s="8"/>
      <c r="U8" s="8"/>
      <c r="V8" s="2"/>
      <c r="W8" s="8"/>
      <c r="X8" s="8"/>
      <c r="Y8" s="8"/>
      <c r="Z8" s="8"/>
      <c r="AA8" s="8"/>
      <c r="AB8" s="8"/>
      <c r="AC8" s="8"/>
      <c r="AD8" s="8"/>
      <c r="AE8" s="8"/>
      <c r="AF8" s="2"/>
      <c r="AG8" s="2"/>
      <c r="AH8" s="2"/>
      <c r="AI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2.75" hidden="false" customHeight="false" outlineLevel="0" collapsed="false">
      <c r="E9" s="9"/>
      <c r="O9" s="9"/>
      <c r="Y9" s="9"/>
      <c r="AM9" s="9" t="s">
        <v>4</v>
      </c>
      <c r="AN9" s="9"/>
    </row>
    <row r="10" customFormat="false" ht="12.75" hidden="false" customHeight="false" outlineLevel="0" collapsed="false">
      <c r="C10" s="9" t="s">
        <v>5</v>
      </c>
      <c r="D10" s="0"/>
      <c r="E10" s="9" t="s">
        <v>5</v>
      </c>
      <c r="F10" s="0"/>
      <c r="G10" s="9" t="s">
        <v>5</v>
      </c>
      <c r="H10" s="10"/>
      <c r="I10" s="9" t="s">
        <v>5</v>
      </c>
      <c r="J10" s="0"/>
      <c r="K10" s="9" t="s">
        <v>5</v>
      </c>
      <c r="M10" s="9" t="s">
        <v>5</v>
      </c>
      <c r="O10" s="9" t="s">
        <v>5</v>
      </c>
      <c r="P10" s="0"/>
      <c r="Q10" s="9" t="s">
        <v>5</v>
      </c>
      <c r="R10" s="10"/>
      <c r="S10" s="9" t="s">
        <v>5</v>
      </c>
      <c r="U10" s="9" t="s">
        <v>5</v>
      </c>
      <c r="W10" s="9" t="s">
        <v>5</v>
      </c>
      <c r="Y10" s="9" t="s">
        <v>5</v>
      </c>
      <c r="AA10" s="9" t="s">
        <v>5</v>
      </c>
      <c r="AB10" s="10"/>
      <c r="AC10" s="9" t="s">
        <v>5</v>
      </c>
      <c r="AE10" s="9" t="s">
        <v>5</v>
      </c>
      <c r="AG10" s="9" t="s">
        <v>6</v>
      </c>
      <c r="AI10" s="9" t="s">
        <v>5</v>
      </c>
      <c r="AJ10" s="8"/>
      <c r="AM10" s="9" t="s">
        <v>5</v>
      </c>
      <c r="AN10" s="9"/>
    </row>
    <row r="11" customFormat="false" ht="12.75" hidden="false" customHeight="false" outlineLevel="0" collapsed="false">
      <c r="C11" s="9" t="s">
        <v>7</v>
      </c>
      <c r="D11" s="9"/>
      <c r="E11" s="9" t="s">
        <v>8</v>
      </c>
      <c r="F11" s="9"/>
      <c r="G11" s="9" t="n">
        <v>2001</v>
      </c>
      <c r="H11" s="9"/>
      <c r="I11" s="9" t="n">
        <v>2001</v>
      </c>
      <c r="J11" s="9"/>
      <c r="K11" s="9" t="n">
        <v>2002</v>
      </c>
      <c r="M11" s="9" t="n">
        <v>2002</v>
      </c>
      <c r="N11" s="9"/>
      <c r="O11" s="9" t="n">
        <v>2002</v>
      </c>
      <c r="P11" s="9"/>
      <c r="Q11" s="9" t="n">
        <v>2002</v>
      </c>
      <c r="R11" s="9"/>
      <c r="S11" s="9" t="n">
        <v>2002</v>
      </c>
      <c r="T11" s="9"/>
      <c r="U11" s="9" t="n">
        <v>2002</v>
      </c>
      <c r="W11" s="9" t="n">
        <v>2002</v>
      </c>
      <c r="Y11" s="9" t="n">
        <v>2002</v>
      </c>
      <c r="AA11" s="9" t="n">
        <v>2002</v>
      </c>
      <c r="AB11" s="9"/>
      <c r="AC11" s="9" t="n">
        <v>2002</v>
      </c>
      <c r="AD11" s="9"/>
      <c r="AE11" s="9" t="n">
        <v>2002</v>
      </c>
      <c r="AG11" s="8" t="s">
        <v>9</v>
      </c>
      <c r="AI11" s="9" t="n">
        <v>2002</v>
      </c>
      <c r="AJ11" s="8"/>
      <c r="AK11" s="9" t="n">
        <v>2002</v>
      </c>
      <c r="AM11" s="9" t="n">
        <v>2002</v>
      </c>
      <c r="AN11" s="9"/>
    </row>
    <row r="12" customFormat="false" ht="12.75" hidden="false" customHeight="false" outlineLevel="0" collapsed="false">
      <c r="A12" s="11" t="s">
        <v>10</v>
      </c>
      <c r="C12" s="11" t="s">
        <v>11</v>
      </c>
      <c r="D12" s="9"/>
      <c r="E12" s="11" t="s">
        <v>12</v>
      </c>
      <c r="F12" s="8"/>
      <c r="G12" s="11" t="s">
        <v>13</v>
      </c>
      <c r="H12" s="8"/>
      <c r="I12" s="11" t="s">
        <v>14</v>
      </c>
      <c r="J12" s="9"/>
      <c r="K12" s="11" t="s">
        <v>15</v>
      </c>
      <c r="M12" s="11" t="s">
        <v>16</v>
      </c>
      <c r="N12" s="9"/>
      <c r="O12" s="11" t="s">
        <v>17</v>
      </c>
      <c r="P12" s="8"/>
      <c r="Q12" s="11" t="s">
        <v>18</v>
      </c>
      <c r="R12" s="8"/>
      <c r="S12" s="11" t="s">
        <v>19</v>
      </c>
      <c r="T12" s="9"/>
      <c r="U12" s="11" t="s">
        <v>20</v>
      </c>
      <c r="W12" s="11" t="s">
        <v>21</v>
      </c>
      <c r="Y12" s="11" t="s">
        <v>22</v>
      </c>
      <c r="AA12" s="11" t="s">
        <v>23</v>
      </c>
      <c r="AB12" s="8"/>
      <c r="AC12" s="11" t="s">
        <v>7</v>
      </c>
      <c r="AD12" s="9"/>
      <c r="AE12" s="11" t="s">
        <v>13</v>
      </c>
      <c r="AF12" s="2"/>
      <c r="AG12" s="11" t="s">
        <v>24</v>
      </c>
      <c r="AH12" s="2"/>
      <c r="AI12" s="11" t="s">
        <v>14</v>
      </c>
      <c r="AJ12" s="8"/>
      <c r="AK12" s="11" t="s">
        <v>25</v>
      </c>
      <c r="AL12" s="2"/>
      <c r="AM12" s="11" t="s">
        <v>25</v>
      </c>
      <c r="AN12" s="11"/>
      <c r="AO12" s="11" t="s">
        <v>26</v>
      </c>
      <c r="AP12" s="2"/>
    </row>
    <row r="13" customFormat="false" ht="12.75" hidden="false" customHeight="false" outlineLevel="0" collapsed="false">
      <c r="A13" s="12" t="s">
        <v>27</v>
      </c>
      <c r="C13" s="13" t="n">
        <f aca="false">5967-643-721+275.288-22.038-22.038</f>
        <v>4834.212</v>
      </c>
      <c r="D13" s="13"/>
      <c r="E13" s="13" t="n">
        <f aca="false">C13/10</f>
        <v>483.4212</v>
      </c>
      <c r="F13" s="13"/>
      <c r="G13" s="13" t="n">
        <f aca="false">643+22.039</f>
        <v>665.039</v>
      </c>
      <c r="H13" s="13"/>
      <c r="I13" s="13" t="n">
        <f aca="false">721+22.039</f>
        <v>743.039</v>
      </c>
      <c r="J13" s="13"/>
      <c r="K13" s="13" t="n">
        <f aca="false">464.596+21.14</f>
        <v>485.736</v>
      </c>
      <c r="L13" s="13"/>
      <c r="M13" s="13" t="n">
        <f aca="false">473.07+33.759</f>
        <v>506.829</v>
      </c>
      <c r="N13" s="13"/>
      <c r="O13" s="13" t="n">
        <f aca="false">473.785+22.039</f>
        <v>495.824</v>
      </c>
      <c r="P13" s="13"/>
      <c r="Q13" s="13" t="n">
        <f aca="false">471.8+22.039</f>
        <v>493.839</v>
      </c>
      <c r="R13" s="13"/>
      <c r="S13" s="13" t="n">
        <f aca="false">473.1+22.039</f>
        <v>495.139</v>
      </c>
      <c r="T13" s="13"/>
      <c r="U13" s="13" t="n">
        <f aca="false">476.755+22.039</f>
        <v>498.794</v>
      </c>
      <c r="V13" s="13"/>
      <c r="W13" s="13" t="n">
        <f aca="false">473.106+22.039</f>
        <v>495.145</v>
      </c>
      <c r="X13" s="13"/>
      <c r="Y13" s="13" t="n">
        <f aca="false">471.901+22.039</f>
        <v>493.94</v>
      </c>
      <c r="Z13" s="13"/>
      <c r="AA13" s="13" t="n">
        <f aca="false">473.826+22.039</f>
        <v>495.865</v>
      </c>
      <c r="AB13" s="13"/>
      <c r="AC13" s="13" t="n">
        <f aca="false">474.501+22.039</f>
        <v>496.54</v>
      </c>
      <c r="AD13" s="13"/>
      <c r="AE13" s="13" t="n">
        <f aca="false">474.103+22.039</f>
        <v>496.142</v>
      </c>
      <c r="AF13" s="13"/>
      <c r="AG13" s="13" t="n">
        <f aca="false">-448.4/11017</f>
        <v>-0.0407007352273759</v>
      </c>
      <c r="AH13" s="13"/>
      <c r="AI13" s="13" t="n">
        <f aca="false">464.482+22.039</f>
        <v>486.521</v>
      </c>
      <c r="AJ13" s="13"/>
      <c r="AK13" s="13" t="n">
        <f aca="false">SUM('Orig ''02 Plan Gross'!K13:AJ13)</f>
        <v>5940.27329926477</v>
      </c>
      <c r="AL13" s="13"/>
      <c r="AM13" s="13" t="n">
        <f aca="false">'Orig ''02 Plan Gross'!AK13</f>
        <v>5940.27329926477</v>
      </c>
      <c r="AN13" s="13"/>
      <c r="AO13" s="13" t="n">
        <f aca="false">AK13-AM13</f>
        <v>0</v>
      </c>
      <c r="AP13" s="0"/>
      <c r="AQ13" s="0"/>
      <c r="AR13" s="13"/>
    </row>
    <row r="14" customFormat="false" ht="12.75" hidden="false" customHeight="false" outlineLevel="0" collapsed="false">
      <c r="A14" s="12" t="s">
        <v>28</v>
      </c>
      <c r="C14" s="13" t="n">
        <f aca="false">986-80-79+37.954-3.038-3.038</f>
        <v>858.878</v>
      </c>
      <c r="D14" s="13"/>
      <c r="E14" s="13" t="n">
        <f aca="false">C14/10</f>
        <v>85.8878</v>
      </c>
      <c r="F14" s="13"/>
      <c r="G14" s="13" t="n">
        <f aca="false">80+3.038</f>
        <v>83.038</v>
      </c>
      <c r="H14" s="13"/>
      <c r="I14" s="13" t="n">
        <f aca="false">79+3.038</f>
        <v>82.038</v>
      </c>
      <c r="J14" s="13"/>
      <c r="K14" s="13" t="n">
        <f aca="false">68.439+2.9</f>
        <v>71.339</v>
      </c>
      <c r="L14" s="13"/>
      <c r="M14" s="13" t="n">
        <f aca="false">73.174+4.654</f>
        <v>77.828</v>
      </c>
      <c r="N14" s="13"/>
      <c r="O14" s="13" t="n">
        <f aca="false">76.624+3.039</f>
        <v>79.663</v>
      </c>
      <c r="P14" s="13"/>
      <c r="Q14" s="13" t="n">
        <f aca="false">73.174+3.039</f>
        <v>76.213</v>
      </c>
      <c r="R14" s="13"/>
      <c r="S14" s="13" t="n">
        <f aca="false">73.174+3.039</f>
        <v>76.213</v>
      </c>
      <c r="T14" s="13"/>
      <c r="U14" s="13" t="n">
        <f aca="false">76.624+3.039</f>
        <v>79.663</v>
      </c>
      <c r="V14" s="13"/>
      <c r="W14" s="13" t="n">
        <f aca="false">75.135+3.039</f>
        <v>78.174</v>
      </c>
      <c r="X14" s="13"/>
      <c r="Y14" s="13" t="n">
        <f aca="false">73.19+3.039</f>
        <v>76.229</v>
      </c>
      <c r="Z14" s="13"/>
      <c r="AA14" s="13" t="n">
        <f aca="false">73.656+3.039</f>
        <v>76.695</v>
      </c>
      <c r="AB14" s="13"/>
      <c r="AC14" s="13" t="n">
        <f aca="false">73.194+3.039</f>
        <v>76.233</v>
      </c>
      <c r="AD14" s="13"/>
      <c r="AE14" s="13" t="n">
        <f aca="false">73.194+3.039</f>
        <v>76.233</v>
      </c>
      <c r="AF14" s="13"/>
      <c r="AG14" s="13" t="n">
        <f aca="false">-102.4/1810</f>
        <v>-0.0565745856353591</v>
      </c>
      <c r="AH14" s="13"/>
      <c r="AI14" s="13" t="n">
        <f aca="false">72.054+3.039</f>
        <v>75.093</v>
      </c>
      <c r="AJ14" s="13"/>
      <c r="AK14" s="13" t="n">
        <f aca="false">SUM('Orig ''02 Plan Gross'!K14:AJ14)</f>
        <v>919.519425414365</v>
      </c>
      <c r="AL14" s="13"/>
      <c r="AM14" s="13" t="n">
        <f aca="false">'Orig ''02 Plan Gross'!AK14</f>
        <v>919.519425414365</v>
      </c>
      <c r="AN14" s="13"/>
      <c r="AO14" s="13" t="n">
        <f aca="false">AK14-AM14</f>
        <v>0</v>
      </c>
      <c r="AP14" s="0"/>
      <c r="AQ14" s="0"/>
      <c r="AR14" s="13"/>
    </row>
    <row r="15" customFormat="false" ht="12.75" hidden="false" customHeight="false" outlineLevel="0" collapsed="false">
      <c r="A15" s="12" t="s">
        <v>29</v>
      </c>
      <c r="C15" s="13" t="n">
        <f aca="false">2852-288-288+107.637-8.617-8.617</f>
        <v>2366.403</v>
      </c>
      <c r="D15" s="13"/>
      <c r="E15" s="13" t="n">
        <f aca="false">C15/10</f>
        <v>236.6403</v>
      </c>
      <c r="F15" s="13"/>
      <c r="G15" s="13" t="n">
        <f aca="false">288+8.617</f>
        <v>296.617</v>
      </c>
      <c r="H15" s="13"/>
      <c r="I15" s="13" t="n">
        <f aca="false">288+8.617</f>
        <v>296.617</v>
      </c>
      <c r="J15" s="13"/>
      <c r="K15" s="13" t="n">
        <f aca="false">235.838+8.266</f>
        <v>244.104</v>
      </c>
      <c r="L15" s="13"/>
      <c r="M15" s="13" t="n">
        <f aca="false">236.11+13.2</f>
        <v>249.31</v>
      </c>
      <c r="N15" s="13"/>
      <c r="O15" s="13" t="n">
        <f aca="false">8.6+236.11</f>
        <v>244.71</v>
      </c>
      <c r="P15" s="13"/>
      <c r="Q15" s="13" t="n">
        <f aca="false">8.6+236.11</f>
        <v>244.71</v>
      </c>
      <c r="R15" s="13"/>
      <c r="S15" s="13" t="n">
        <f aca="false">8.6+236.11</f>
        <v>244.71</v>
      </c>
      <c r="T15" s="13"/>
      <c r="U15" s="13" t="n">
        <f aca="false">8.6+236.11</f>
        <v>244.71</v>
      </c>
      <c r="V15" s="13"/>
      <c r="W15" s="13" t="n">
        <f aca="false">8.6+236.11</f>
        <v>244.71</v>
      </c>
      <c r="X15" s="13"/>
      <c r="Y15" s="13" t="n">
        <f aca="false">8.6+236.11</f>
        <v>244.71</v>
      </c>
      <c r="Z15" s="13"/>
      <c r="AA15" s="13" t="n">
        <f aca="false">8.6+236.11</f>
        <v>244.71</v>
      </c>
      <c r="AB15" s="13"/>
      <c r="AC15" s="13" t="n">
        <f aca="false">8.6+236.11</f>
        <v>244.71</v>
      </c>
      <c r="AD15" s="13"/>
      <c r="AE15" s="13" t="n">
        <f aca="false">8.6+237.11</f>
        <v>245.71</v>
      </c>
      <c r="AF15" s="13"/>
      <c r="AG15" s="14" t="n">
        <f aca="false">-155.5/1959</f>
        <v>-0.0793772332822869</v>
      </c>
      <c r="AH15" s="13"/>
      <c r="AI15" s="13" t="n">
        <f aca="false">8.6+237.11</f>
        <v>245.71</v>
      </c>
      <c r="AJ15" s="13"/>
      <c r="AK15" s="13" t="n">
        <f aca="false">SUM('Orig ''02 Plan Gross'!K15:AJ15)</f>
        <v>2942.43462276672</v>
      </c>
      <c r="AL15" s="13"/>
      <c r="AM15" s="13" t="n">
        <f aca="false">'Orig ''02 Plan Gross'!AK15</f>
        <v>2942.43462276672</v>
      </c>
      <c r="AN15" s="13"/>
      <c r="AO15" s="13" t="n">
        <f aca="false">AK15-AM15</f>
        <v>0</v>
      </c>
      <c r="AP15" s="0"/>
      <c r="AQ15" s="0"/>
      <c r="AR15" s="13"/>
    </row>
    <row r="16" customFormat="false" ht="12.75" hidden="false" customHeight="false" outlineLevel="0" collapsed="false">
      <c r="A16" s="12" t="s">
        <v>30</v>
      </c>
      <c r="C16" s="13" t="n">
        <f aca="false">1945-180-219-5.948-5.948+74.3</f>
        <v>1608.404</v>
      </c>
      <c r="D16" s="13"/>
      <c r="E16" s="13" t="n">
        <f aca="false">C16/10</f>
        <v>160.8404</v>
      </c>
      <c r="F16" s="13"/>
      <c r="G16" s="13" t="n">
        <f aca="false">180+5.948</f>
        <v>185.948</v>
      </c>
      <c r="H16" s="13"/>
      <c r="I16" s="13" t="n">
        <f aca="false">219+5.948</f>
        <v>224.948</v>
      </c>
      <c r="J16" s="13"/>
      <c r="K16" s="13" t="n">
        <f aca="false">186.25+9.095+0.369+5.7</f>
        <v>201.414</v>
      </c>
      <c r="L16" s="13"/>
      <c r="M16" s="13" t="n">
        <f aca="false">8.97+188.139+0.59+9.112</f>
        <v>206.811</v>
      </c>
      <c r="N16" s="13"/>
      <c r="O16" s="13" t="n">
        <f aca="false">187.229+8.97+5.948+0.385</f>
        <v>202.532</v>
      </c>
      <c r="P16" s="13"/>
      <c r="Q16" s="13" t="n">
        <f aca="false">187.114+9.095+5.948+0.385</f>
        <v>202.542</v>
      </c>
      <c r="R16" s="13"/>
      <c r="S16" s="13" t="n">
        <f aca="false">188.877+8.97+5.948+0.385</f>
        <v>204.18</v>
      </c>
      <c r="T16" s="13"/>
      <c r="U16" s="13" t="n">
        <f aca="false">186.477+9.17+5.948+0.385</f>
        <v>201.98</v>
      </c>
      <c r="V16" s="13"/>
      <c r="W16" s="13" t="n">
        <f aca="false">187.177+9.095+5.948+0.385</f>
        <v>202.605</v>
      </c>
      <c r="X16" s="13"/>
      <c r="Y16" s="13" t="n">
        <f aca="false">187.477+8.97+5.948+0.385</f>
        <v>202.78</v>
      </c>
      <c r="Z16" s="13"/>
      <c r="AA16" s="13" t="n">
        <f aca="false">186.547+8.97+5.948+0.385</f>
        <v>201.85</v>
      </c>
      <c r="AB16" s="13"/>
      <c r="AC16" s="13" t="n">
        <f aca="false">190.077+9.295+5.948+0.385</f>
        <v>205.705</v>
      </c>
      <c r="AD16" s="13"/>
      <c r="AE16" s="13" t="n">
        <f aca="false">186.277+8.97+5.948+0.385</f>
        <v>201.58</v>
      </c>
      <c r="AF16" s="13"/>
      <c r="AG16" s="13" t="n">
        <f aca="false">(W16-M16)/M16</f>
        <v>-0.0203374095188361</v>
      </c>
      <c r="AH16" s="13"/>
      <c r="AI16" s="13" t="n">
        <f aca="false">186.234+9.005+5.948+0.385</f>
        <v>201.572</v>
      </c>
      <c r="AJ16" s="13"/>
      <c r="AK16" s="13" t="n">
        <f aca="false">SUM('Orig ''02 Plan Gross'!K16:AJ16)</f>
        <v>2435.53066259048</v>
      </c>
      <c r="AL16" s="13"/>
      <c r="AM16" s="13" t="n">
        <f aca="false">'Orig ''02 Plan Gross'!AK16</f>
        <v>2435.53066259048</v>
      </c>
      <c r="AN16" s="13"/>
      <c r="AO16" s="13" t="n">
        <f aca="false">AK16-AM16</f>
        <v>0</v>
      </c>
      <c r="AP16" s="0"/>
      <c r="AQ16" s="0"/>
      <c r="AR16" s="13"/>
    </row>
    <row r="17" customFormat="false" ht="12.75" hidden="false" customHeight="false" outlineLevel="0" collapsed="false">
      <c r="A17" s="12" t="s">
        <v>31</v>
      </c>
      <c r="C17" s="13"/>
      <c r="D17" s="13"/>
      <c r="E17" s="13" t="n">
        <f aca="false">C17/10</f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 t="n">
        <f aca="false">SUM('Orig ''02 Plan Gross'!K17:AJ17)</f>
        <v>0</v>
      </c>
      <c r="AL17" s="13"/>
      <c r="AM17" s="13" t="n">
        <f aca="false">'Orig ''02 Plan Gross'!AK17</f>
        <v>0</v>
      </c>
      <c r="AN17" s="13"/>
      <c r="AO17" s="13" t="n">
        <f aca="false">AK17-AM17</f>
        <v>0</v>
      </c>
      <c r="AP17" s="0"/>
      <c r="AQ17" s="0"/>
      <c r="AR17" s="13"/>
    </row>
    <row r="18" customFormat="false" ht="12.75" hidden="false" customHeight="false" outlineLevel="0" collapsed="false">
      <c r="A18" s="12" t="s">
        <v>32</v>
      </c>
      <c r="C18" s="13"/>
      <c r="D18" s="13"/>
      <c r="E18" s="13" t="n">
        <f aca="false">C18/10</f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 t="n">
        <f aca="false">SUM('Orig ''02 Plan Gross'!K18:AJ18)</f>
        <v>0</v>
      </c>
      <c r="AL18" s="13"/>
      <c r="AM18" s="13" t="n">
        <f aca="false">'Orig ''02 Plan Gross'!AK18</f>
        <v>0</v>
      </c>
      <c r="AN18" s="13"/>
      <c r="AO18" s="13" t="n">
        <f aca="false">AK18-AM18</f>
        <v>0</v>
      </c>
      <c r="AP18" s="0"/>
      <c r="AQ18" s="0"/>
      <c r="AR18" s="13"/>
    </row>
    <row r="19" customFormat="false" ht="12.75" hidden="false" customHeight="false" outlineLevel="0" collapsed="false">
      <c r="A19" s="12" t="s">
        <v>33</v>
      </c>
      <c r="C19" s="13" t="n">
        <f aca="false">1223-94-94</f>
        <v>1035</v>
      </c>
      <c r="D19" s="13"/>
      <c r="E19" s="13" t="n">
        <f aca="false">C19/10</f>
        <v>103.5</v>
      </c>
      <c r="F19" s="13"/>
      <c r="G19" s="13" t="n">
        <v>94</v>
      </c>
      <c r="H19" s="13"/>
      <c r="I19" s="13" t="n">
        <v>94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 t="n">
        <f aca="false">SUM('Orig ''02 Plan Gross'!K19:AJ19)</f>
        <v>0</v>
      </c>
      <c r="AL19" s="13"/>
      <c r="AM19" s="13" t="n">
        <f aca="false">'Orig ''02 Plan Gross'!AK19</f>
        <v>0</v>
      </c>
      <c r="AN19" s="13"/>
      <c r="AO19" s="13" t="n">
        <f aca="false">AK19-AM19</f>
        <v>0</v>
      </c>
      <c r="AP19" s="0"/>
      <c r="AQ19" s="0"/>
      <c r="AR19" s="13"/>
    </row>
    <row r="20" customFormat="false" ht="12.75" hidden="false" customHeight="false" outlineLevel="0" collapsed="false">
      <c r="A20" s="12" t="s">
        <v>34</v>
      </c>
      <c r="C20" s="13" t="n">
        <f aca="false">741-73-58</f>
        <v>610</v>
      </c>
      <c r="D20" s="13"/>
      <c r="E20" s="13" t="n">
        <f aca="false">C20/10</f>
        <v>61</v>
      </c>
      <c r="F20" s="13"/>
      <c r="G20" s="13" t="n">
        <v>73</v>
      </c>
      <c r="H20" s="13"/>
      <c r="I20" s="13" t="n">
        <v>58</v>
      </c>
      <c r="J20" s="13"/>
      <c r="K20" s="13" t="n">
        <v>312.71</v>
      </c>
      <c r="L20" s="13"/>
      <c r="M20" s="13" t="n">
        <v>307.863</v>
      </c>
      <c r="N20" s="13"/>
      <c r="O20" s="13" t="n">
        <v>314.823</v>
      </c>
      <c r="P20" s="13"/>
      <c r="Q20" s="13" t="n">
        <v>315.848</v>
      </c>
      <c r="R20" s="13"/>
      <c r="S20" s="13" t="n">
        <v>313.273</v>
      </c>
      <c r="T20" s="13"/>
      <c r="U20" s="13" t="n">
        <v>314.018</v>
      </c>
      <c r="V20" s="13"/>
      <c r="W20" s="13" t="n">
        <v>307.573</v>
      </c>
      <c r="X20" s="13"/>
      <c r="Y20" s="13" t="n">
        <v>307.718</v>
      </c>
      <c r="Z20" s="13"/>
      <c r="AA20" s="13" t="n">
        <v>316.353</v>
      </c>
      <c r="AB20" s="13"/>
      <c r="AC20" s="13" t="n">
        <v>322.623</v>
      </c>
      <c r="AD20" s="13"/>
      <c r="AE20" s="13" t="n">
        <v>308.363</v>
      </c>
      <c r="AF20" s="13"/>
      <c r="AG20" s="13"/>
      <c r="AH20" s="13"/>
      <c r="AI20" s="13" t="n">
        <v>312.383</v>
      </c>
      <c r="AJ20" s="13"/>
      <c r="AK20" s="13" t="n">
        <f aca="false">SUM('Orig ''02 Plan Gross'!K20:AJ20)</f>
        <v>3753.548</v>
      </c>
      <c r="AL20" s="13"/>
      <c r="AM20" s="13" t="n">
        <f aca="false">'Orig ''02 Plan Gross'!AK20</f>
        <v>3753.548</v>
      </c>
      <c r="AN20" s="13"/>
      <c r="AO20" s="13" t="n">
        <f aca="false">AK20-AM20</f>
        <v>0</v>
      </c>
      <c r="AP20" s="0"/>
      <c r="AQ20" s="0"/>
      <c r="AR20" s="13"/>
    </row>
    <row r="21" customFormat="false" ht="12.75" hidden="false" customHeight="false" outlineLevel="0" collapsed="false">
      <c r="A21" s="12" t="s">
        <v>35</v>
      </c>
      <c r="C21" s="13"/>
      <c r="D21" s="13"/>
      <c r="E21" s="13" t="n">
        <f aca="false">C21/10</f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 t="n">
        <f aca="false">SUM('Orig ''02 Plan Gross'!K21:AJ21)</f>
        <v>0</v>
      </c>
      <c r="AL21" s="13"/>
      <c r="AM21" s="13" t="n">
        <f aca="false">'Orig ''02 Plan Gross'!AK21</f>
        <v>0</v>
      </c>
      <c r="AN21" s="13"/>
      <c r="AO21" s="13" t="n">
        <f aca="false">AK21-AM21</f>
        <v>0</v>
      </c>
      <c r="AP21" s="0"/>
      <c r="AQ21" s="0"/>
      <c r="AR21" s="13"/>
    </row>
    <row r="22" customFormat="false" ht="12.75" hidden="false" customHeight="false" outlineLevel="0" collapsed="false">
      <c r="A22" s="12" t="s">
        <v>36</v>
      </c>
      <c r="C22" s="13"/>
      <c r="D22" s="13"/>
      <c r="E22" s="13" t="n">
        <f aca="false">C22/10</f>
        <v>0</v>
      </c>
      <c r="F22" s="13"/>
      <c r="G22" s="13" t="n">
        <v>0</v>
      </c>
      <c r="H22" s="13"/>
      <c r="I22" s="13" t="n">
        <v>0</v>
      </c>
      <c r="J22" s="13"/>
      <c r="K22" s="13" t="n">
        <v>0</v>
      </c>
      <c r="L22" s="13"/>
      <c r="M22" s="13" t="n">
        <v>0</v>
      </c>
      <c r="N22" s="13"/>
      <c r="O22" s="13" t="n">
        <v>0</v>
      </c>
      <c r="P22" s="13"/>
      <c r="Q22" s="13" t="n">
        <v>0</v>
      </c>
      <c r="R22" s="13"/>
      <c r="S22" s="13" t="n">
        <v>0</v>
      </c>
      <c r="T22" s="13"/>
      <c r="U22" s="13" t="n">
        <v>0</v>
      </c>
      <c r="V22" s="13"/>
      <c r="W22" s="13" t="n">
        <v>0</v>
      </c>
      <c r="X22" s="13"/>
      <c r="Y22" s="13" t="n">
        <v>0</v>
      </c>
      <c r="Z22" s="13"/>
      <c r="AA22" s="13" t="n">
        <v>0</v>
      </c>
      <c r="AB22" s="13"/>
      <c r="AC22" s="13" t="n">
        <v>0</v>
      </c>
      <c r="AD22" s="13"/>
      <c r="AE22" s="13" t="n">
        <v>0</v>
      </c>
      <c r="AF22" s="13"/>
      <c r="AG22" s="13" t="e">
        <f aca="false">(W22-M22)/M22</f>
        <v>#DIV/0!</v>
      </c>
      <c r="AH22" s="13"/>
      <c r="AI22" s="13" t="n">
        <v>0</v>
      </c>
      <c r="AJ22" s="13"/>
      <c r="AK22" s="13" t="n">
        <f aca="false">SUM('Orig ''02 Plan Gross'!K22:AJ22)</f>
        <v>0</v>
      </c>
      <c r="AL22" s="13"/>
      <c r="AM22" s="13" t="n">
        <f aca="false">'Orig ''02 Plan Gross'!AK22</f>
        <v>0</v>
      </c>
      <c r="AN22" s="13"/>
      <c r="AO22" s="13" t="n">
        <f aca="false">AK22-AM22</f>
        <v>0</v>
      </c>
      <c r="AP22" s="0"/>
      <c r="AQ22" s="0"/>
      <c r="AR22" s="13"/>
    </row>
    <row r="23" customFormat="false" ht="12.75" hidden="false" customHeight="false" outlineLevel="0" collapsed="false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0"/>
      <c r="AQ23" s="0"/>
      <c r="AR23" s="13"/>
    </row>
    <row r="24" customFormat="false" ht="13.5" hidden="false" customHeight="false" outlineLevel="0" collapsed="false">
      <c r="A24" s="12" t="s">
        <v>25</v>
      </c>
      <c r="C24" s="15" t="n">
        <f aca="false">SUM(C13:C23)</f>
        <v>11312.897</v>
      </c>
      <c r="D24" s="13"/>
      <c r="E24" s="15" t="n">
        <f aca="false">SUM(E13:E23)</f>
        <v>1131.2897</v>
      </c>
      <c r="F24" s="13"/>
      <c r="G24" s="15" t="n">
        <f aca="false">SUM(G13:G23)</f>
        <v>1397.642</v>
      </c>
      <c r="H24" s="13"/>
      <c r="I24" s="15" t="n">
        <f aca="false">SUM(I13:I23)</f>
        <v>1498.642</v>
      </c>
      <c r="J24" s="13"/>
      <c r="K24" s="15" t="n">
        <f aca="false">SUM(K13:K23)</f>
        <v>1315.303</v>
      </c>
      <c r="L24" s="13"/>
      <c r="M24" s="15" t="n">
        <f aca="false">SUM(M13:M23)</f>
        <v>1348.641</v>
      </c>
      <c r="N24" s="13"/>
      <c r="O24" s="15" t="n">
        <f aca="false">SUM(O13:O23)</f>
        <v>1337.552</v>
      </c>
      <c r="P24" s="13"/>
      <c r="Q24" s="15" t="n">
        <f aca="false">SUM(Q13:Q23)</f>
        <v>1333.152</v>
      </c>
      <c r="R24" s="13"/>
      <c r="S24" s="15" t="n">
        <f aca="false">SUM(S13:S23)</f>
        <v>1333.515</v>
      </c>
      <c r="T24" s="13"/>
      <c r="U24" s="15" t="n">
        <f aca="false">SUM(U13:U23)</f>
        <v>1339.165</v>
      </c>
      <c r="V24" s="13"/>
      <c r="W24" s="15" t="n">
        <f aca="false">SUM(W13:W23)</f>
        <v>1328.207</v>
      </c>
      <c r="X24" s="13"/>
      <c r="Y24" s="15" t="n">
        <f aca="false">SUM(Y13:Y23)</f>
        <v>1325.377</v>
      </c>
      <c r="Z24" s="13"/>
      <c r="AA24" s="15" t="n">
        <f aca="false">SUM(AA13:AA23)</f>
        <v>1335.473</v>
      </c>
      <c r="AB24" s="13"/>
      <c r="AC24" s="15" t="n">
        <f aca="false">SUM(AC13:AC23)</f>
        <v>1345.811</v>
      </c>
      <c r="AD24" s="13"/>
      <c r="AE24" s="15" t="n">
        <f aca="false">SUM(AE13:AE23)</f>
        <v>1328.028</v>
      </c>
      <c r="AF24" s="13"/>
      <c r="AG24" s="15" t="n">
        <f aca="false">(W24-M24)/M24</f>
        <v>-0.0151515488554776</v>
      </c>
      <c r="AH24" s="13"/>
      <c r="AI24" s="15" t="n">
        <f aca="false">SUM(AI13:AI23)</f>
        <v>1321.279</v>
      </c>
      <c r="AJ24" s="13"/>
      <c r="AK24" s="15" t="n">
        <f aca="false">SUM(AK13:AK23)</f>
        <v>15991.3060100363</v>
      </c>
      <c r="AL24" s="13"/>
      <c r="AM24" s="15" t="n">
        <f aca="false">'Orig ''02 Plan Gross'!AK24</f>
        <v>15991.3060100363</v>
      </c>
      <c r="AN24" s="13"/>
      <c r="AO24" s="15" t="n">
        <f aca="false">AK24-AM24</f>
        <v>0</v>
      </c>
      <c r="AP24" s="0"/>
      <c r="AQ24" s="0"/>
      <c r="AR24" s="13"/>
    </row>
    <row r="25" customFormat="false" ht="25.5" hidden="false" customHeight="true" outlineLevel="0" collapsed="false">
      <c r="A25" s="12"/>
      <c r="C25" s="13" t="s">
        <v>37</v>
      </c>
      <c r="D25" s="13"/>
      <c r="E25" s="13" t="s">
        <v>37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6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 t="s">
        <v>37</v>
      </c>
      <c r="AQ25" s="13"/>
      <c r="AR25" s="13"/>
    </row>
    <row r="26" customFormat="false" ht="12.75" hidden="false" customHeight="false" outlineLevel="0" collapsed="false">
      <c r="A26" s="12" t="s">
        <v>38</v>
      </c>
      <c r="B26" s="0"/>
      <c r="C26" s="13"/>
      <c r="D26" s="13"/>
      <c r="E26" s="13"/>
      <c r="F26" s="13"/>
      <c r="G26" s="13"/>
      <c r="H26" s="13"/>
      <c r="I26" s="13"/>
      <c r="J26" s="13"/>
      <c r="K26" s="13" t="n">
        <f aca="false">'Orig ''02 Plan Gross'!K24</f>
        <v>1315.303</v>
      </c>
      <c r="L26" s="13"/>
      <c r="M26" s="13" t="n">
        <f aca="false">'Orig ''02 Plan Gross'!M24</f>
        <v>1348.641</v>
      </c>
      <c r="N26" s="13"/>
      <c r="O26" s="13" t="n">
        <f aca="false">'Orig ''02 Plan Gross'!O24</f>
        <v>1337.552</v>
      </c>
      <c r="P26" s="13"/>
      <c r="Q26" s="13" t="n">
        <f aca="false">'Orig ''02 Plan Gross'!Q24</f>
        <v>1333.152</v>
      </c>
      <c r="R26" s="13"/>
      <c r="S26" s="13" t="n">
        <f aca="false">'Orig ''02 Plan Gross'!S24</f>
        <v>1333.515</v>
      </c>
      <c r="T26" s="13"/>
      <c r="U26" s="13" t="n">
        <f aca="false">'Orig ''02 Plan Gross'!U24</f>
        <v>1339.165</v>
      </c>
      <c r="V26" s="13"/>
      <c r="W26" s="13" t="n">
        <f aca="false">'Orig ''02 Plan Gross'!W24</f>
        <v>1328.207</v>
      </c>
      <c r="X26" s="13"/>
      <c r="Y26" s="13" t="n">
        <f aca="false">'Orig ''02 Plan Gross'!Y24</f>
        <v>1325.377</v>
      </c>
      <c r="Z26" s="13"/>
      <c r="AA26" s="13" t="n">
        <f aca="false">'Orig ''02 Plan Gross'!AA24</f>
        <v>1335.473</v>
      </c>
      <c r="AB26" s="13"/>
      <c r="AC26" s="13" t="n">
        <f aca="false">'Orig ''02 Plan Gross'!AC24</f>
        <v>1345.811</v>
      </c>
      <c r="AD26" s="13"/>
      <c r="AE26" s="13" t="n">
        <f aca="false">'Orig ''02 Plan Gross'!AE24</f>
        <v>1328.028</v>
      </c>
      <c r="AF26" s="13"/>
      <c r="AG26" s="13"/>
      <c r="AH26" s="13"/>
      <c r="AI26" s="13" t="n">
        <f aca="false">'Orig ''02 Plan Gross'!AI24</f>
        <v>1321.279</v>
      </c>
      <c r="AJ26" s="13"/>
      <c r="AK26" s="13"/>
      <c r="AL26" s="13"/>
      <c r="AM26" s="13"/>
      <c r="AN26" s="13"/>
      <c r="AO26" s="13" t="s">
        <v>37</v>
      </c>
      <c r="AP26" s="13"/>
      <c r="AQ26" s="13"/>
      <c r="AR26" s="13"/>
      <c r="AS26" s="13"/>
      <c r="AT26" s="13"/>
    </row>
    <row r="27" customFormat="false" ht="12.75" hidden="false" customHeight="fals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17"/>
    </row>
    <row r="28" customFormat="false" ht="12.75" hidden="false" customHeight="false" outlineLevel="0" collapsed="false">
      <c r="A28" s="0" t="s">
        <v>39</v>
      </c>
      <c r="B28" s="0"/>
      <c r="C28" s="0"/>
      <c r="D28" s="0"/>
      <c r="E28" s="0"/>
      <c r="F28" s="0"/>
      <c r="G28" s="0"/>
      <c r="H28" s="0"/>
      <c r="I28" s="0"/>
      <c r="J28" s="0"/>
      <c r="K28" s="18" t="n">
        <f aca="false">K24-K26</f>
        <v>0</v>
      </c>
      <c r="L28" s="0"/>
      <c r="M28" s="18" t="n">
        <f aca="false">M24-M26</f>
        <v>0</v>
      </c>
      <c r="N28" s="0"/>
      <c r="O28" s="18" t="n">
        <f aca="false">O24-O26</f>
        <v>0</v>
      </c>
      <c r="P28" s="0"/>
      <c r="Q28" s="18" t="n">
        <f aca="false">Q24-Q26</f>
        <v>0</v>
      </c>
      <c r="R28" s="0"/>
      <c r="S28" s="18" t="n">
        <f aca="false">S24-S26</f>
        <v>0</v>
      </c>
      <c r="T28" s="0"/>
      <c r="U28" s="18" t="n">
        <f aca="false">U24-U26</f>
        <v>0</v>
      </c>
      <c r="V28" s="0"/>
      <c r="W28" s="18" t="n">
        <f aca="false">W24-W26</f>
        <v>0</v>
      </c>
      <c r="X28" s="0"/>
      <c r="Y28" s="18" t="n">
        <f aca="false">Y24-Y26</f>
        <v>0</v>
      </c>
      <c r="Z28" s="0"/>
      <c r="AA28" s="18" t="n">
        <f aca="false">AA24-AA26</f>
        <v>0</v>
      </c>
      <c r="AB28" s="0"/>
      <c r="AC28" s="18" t="n">
        <f aca="false">AC24-AC26</f>
        <v>0</v>
      </c>
      <c r="AD28" s="0"/>
      <c r="AE28" s="18" t="n">
        <f aca="false">AE24-AE26</f>
        <v>0</v>
      </c>
      <c r="AF28" s="0"/>
      <c r="AG28" s="0"/>
      <c r="AH28" s="0"/>
      <c r="AI28" s="18" t="n">
        <f aca="false">AI24-AI26</f>
        <v>0</v>
      </c>
      <c r="AJ28" s="19"/>
      <c r="AM28" s="18"/>
      <c r="AN28" s="18"/>
      <c r="AS28" s="18"/>
      <c r="AT28" s="18"/>
    </row>
    <row r="29" customFormat="false" ht="12.75" hidden="false" customHeight="fals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17"/>
    </row>
    <row r="30" customFormat="false" ht="12.75" hidden="false" customHeight="false" outlineLevel="0" collapsed="false">
      <c r="A30" s="0" t="s">
        <v>40</v>
      </c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17"/>
    </row>
    <row r="31" customFormat="false" ht="12.75" hidden="false" customHeight="false" outlineLevel="0" collapsed="false">
      <c r="A31" s="0" t="s">
        <v>41</v>
      </c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17"/>
    </row>
    <row r="32" customFormat="false" ht="12.75" hidden="false" customHeight="false" outlineLevel="0" collapsed="false">
      <c r="A32" s="20" t="s">
        <v>42</v>
      </c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17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17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17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17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17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17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17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17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17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17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17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17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17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17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17"/>
    </row>
    <row r="47" customFormat="false" ht="12.75" hidden="false" customHeight="fals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17"/>
    </row>
    <row r="48" customFormat="false" ht="12.75" hidden="fals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17"/>
    </row>
    <row r="49" customFormat="false" ht="12.75" hidden="false" customHeight="fals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17"/>
    </row>
    <row r="50" customFormat="false" ht="12.75" hidden="false" customHeight="false" outlineLevel="0" collapsed="false">
      <c r="A50" s="21" t="str">
        <f aca="true">CELL("filename")</f>
        <v>'file:///mnt/12tb/@roms/datasets/enron/EDRM Enron Email Data Set v2 XML/filtered-attachments/xls/OM_EST___OSS___2001___2002_REVISED_FORMAT.xls'#$Gross</v>
      </c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customFormat="false" ht="12.75" hidden="false" customHeight="false" outlineLevel="0" collapsed="false">
      <c r="A51" s="23" t="n">
        <f aca="true">NOW()</f>
        <v>45926.8935504142</v>
      </c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customFormat="false" ht="12.75" hidden="false" customHeight="false" outlineLevel="0" collapsed="false">
      <c r="A52" s="21"/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customFormat="false" ht="12.75" hidden="false" customHeight="false" outlineLevel="0" collapsed="false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customFormat="false" ht="12.75" hidden="false" customHeight="false" outlineLevel="0" collapsed="false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customFormat="false" ht="12.75" hidden="false" customHeight="false" outlineLevel="0" collapsed="false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customFormat="false" ht="12.75" hidden="false" customHeight="false" outlineLevel="0" collapsed="false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customFormat="false" ht="12.75" hidden="false" customHeight="false" outlineLevel="0" collapsed="false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customFormat="false" ht="12.75" hidden="false" customHeight="false" outlineLevel="0" collapsed="false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customFormat="false" ht="12.75" hidden="false" customHeight="false" outlineLevel="0" collapsed="false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customFormat="false" ht="12.75" hidden="false" customHeight="false" outlineLevel="0" collapsed="false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customFormat="false" ht="12.75" hidden="false" customHeight="false" outlineLevel="0" collapsed="false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customFormat="false" ht="12.75" hidden="false" customHeight="false" outlineLevel="0" collapsed="false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customFormat="false" ht="12.75" hidden="false" customHeight="false" outlineLevel="0" collapsed="false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customFormat="false" ht="12.75" hidden="false" customHeight="false" outlineLevel="0" collapsed="false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customFormat="false" ht="12.75" hidden="false" customHeight="false" outlineLevel="0" collapsed="false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customFormat="false" ht="12.75" hidden="false" customHeight="false" outlineLevel="0" collapsed="false"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customFormat="false" ht="12.75" hidden="false" customHeight="false" outlineLevel="0" collapsed="false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customFormat="false" ht="12.75" hidden="false" customHeight="false" outlineLevel="0" collapsed="false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customFormat="false" ht="12.75" hidden="false" customHeight="false" outlineLevel="0" collapsed="false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customFormat="false" ht="12.75" hidden="false" customHeight="false" outlineLevel="0" collapsed="false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customFormat="false" ht="12.75" hidden="false" customHeight="false" outlineLevel="0" collapsed="false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customFormat="false" ht="12.75" hidden="false" customHeight="false" outlineLevel="0" collapsed="false"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customFormat="false" ht="12.75" hidden="false" customHeight="false" outlineLevel="0" collapsed="false"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customFormat="false" ht="12.75" hidden="false" customHeight="false" outlineLevel="0" collapsed="false"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customFormat="false" ht="12.75" hidden="false" customHeight="false" outlineLevel="0" collapsed="false"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customFormat="false" ht="12.75" hidden="false" customHeight="false" outlineLevel="0" collapsed="false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</row>
    <row r="77" customFormat="false" ht="12.75" hidden="false" customHeight="false" outlineLevel="0" collapsed="false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</row>
    <row r="78" customFormat="false" ht="12.75" hidden="false" customHeight="false" outlineLevel="0" collapsed="false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</row>
    <row r="79" customFormat="false" ht="12.75" hidden="false" customHeight="false" outlineLevel="0" collapsed="false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</row>
    <row r="80" customFormat="false" ht="12.75" hidden="false" customHeight="false" outlineLevel="0" collapsed="false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</row>
    <row r="81" customFormat="false" ht="12.75" hidden="false" customHeight="false" outlineLevel="0" collapsed="false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</row>
    <row r="82" customFormat="false" ht="12.75" hidden="false" customHeight="false" outlineLevel="0" collapsed="false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</row>
    <row r="83" customFormat="false" ht="12.75" hidden="false" customHeight="false" outlineLevel="0" collapsed="false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</row>
    <row r="84" customFormat="false" ht="12.75" hidden="false" customHeight="false" outlineLevel="0" collapsed="false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</row>
    <row r="85" customFormat="false" ht="12.75" hidden="false" customHeight="false" outlineLevel="0" collapsed="false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</row>
    <row r="86" customFormat="false" ht="12.75" hidden="false" customHeight="false" outlineLevel="0" collapsed="false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</row>
    <row r="87" customFormat="false" ht="12.75" hidden="false" customHeight="false" outlineLevel="0" collapsed="false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</row>
    <row r="88" customFormat="false" ht="12.75" hidden="false" customHeight="false" outlineLevel="0" collapsed="false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</row>
    <row r="89" customFormat="false" ht="12.75" hidden="false" customHeight="false" outlineLevel="0" collapsed="false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</row>
    <row r="90" customFormat="false" ht="12.75" hidden="false" customHeight="false" outlineLevel="0" collapsed="false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</row>
    <row r="91" customFormat="false" ht="12.75" hidden="false" customHeight="false" outlineLevel="0" collapsed="false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</row>
    <row r="92" customFormat="false" ht="12.75" hidden="false" customHeight="false" outlineLevel="0" collapsed="false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</row>
    <row r="93" customFormat="false" ht="12.75" hidden="false" customHeight="false" outlineLevel="0" collapsed="false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</row>
    <row r="94" customFormat="false" ht="12.75" hidden="false" customHeight="false" outlineLevel="0" collapsed="false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</row>
    <row r="95" customFormat="false" ht="12.75" hidden="false" customHeight="false" outlineLevel="0" collapsed="false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</row>
    <row r="96" customFormat="false" ht="12.75" hidden="false" customHeight="false" outlineLevel="0" collapsed="false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</row>
    <row r="97" customFormat="false" ht="12.75" hidden="false" customHeight="false" outlineLevel="0" collapsed="false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</row>
    <row r="98" customFormat="false" ht="12.75" hidden="false" customHeight="false" outlineLevel="0" collapsed="false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</row>
    <row r="99" customFormat="false" ht="12.75" hidden="false" customHeight="false" outlineLevel="0" collapsed="false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</row>
    <row r="100" customFormat="false" ht="12.75" hidden="false" customHeight="false" outlineLevel="0" collapsed="false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</row>
    <row r="101" customFormat="false" ht="12.75" hidden="false" customHeight="false" outlineLevel="0" collapsed="false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</row>
    <row r="102" customFormat="false" ht="12.75" hidden="false" customHeight="false" outlineLevel="0" collapsed="false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</row>
    <row r="103" customFormat="false" ht="12.75" hidden="false" customHeight="false" outlineLevel="0" collapsed="false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</row>
    <row r="104" customFormat="false" ht="12.75" hidden="false" customHeight="false" outlineLevel="0" collapsed="false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</row>
    <row r="105" customFormat="false" ht="12.75" hidden="false" customHeight="false" outlineLevel="0" collapsed="false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</row>
    <row r="106" customFormat="false" ht="12.75" hidden="false" customHeight="false" outlineLevel="0" collapsed="false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</row>
    <row r="107" customFormat="false" ht="12.75" hidden="false" customHeight="false" outlineLevel="0" collapsed="false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</row>
    <row r="108" customFormat="false" ht="12.75" hidden="false" customHeight="false" outlineLevel="0" collapsed="false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</row>
    <row r="109" customFormat="false" ht="12.75" hidden="false" customHeight="false" outlineLevel="0" collapsed="false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</row>
    <row r="110" customFormat="false" ht="12.75" hidden="false" customHeight="false" outlineLevel="0" collapsed="false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</row>
    <row r="111" customFormat="false" ht="12.75" hidden="false" customHeight="false" outlineLevel="0" collapsed="false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</row>
    <row r="112" customFormat="false" ht="12.75" hidden="false" customHeight="false" outlineLevel="0" collapsed="false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</row>
  </sheetData>
  <mergeCells count="4">
    <mergeCell ref="A1:AE1"/>
    <mergeCell ref="A2:AE2"/>
    <mergeCell ref="A3:AE3"/>
    <mergeCell ref="A4:AE4"/>
  </mergeCells>
  <printOptions headings="false" gridLines="false" gridLinesSet="true" horizontalCentered="true" verticalCentered="false"/>
  <pageMargins left="0" right="0" top="0.75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2"/>
  <sheetViews>
    <sheetView showFormulas="false" showGridLines="false" showRowColHeaders="true" showZeros="true" rightToLeft="false" tabSelected="false" showOutlineSymbols="true" defaultGridColor="true" view="normal" topLeftCell="P4" colorId="64" zoomScale="100" zoomScaleNormal="100" zoomScalePageLayoutView="100" workbookViewId="0">
      <selection pane="topLeft" activeCell="A35" activeCellId="0" sqref="A3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14"/>
    <col collapsed="false" customWidth="true" hidden="false" outlineLevel="0" max="2" min="2" style="1" width="2.13"/>
    <col collapsed="false" customWidth="true" hidden="false" outlineLevel="0" max="3" min="3" style="1" width="10.71"/>
    <col collapsed="false" customWidth="true" hidden="false" outlineLevel="0" max="4" min="4" style="1" width="1.7"/>
    <col collapsed="false" customWidth="true" hidden="false" outlineLevel="0" max="5" min="5" style="1" width="10.71"/>
    <col collapsed="false" customWidth="true" hidden="false" outlineLevel="0" max="6" min="6" style="1" width="3.7"/>
    <col collapsed="false" customWidth="true" hidden="false" outlineLevel="0" max="7" min="7" style="1" width="10.71"/>
    <col collapsed="false" customWidth="true" hidden="false" outlineLevel="0" max="8" min="8" style="1" width="1.7"/>
    <col collapsed="false" customWidth="true" hidden="false" outlineLevel="0" max="9" min="9" style="1" width="10.71"/>
    <col collapsed="false" customWidth="true" hidden="false" outlineLevel="0" max="10" min="10" style="1" width="1.7"/>
    <col collapsed="false" customWidth="true" hidden="false" outlineLevel="0" max="11" min="11" style="1" width="6.7"/>
    <col collapsed="false" customWidth="true" hidden="false" outlineLevel="0" max="12" min="12" style="1" width="1.7"/>
    <col collapsed="false" customWidth="true" hidden="false" outlineLevel="0" max="13" min="13" style="1" width="6.7"/>
    <col collapsed="false" customWidth="true" hidden="false" outlineLevel="0" max="14" min="14" style="1" width="1.7"/>
    <col collapsed="false" customWidth="true" hidden="false" outlineLevel="0" max="15" min="15" style="1" width="6.7"/>
    <col collapsed="false" customWidth="true" hidden="false" outlineLevel="0" max="16" min="16" style="1" width="1.7"/>
    <col collapsed="false" customWidth="true" hidden="false" outlineLevel="0" max="17" min="17" style="1" width="6.7"/>
    <col collapsed="false" customWidth="true" hidden="false" outlineLevel="0" max="18" min="18" style="1" width="1.7"/>
    <col collapsed="false" customWidth="true" hidden="false" outlineLevel="0" max="19" min="19" style="1" width="6.7"/>
    <col collapsed="false" customWidth="true" hidden="false" outlineLevel="0" max="20" min="20" style="1" width="1.7"/>
    <col collapsed="false" customWidth="true" hidden="false" outlineLevel="0" max="21" min="21" style="1" width="6.7"/>
    <col collapsed="false" customWidth="true" hidden="false" outlineLevel="0" max="22" min="22" style="1" width="1.7"/>
    <col collapsed="false" customWidth="true" hidden="false" outlineLevel="0" max="23" min="23" style="1" width="6.7"/>
    <col collapsed="false" customWidth="true" hidden="false" outlineLevel="0" max="24" min="24" style="1" width="1.7"/>
    <col collapsed="false" customWidth="true" hidden="false" outlineLevel="0" max="25" min="25" style="1" width="6.7"/>
    <col collapsed="false" customWidth="true" hidden="false" outlineLevel="0" max="26" min="26" style="1" width="1.7"/>
    <col collapsed="false" customWidth="true" hidden="false" outlineLevel="0" max="27" min="27" style="1" width="6.7"/>
    <col collapsed="false" customWidth="true" hidden="false" outlineLevel="0" max="28" min="28" style="1" width="1.7"/>
    <col collapsed="false" customWidth="true" hidden="false" outlineLevel="0" max="29" min="29" style="1" width="6.7"/>
    <col collapsed="false" customWidth="true" hidden="false" outlineLevel="0" max="30" min="30" style="1" width="1.7"/>
    <col collapsed="false" customWidth="true" hidden="false" outlineLevel="0" max="31" min="31" style="1" width="6.7"/>
    <col collapsed="false" customWidth="true" hidden="false" outlineLevel="0" max="32" min="32" style="1" width="1.7"/>
    <col collapsed="false" customWidth="true" hidden="true" outlineLevel="0" max="33" min="33" style="1" width="11.7"/>
    <col collapsed="false" customWidth="true" hidden="true" outlineLevel="0" max="34" min="34" style="1" width="1.85"/>
    <col collapsed="false" customWidth="true" hidden="false" outlineLevel="0" max="35" min="35" style="1" width="6.7"/>
    <col collapsed="false" customWidth="true" hidden="false" outlineLevel="0" max="36" min="36" style="1" width="1.7"/>
    <col collapsed="false" customWidth="true" hidden="false" outlineLevel="0" max="37" min="37" style="1" width="8.99"/>
    <col collapsed="false" customWidth="true" hidden="false" outlineLevel="0" max="38" min="38" style="1" width="1.56"/>
    <col collapsed="false" customWidth="true" hidden="false" outlineLevel="0" max="39" min="39" style="1" width="10.28"/>
    <col collapsed="false" customWidth="true" hidden="false" outlineLevel="0" max="40" min="40" style="1" width="1.7"/>
    <col collapsed="false" customWidth="false" hidden="false" outlineLevel="0" max="41" min="41" style="1" width="9.14"/>
    <col collapsed="false" customWidth="true" hidden="false" outlineLevel="0" max="42" min="42" style="1" width="9.28"/>
    <col collapsed="false" customWidth="false" hidden="false" outlineLevel="0" max="257" min="43" style="1" width="9.14"/>
  </cols>
  <sheetData>
    <row r="1" customFormat="false" ht="15.75" hidden="false" customHeight="false" outlineLevel="0" collapsed="false">
      <c r="A1" s="3" t="s">
        <v>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5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5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customFormat="false" ht="15.75" hidden="false" customHeight="false" outlineLevel="0" collapsed="false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customFormat="false" ht="12.75" hidden="false" customHeight="false" outlineLevel="0" collapsed="false">
      <c r="A6" s="7"/>
    </row>
    <row r="8" customFormat="false" ht="12.75" hidden="false" customHeight="false" outlineLevel="0" collapsed="false">
      <c r="A8" s="2"/>
      <c r="B8" s="2"/>
      <c r="C8" s="8"/>
      <c r="D8" s="8"/>
      <c r="E8" s="8"/>
      <c r="F8" s="8"/>
      <c r="G8" s="8"/>
      <c r="H8" s="8"/>
      <c r="I8" s="8"/>
      <c r="J8" s="8"/>
      <c r="K8" s="8"/>
      <c r="L8" s="2"/>
      <c r="M8" s="8"/>
      <c r="N8" s="8"/>
      <c r="O8" s="8"/>
      <c r="P8" s="8"/>
      <c r="Q8" s="8"/>
      <c r="R8" s="8"/>
      <c r="S8" s="8"/>
      <c r="T8" s="8"/>
      <c r="U8" s="8"/>
      <c r="V8" s="2"/>
      <c r="W8" s="8"/>
      <c r="X8" s="8"/>
      <c r="Y8" s="8"/>
      <c r="Z8" s="8"/>
      <c r="AA8" s="8"/>
      <c r="AB8" s="8"/>
      <c r="AC8" s="8"/>
      <c r="AD8" s="8"/>
      <c r="AE8" s="8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2.75" hidden="false" customHeight="false" outlineLevel="0" collapsed="false">
      <c r="E9" s="9"/>
      <c r="O9" s="9"/>
      <c r="Y9" s="9"/>
      <c r="AM9" s="9" t="s">
        <v>4</v>
      </c>
    </row>
    <row r="10" customFormat="false" ht="12.75" hidden="false" customHeight="false" outlineLevel="0" collapsed="false">
      <c r="C10" s="9" t="s">
        <v>44</v>
      </c>
      <c r="D10" s="0"/>
      <c r="E10" s="9" t="s">
        <v>44</v>
      </c>
      <c r="F10" s="0"/>
      <c r="G10" s="9" t="s">
        <v>44</v>
      </c>
      <c r="H10" s="10"/>
      <c r="I10" s="9" t="s">
        <v>44</v>
      </c>
      <c r="J10" s="0"/>
      <c r="K10" s="9" t="s">
        <v>44</v>
      </c>
      <c r="M10" s="9" t="s">
        <v>44</v>
      </c>
      <c r="O10" s="9" t="s">
        <v>44</v>
      </c>
      <c r="P10" s="0"/>
      <c r="Q10" s="9" t="s">
        <v>44</v>
      </c>
      <c r="R10" s="10"/>
      <c r="S10" s="9" t="s">
        <v>44</v>
      </c>
      <c r="U10" s="9" t="s">
        <v>44</v>
      </c>
      <c r="W10" s="9" t="s">
        <v>44</v>
      </c>
      <c r="Y10" s="9" t="s">
        <v>44</v>
      </c>
      <c r="AA10" s="9" t="s">
        <v>44</v>
      </c>
      <c r="AB10" s="10"/>
      <c r="AC10" s="9" t="s">
        <v>44</v>
      </c>
      <c r="AE10" s="9" t="s">
        <v>44</v>
      </c>
      <c r="AG10" s="9" t="s">
        <v>6</v>
      </c>
      <c r="AI10" s="9" t="s">
        <v>44</v>
      </c>
      <c r="AM10" s="9" t="s">
        <v>44</v>
      </c>
    </row>
    <row r="11" customFormat="false" ht="12.75" hidden="false" customHeight="false" outlineLevel="0" collapsed="false">
      <c r="C11" s="9" t="s">
        <v>7</v>
      </c>
      <c r="D11" s="9"/>
      <c r="E11" s="9" t="s">
        <v>8</v>
      </c>
      <c r="F11" s="9"/>
      <c r="G11" s="9" t="n">
        <v>2001</v>
      </c>
      <c r="H11" s="9"/>
      <c r="I11" s="9" t="n">
        <v>2001</v>
      </c>
      <c r="J11" s="9"/>
      <c r="K11" s="9" t="n">
        <v>2002</v>
      </c>
      <c r="M11" s="9" t="n">
        <v>2002</v>
      </c>
      <c r="N11" s="9"/>
      <c r="O11" s="9" t="n">
        <v>2002</v>
      </c>
      <c r="P11" s="9"/>
      <c r="Q11" s="9" t="n">
        <v>2002</v>
      </c>
      <c r="R11" s="9"/>
      <c r="S11" s="9" t="n">
        <v>2002</v>
      </c>
      <c r="T11" s="9"/>
      <c r="U11" s="9" t="n">
        <v>2002</v>
      </c>
      <c r="W11" s="9" t="n">
        <v>2002</v>
      </c>
      <c r="Y11" s="9" t="n">
        <v>2002</v>
      </c>
      <c r="AA11" s="9" t="n">
        <v>2002</v>
      </c>
      <c r="AB11" s="9"/>
      <c r="AC11" s="9" t="n">
        <v>2002</v>
      </c>
      <c r="AD11" s="9"/>
      <c r="AE11" s="9" t="n">
        <v>2002</v>
      </c>
      <c r="AG11" s="8" t="s">
        <v>9</v>
      </c>
      <c r="AI11" s="9" t="n">
        <v>2002</v>
      </c>
      <c r="AK11" s="9" t="n">
        <v>2002</v>
      </c>
      <c r="AM11" s="9" t="n">
        <v>2002</v>
      </c>
    </row>
    <row r="12" customFormat="false" ht="12.75" hidden="false" customHeight="false" outlineLevel="0" collapsed="false">
      <c r="A12" s="11" t="s">
        <v>10</v>
      </c>
      <c r="C12" s="11" t="s">
        <v>11</v>
      </c>
      <c r="D12" s="9"/>
      <c r="E12" s="11" t="s">
        <v>12</v>
      </c>
      <c r="F12" s="8"/>
      <c r="G12" s="11" t="s">
        <v>13</v>
      </c>
      <c r="H12" s="8"/>
      <c r="I12" s="11" t="s">
        <v>14</v>
      </c>
      <c r="J12" s="9"/>
      <c r="K12" s="11" t="s">
        <v>15</v>
      </c>
      <c r="M12" s="11" t="s">
        <v>16</v>
      </c>
      <c r="N12" s="9"/>
      <c r="O12" s="11" t="s">
        <v>17</v>
      </c>
      <c r="P12" s="8"/>
      <c r="Q12" s="11" t="s">
        <v>18</v>
      </c>
      <c r="R12" s="8"/>
      <c r="S12" s="11" t="s">
        <v>19</v>
      </c>
      <c r="T12" s="9"/>
      <c r="U12" s="11" t="s">
        <v>20</v>
      </c>
      <c r="W12" s="11" t="s">
        <v>21</v>
      </c>
      <c r="Y12" s="11" t="s">
        <v>22</v>
      </c>
      <c r="AA12" s="11" t="s">
        <v>23</v>
      </c>
      <c r="AB12" s="8"/>
      <c r="AC12" s="11" t="s">
        <v>7</v>
      </c>
      <c r="AD12" s="9"/>
      <c r="AE12" s="11" t="s">
        <v>13</v>
      </c>
      <c r="AF12" s="2"/>
      <c r="AG12" s="11" t="s">
        <v>24</v>
      </c>
      <c r="AH12" s="2"/>
      <c r="AI12" s="11" t="s">
        <v>14</v>
      </c>
      <c r="AJ12" s="2"/>
      <c r="AK12" s="11" t="s">
        <v>25</v>
      </c>
      <c r="AL12" s="2"/>
      <c r="AM12" s="11" t="s">
        <v>25</v>
      </c>
      <c r="AO12" s="11" t="s">
        <v>26</v>
      </c>
    </row>
    <row r="13" customFormat="false" ht="12.75" hidden="false" customHeight="false" outlineLevel="0" collapsed="false">
      <c r="A13" s="12" t="s">
        <v>27</v>
      </c>
      <c r="C13" s="13" t="n">
        <f aca="false">4301-496-540+275.288-22.038-22.038</f>
        <v>3496.212</v>
      </c>
      <c r="D13" s="13"/>
      <c r="E13" s="13" t="n">
        <f aca="false">C13/10</f>
        <v>349.6212</v>
      </c>
      <c r="F13" s="13"/>
      <c r="G13" s="13" t="n">
        <f aca="false">496+22.039</f>
        <v>518.039</v>
      </c>
      <c r="H13" s="13"/>
      <c r="I13" s="13" t="n">
        <f aca="false">540+22.039</f>
        <v>562.039</v>
      </c>
      <c r="J13" s="13"/>
      <c r="K13" s="13" t="n">
        <f aca="false">391.959+21.14</f>
        <v>413.099</v>
      </c>
      <c r="L13" s="13"/>
      <c r="M13" s="13" t="n">
        <f aca="false">398.81+33.759</f>
        <v>432.569</v>
      </c>
      <c r="N13" s="13"/>
      <c r="O13" s="13" t="n">
        <f aca="false">400.923+22.039</f>
        <v>422.962</v>
      </c>
      <c r="P13" s="13"/>
      <c r="Q13" s="13" t="n">
        <f aca="false">400.346+22.039</f>
        <v>422.385</v>
      </c>
      <c r="R13" s="13"/>
      <c r="S13" s="13" t="n">
        <f aca="false">398.998+22.039</f>
        <v>421.037</v>
      </c>
      <c r="T13" s="13"/>
      <c r="U13" s="13" t="n">
        <f aca="false">402.461+22.039</f>
        <v>424.5</v>
      </c>
      <c r="V13" s="13"/>
      <c r="W13" s="13" t="n">
        <f aca="false">399.355+22.039</f>
        <v>421.394</v>
      </c>
      <c r="X13" s="13"/>
      <c r="Y13" s="13" t="n">
        <f aca="false">399.573+22.039</f>
        <v>421.612</v>
      </c>
      <c r="Z13" s="13"/>
      <c r="AA13" s="13" t="n">
        <f aca="false">402.203+22.039</f>
        <v>424.242</v>
      </c>
      <c r="AB13" s="13"/>
      <c r="AC13" s="13" t="n">
        <f aca="false">402.967+22.039</f>
        <v>425.006</v>
      </c>
      <c r="AD13" s="13"/>
      <c r="AE13" s="13" t="n">
        <f aca="false">401.689+22.039</f>
        <v>423.728</v>
      </c>
      <c r="AF13" s="13"/>
      <c r="AG13" s="13" t="n">
        <f aca="false">-448.4/11017</f>
        <v>-0.0407007352273759</v>
      </c>
      <c r="AH13" s="13"/>
      <c r="AI13" s="13" t="n">
        <f aca="false">382.849+22.039</f>
        <v>404.888</v>
      </c>
      <c r="AJ13" s="13"/>
      <c r="AK13" s="13" t="n">
        <f aca="false">SUM(K13:AI13)</f>
        <v>5057.38129926477</v>
      </c>
      <c r="AL13" s="13"/>
      <c r="AM13" s="13" t="n">
        <f aca="false">'Orig ''02 Plan Net'!AK13</f>
        <v>5057.38129926477</v>
      </c>
      <c r="AN13" s="13"/>
      <c r="AO13" s="13" t="n">
        <f aca="false">AK13-AM13</f>
        <v>0</v>
      </c>
      <c r="AP13" s="0"/>
      <c r="AQ13" s="0"/>
      <c r="AR13" s="13"/>
    </row>
    <row r="14" customFormat="false" ht="12.75" hidden="false" customHeight="false" outlineLevel="0" collapsed="false">
      <c r="A14" s="12" t="s">
        <v>28</v>
      </c>
      <c r="C14" s="13" t="n">
        <f aca="false">1046-89-102+37.954-3.038-3.038</f>
        <v>886.878</v>
      </c>
      <c r="D14" s="13"/>
      <c r="E14" s="13" t="n">
        <f aca="false">C14/10</f>
        <v>88.6878</v>
      </c>
      <c r="F14" s="13"/>
      <c r="G14" s="13" t="n">
        <f aca="false">89+3.038</f>
        <v>92.038</v>
      </c>
      <c r="H14" s="13"/>
      <c r="I14" s="13" t="n">
        <f aca="false">102+3.038</f>
        <v>105.038</v>
      </c>
      <c r="J14" s="13"/>
      <c r="K14" s="13" t="n">
        <f aca="false">87.938+2.9</f>
        <v>90.838</v>
      </c>
      <c r="L14" s="13"/>
      <c r="M14" s="13" t="n">
        <f aca="false">91.158+4.654</f>
        <v>95.812</v>
      </c>
      <c r="N14" s="13"/>
      <c r="O14" s="13" t="n">
        <f aca="false">96.562+3.039</f>
        <v>99.601</v>
      </c>
      <c r="P14" s="13"/>
      <c r="Q14" s="13" t="n">
        <f aca="false">92.413+3.039</f>
        <v>95.452</v>
      </c>
      <c r="R14" s="13"/>
      <c r="S14" s="13" t="n">
        <f aca="false">91.27+3.039</f>
        <v>94.309</v>
      </c>
      <c r="T14" s="13"/>
      <c r="U14" s="13" t="n">
        <f aca="false">95.394+3.039</f>
        <v>98.433</v>
      </c>
      <c r="V14" s="13"/>
      <c r="W14" s="13" t="n">
        <f aca="false">93.517+3.039</f>
        <v>96.556</v>
      </c>
      <c r="X14" s="13"/>
      <c r="Y14" s="13" t="n">
        <f aca="false">91.119+3.039</f>
        <v>94.158</v>
      </c>
      <c r="Z14" s="13"/>
      <c r="AA14" s="13" t="n">
        <f aca="false">93.579+3.039</f>
        <v>96.618</v>
      </c>
      <c r="AB14" s="13"/>
      <c r="AC14" s="13" t="n">
        <f aca="false">92.634+3.039</f>
        <v>95.673</v>
      </c>
      <c r="AD14" s="13"/>
      <c r="AE14" s="13" t="n">
        <f aca="false">91.159+3.039</f>
        <v>94.198</v>
      </c>
      <c r="AF14" s="13"/>
      <c r="AG14" s="13" t="n">
        <f aca="false">-102.4/1810</f>
        <v>-0.0565745856353591</v>
      </c>
      <c r="AH14" s="13"/>
      <c r="AI14" s="13" t="n">
        <f aca="false">87.189+3.039</f>
        <v>90.228</v>
      </c>
      <c r="AJ14" s="13"/>
      <c r="AK14" s="13" t="n">
        <f aca="false">SUM(K14:AI14)</f>
        <v>1141.81942541436</v>
      </c>
      <c r="AL14" s="13"/>
      <c r="AM14" s="13" t="n">
        <f aca="false">'Orig ''02 Plan Net'!AK14</f>
        <v>1141.81942541436</v>
      </c>
      <c r="AN14" s="13"/>
      <c r="AO14" s="13" t="n">
        <f aca="false">AK14-AM14</f>
        <v>0</v>
      </c>
      <c r="AP14" s="0"/>
      <c r="AQ14" s="0"/>
      <c r="AR14" s="13"/>
    </row>
    <row r="15" customFormat="false" ht="12.75" hidden="false" customHeight="false" outlineLevel="0" collapsed="false">
      <c r="A15" s="12" t="s">
        <v>29</v>
      </c>
      <c r="C15" s="13" t="n">
        <f aca="false">2664-275-295+107.637-8.617-8.617</f>
        <v>2184.403</v>
      </c>
      <c r="D15" s="13"/>
      <c r="E15" s="13" t="n">
        <f aca="false">C15/10</f>
        <v>218.4403</v>
      </c>
      <c r="F15" s="13"/>
      <c r="G15" s="13" t="n">
        <f aca="false">275+8.617</f>
        <v>283.617</v>
      </c>
      <c r="H15" s="13"/>
      <c r="I15" s="13" t="n">
        <f aca="false">295+8.617</f>
        <v>303.617</v>
      </c>
      <c r="J15" s="13"/>
      <c r="K15" s="13" t="n">
        <f aca="false">186.62+8.266</f>
        <v>194.886</v>
      </c>
      <c r="L15" s="13"/>
      <c r="M15" s="13" t="n">
        <f aca="false">187.639+13.2</f>
        <v>200.839</v>
      </c>
      <c r="N15" s="13"/>
      <c r="O15" s="13" t="n">
        <f aca="false">8.6+184.346</f>
        <v>192.946</v>
      </c>
      <c r="P15" s="13"/>
      <c r="Q15" s="13" t="n">
        <f aca="false">8.6+184.324</f>
        <v>192.924</v>
      </c>
      <c r="R15" s="13"/>
      <c r="S15" s="13" t="n">
        <f aca="false">8.6+186.744</f>
        <v>195.344</v>
      </c>
      <c r="T15" s="13"/>
      <c r="U15" s="13" t="n">
        <f aca="false">8.6+183.373</f>
        <v>191.973</v>
      </c>
      <c r="V15" s="13"/>
      <c r="W15" s="13" t="n">
        <f aca="false">8.6+186.718</f>
        <v>195.318</v>
      </c>
      <c r="X15" s="13"/>
      <c r="Y15" s="13" t="n">
        <f aca="false">8.6+187.544</f>
        <v>196.144</v>
      </c>
      <c r="Z15" s="13"/>
      <c r="AA15" s="13" t="n">
        <f aca="false">8.6+184.353</f>
        <v>192.953</v>
      </c>
      <c r="AB15" s="13"/>
      <c r="AC15" s="13" t="n">
        <f aca="false">8.6+182.197</f>
        <v>190.797</v>
      </c>
      <c r="AD15" s="13"/>
      <c r="AE15" s="13" t="n">
        <f aca="false">8.6+187.595</f>
        <v>196.195</v>
      </c>
      <c r="AF15" s="13"/>
      <c r="AG15" s="14" t="n">
        <f aca="false">-155.5/1959</f>
        <v>-0.0793772332822869</v>
      </c>
      <c r="AH15" s="13"/>
      <c r="AI15" s="13" t="n">
        <f aca="false">8.6+105.959</f>
        <v>114.559</v>
      </c>
      <c r="AJ15" s="13"/>
      <c r="AK15" s="13" t="n">
        <f aca="false">SUM(K15:AI15)</f>
        <v>2254.79862276672</v>
      </c>
      <c r="AL15" s="13"/>
      <c r="AM15" s="13" t="n">
        <f aca="false">'Orig ''02 Plan Net'!AK15</f>
        <v>2254.79862276672</v>
      </c>
      <c r="AN15" s="13"/>
      <c r="AO15" s="13" t="n">
        <f aca="false">AK15-AM15</f>
        <v>0</v>
      </c>
      <c r="AP15" s="0"/>
      <c r="AQ15" s="0"/>
      <c r="AR15" s="13"/>
    </row>
    <row r="16" customFormat="false" ht="12.75" hidden="false" customHeight="false" outlineLevel="0" collapsed="false">
      <c r="A16" s="12" t="s">
        <v>30</v>
      </c>
      <c r="C16" s="13" t="n">
        <f aca="false">1888-173-217+74.308-5.948-5.948</f>
        <v>1560.412</v>
      </c>
      <c r="D16" s="13"/>
      <c r="E16" s="13" t="n">
        <f aca="false">C16/10</f>
        <v>156.0412</v>
      </c>
      <c r="F16" s="13"/>
      <c r="G16" s="13" t="n">
        <f aca="false">173+5.948</f>
        <v>178.948</v>
      </c>
      <c r="H16" s="13"/>
      <c r="I16" s="13" t="n">
        <f aca="false">217+5.948</f>
        <v>222.948</v>
      </c>
      <c r="J16" s="13"/>
      <c r="K16" s="13" t="n">
        <f aca="false">180.315+10.843+0.369+5.7</f>
        <v>197.227</v>
      </c>
      <c r="L16" s="13"/>
      <c r="M16" s="13" t="n">
        <f aca="false">10.736+180.796+0.59+9.112</f>
        <v>201.234</v>
      </c>
      <c r="N16" s="13"/>
      <c r="O16" s="13" t="n">
        <f aca="false">181.167+10.736+5.948+0.385</f>
        <v>198.236</v>
      </c>
      <c r="P16" s="13"/>
      <c r="Q16" s="13" t="n">
        <f aca="false">180.964+10.861+5.948+0.385</f>
        <v>198.158</v>
      </c>
      <c r="R16" s="13"/>
      <c r="S16" s="13" t="n">
        <f aca="false">181.532+10.736+5.948+0.385</f>
        <v>198.601</v>
      </c>
      <c r="T16" s="13"/>
      <c r="U16" s="13" t="n">
        <f aca="false">180.518+10.936+5.948+0.385</f>
        <v>197.787</v>
      </c>
      <c r="V16" s="13"/>
      <c r="W16" s="13" t="n">
        <f aca="false">180.804+10.861+5.948+0.385</f>
        <v>197.998</v>
      </c>
      <c r="X16" s="13"/>
      <c r="Y16" s="13" t="n">
        <f aca="false">181.326+10.736+5.948+0.385</f>
        <v>198.395</v>
      </c>
      <c r="Z16" s="13"/>
      <c r="AA16" s="13" t="n">
        <f aca="false">180.568+10.736+5.948+0.385</f>
        <v>197.637</v>
      </c>
      <c r="AB16" s="13"/>
      <c r="AC16" s="13" t="n">
        <f aca="false">181.59+11.061+5.948+0.385</f>
        <v>198.984</v>
      </c>
      <c r="AD16" s="13"/>
      <c r="AE16" s="13" t="n">
        <f aca="false">179.958+10.736+5.948+0.385</f>
        <v>197.027</v>
      </c>
      <c r="AF16" s="13"/>
      <c r="AG16" s="13" t="n">
        <f aca="false">(W16-M16)/M16</f>
        <v>-0.0160807815776658</v>
      </c>
      <c r="AH16" s="13"/>
      <c r="AI16" s="13" t="n">
        <f aca="false">273.855+8.771+5.948+0.385</f>
        <v>288.959</v>
      </c>
      <c r="AJ16" s="13"/>
      <c r="AK16" s="13" t="n">
        <f aca="false">SUM(K16:AI16)</f>
        <v>2470.22691921842</v>
      </c>
      <c r="AL16" s="13"/>
      <c r="AM16" s="13" t="n">
        <f aca="false">'Orig ''02 Plan Net'!AK16</f>
        <v>2470.22691921842</v>
      </c>
      <c r="AN16" s="13"/>
      <c r="AO16" s="13" t="n">
        <f aca="false">AK16-AM16</f>
        <v>0</v>
      </c>
      <c r="AP16" s="0"/>
      <c r="AQ16" s="0"/>
      <c r="AR16" s="13"/>
    </row>
    <row r="17" customFormat="false" ht="12.75" hidden="false" customHeight="false" outlineLevel="0" collapsed="false">
      <c r="A17" s="12" t="s">
        <v>31</v>
      </c>
      <c r="C17" s="13"/>
      <c r="D17" s="13"/>
      <c r="E17" s="13" t="n">
        <f aca="false">C17/10</f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 t="n">
        <f aca="false">SUM(K17:AI17)</f>
        <v>0</v>
      </c>
      <c r="AL17" s="13"/>
      <c r="AM17" s="13" t="n">
        <f aca="false">'Orig ''02 Plan Net'!AK17</f>
        <v>0</v>
      </c>
      <c r="AN17" s="13"/>
      <c r="AO17" s="13" t="n">
        <f aca="false">AK17-AM17</f>
        <v>0</v>
      </c>
      <c r="AP17" s="0"/>
      <c r="AQ17" s="0"/>
      <c r="AR17" s="13"/>
    </row>
    <row r="18" customFormat="false" ht="12.75" hidden="false" customHeight="false" outlineLevel="0" collapsed="false">
      <c r="A18" s="12" t="s">
        <v>32</v>
      </c>
      <c r="C18" s="13"/>
      <c r="D18" s="13"/>
      <c r="E18" s="13" t="n">
        <f aca="false">C18/10</f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 t="n">
        <f aca="false">SUM(K18:AI18)</f>
        <v>0</v>
      </c>
      <c r="AL18" s="13"/>
      <c r="AM18" s="13" t="n">
        <f aca="false">'Orig ''02 Plan Net'!AK18</f>
        <v>0</v>
      </c>
      <c r="AN18" s="13"/>
      <c r="AO18" s="13" t="n">
        <f aca="false">AK18-AM18</f>
        <v>0</v>
      </c>
      <c r="AP18" s="0"/>
      <c r="AQ18" s="0"/>
      <c r="AR18" s="13"/>
    </row>
    <row r="19" customFormat="false" ht="12.75" hidden="false" customHeight="false" outlineLevel="0" collapsed="false">
      <c r="A19" s="12" t="s">
        <v>33</v>
      </c>
      <c r="C19" s="13" t="n">
        <f aca="false">226-7</f>
        <v>219</v>
      </c>
      <c r="D19" s="13"/>
      <c r="E19" s="13" t="n">
        <f aca="false">C19/10</f>
        <v>21.9</v>
      </c>
      <c r="F19" s="13"/>
      <c r="G19" s="13" t="n">
        <v>0</v>
      </c>
      <c r="H19" s="13"/>
      <c r="I19" s="13" t="n">
        <v>7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 t="n">
        <f aca="false">SUM(K19:AI19)</f>
        <v>0</v>
      </c>
      <c r="AL19" s="13"/>
      <c r="AM19" s="13" t="n">
        <f aca="false">'Orig ''02 Plan Net'!AK19</f>
        <v>0</v>
      </c>
      <c r="AN19" s="13"/>
      <c r="AO19" s="13" t="n">
        <f aca="false">AK19-AM19</f>
        <v>0</v>
      </c>
      <c r="AP19" s="0"/>
      <c r="AQ19" s="0"/>
      <c r="AR19" s="13"/>
    </row>
    <row r="20" customFormat="false" ht="12.75" hidden="false" customHeight="false" outlineLevel="0" collapsed="false">
      <c r="A20" s="12" t="s">
        <v>34</v>
      </c>
      <c r="C20" s="13"/>
      <c r="D20" s="13"/>
      <c r="E20" s="13" t="n">
        <f aca="false">C20/10</f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 t="n">
        <f aca="false">SUM(K20:AI20)</f>
        <v>0</v>
      </c>
      <c r="AL20" s="13"/>
      <c r="AM20" s="13" t="n">
        <f aca="false">'Orig ''02 Plan Net'!AK20</f>
        <v>0</v>
      </c>
      <c r="AN20" s="13"/>
      <c r="AO20" s="13" t="n">
        <f aca="false">AK20-AM20</f>
        <v>0</v>
      </c>
      <c r="AP20" s="0"/>
      <c r="AQ20" s="0"/>
      <c r="AR20" s="13"/>
    </row>
    <row r="21" customFormat="false" ht="12.75" hidden="false" customHeight="false" outlineLevel="0" collapsed="false">
      <c r="A21" s="12" t="s">
        <v>35</v>
      </c>
      <c r="C21" s="13"/>
      <c r="D21" s="13"/>
      <c r="E21" s="13" t="n">
        <f aca="false">C21/10</f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 t="n">
        <f aca="false">SUM(K21:AI21)</f>
        <v>0</v>
      </c>
      <c r="AL21" s="13"/>
      <c r="AM21" s="13" t="n">
        <f aca="false">'Orig ''02 Plan Net'!AK21</f>
        <v>0</v>
      </c>
      <c r="AN21" s="13"/>
      <c r="AO21" s="13" t="n">
        <f aca="false">AK21-AM21</f>
        <v>0</v>
      </c>
      <c r="AP21" s="0"/>
      <c r="AQ21" s="0"/>
      <c r="AR21" s="13"/>
    </row>
    <row r="22" customFormat="false" ht="12.75" hidden="false" customHeight="false" outlineLevel="0" collapsed="false">
      <c r="A22" s="12" t="s">
        <v>36</v>
      </c>
      <c r="C22" s="13"/>
      <c r="D22" s="13"/>
      <c r="E22" s="13" t="n">
        <f aca="false">C22/10</f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 t="n">
        <f aca="false">SUM(K22:AI22)</f>
        <v>0</v>
      </c>
      <c r="AL22" s="13"/>
      <c r="AM22" s="13" t="n">
        <f aca="false">'Orig ''02 Plan Net'!AK22</f>
        <v>0</v>
      </c>
      <c r="AN22" s="13"/>
      <c r="AO22" s="13" t="n">
        <f aca="false">AK22-AM22</f>
        <v>0</v>
      </c>
      <c r="AP22" s="0"/>
      <c r="AQ22" s="0"/>
      <c r="AR22" s="13"/>
    </row>
    <row r="23" customFormat="false" ht="12.75" hidden="false" customHeight="false" outlineLevel="0" collapsed="false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0"/>
      <c r="AQ23" s="0"/>
      <c r="AR23" s="13"/>
    </row>
    <row r="24" customFormat="false" ht="13.5" hidden="false" customHeight="false" outlineLevel="0" collapsed="false">
      <c r="A24" s="12" t="s">
        <v>25</v>
      </c>
      <c r="C24" s="15" t="n">
        <f aca="false">SUM(C13:C23)</f>
        <v>8346.905</v>
      </c>
      <c r="D24" s="13"/>
      <c r="E24" s="15" t="n">
        <f aca="false">SUM(E13:E23)</f>
        <v>834.6905</v>
      </c>
      <c r="F24" s="13"/>
      <c r="G24" s="15" t="n">
        <f aca="false">SUM(G13:G23)</f>
        <v>1072.642</v>
      </c>
      <c r="H24" s="13"/>
      <c r="I24" s="15" t="n">
        <f aca="false">SUM(I13:I23)</f>
        <v>1200.642</v>
      </c>
      <c r="J24" s="13"/>
      <c r="K24" s="15" t="n">
        <f aca="false">SUM(K13:K23)</f>
        <v>896.05</v>
      </c>
      <c r="L24" s="13"/>
      <c r="M24" s="15" t="n">
        <f aca="false">SUM(M13:M23)</f>
        <v>930.454</v>
      </c>
      <c r="N24" s="13"/>
      <c r="O24" s="15" t="n">
        <f aca="false">SUM(O13:O23)</f>
        <v>913.745</v>
      </c>
      <c r="P24" s="13"/>
      <c r="Q24" s="15" t="n">
        <f aca="false">SUM(Q13:Q23)</f>
        <v>908.919</v>
      </c>
      <c r="R24" s="13"/>
      <c r="S24" s="15" t="n">
        <f aca="false">SUM(S13:S23)</f>
        <v>909.291</v>
      </c>
      <c r="T24" s="13"/>
      <c r="U24" s="15" t="n">
        <f aca="false">SUM(U13:U23)</f>
        <v>912.693</v>
      </c>
      <c r="V24" s="13"/>
      <c r="W24" s="15" t="n">
        <f aca="false">SUM(W13:W23)</f>
        <v>911.266</v>
      </c>
      <c r="X24" s="13"/>
      <c r="Y24" s="15" t="n">
        <f aca="false">SUM(Y13:Y23)</f>
        <v>910.309</v>
      </c>
      <c r="Z24" s="13"/>
      <c r="AA24" s="15" t="n">
        <f aca="false">SUM(AA13:AA23)</f>
        <v>911.45</v>
      </c>
      <c r="AB24" s="13"/>
      <c r="AC24" s="15" t="n">
        <f aca="false">SUM(AC13:AC23)</f>
        <v>910.46</v>
      </c>
      <c r="AD24" s="13"/>
      <c r="AE24" s="15" t="n">
        <f aca="false">SUM(AE13:AE23)</f>
        <v>911.148</v>
      </c>
      <c r="AF24" s="13"/>
      <c r="AG24" s="15" t="n">
        <f aca="false">(W24-M24)/M24</f>
        <v>-0.0206221908874591</v>
      </c>
      <c r="AH24" s="13"/>
      <c r="AI24" s="15" t="n">
        <f aca="false">SUM(AI13:AI23)</f>
        <v>898.634</v>
      </c>
      <c r="AJ24" s="13"/>
      <c r="AK24" s="15" t="n">
        <f aca="false">SUM(AK13:AK23)</f>
        <v>10924.2262666643</v>
      </c>
      <c r="AL24" s="13"/>
      <c r="AM24" s="15" t="n">
        <f aca="false">'Orig ''02 Plan Net'!AK24</f>
        <v>10924.2262666643</v>
      </c>
      <c r="AN24" s="13"/>
      <c r="AO24" s="15" t="n">
        <f aca="false">SUM(AO13:AO23)</f>
        <v>0</v>
      </c>
      <c r="AP24" s="0"/>
      <c r="AQ24" s="0"/>
      <c r="AR24" s="13"/>
    </row>
    <row r="25" customFormat="false" ht="25.5" hidden="false" customHeight="true" outlineLevel="0" collapsed="false">
      <c r="A25" s="12"/>
      <c r="AE25" s="24"/>
      <c r="AP25" s="0"/>
      <c r="AQ25" s="0"/>
    </row>
    <row r="26" customFormat="false" ht="12.75" hidden="false" customHeight="false" outlineLevel="0" collapsed="false">
      <c r="A26" s="12" t="s">
        <v>38</v>
      </c>
      <c r="B26" s="0"/>
      <c r="C26" s="0"/>
      <c r="D26" s="0"/>
      <c r="E26" s="0"/>
      <c r="F26" s="0"/>
      <c r="G26" s="0"/>
      <c r="H26" s="0"/>
      <c r="I26" s="0"/>
      <c r="J26" s="0"/>
      <c r="K26" s="18" t="n">
        <f aca="false">'Orig ''02 Plan Net'!K24</f>
        <v>896.05</v>
      </c>
      <c r="L26" s="25"/>
      <c r="M26" s="18" t="n">
        <f aca="false">'Orig ''02 Plan Net'!M24</f>
        <v>930.454</v>
      </c>
      <c r="N26" s="25"/>
      <c r="O26" s="18" t="n">
        <f aca="false">'Orig ''02 Plan Net'!O24</f>
        <v>913.745</v>
      </c>
      <c r="P26" s="25"/>
      <c r="Q26" s="18" t="n">
        <f aca="false">'Orig ''02 Plan Net'!Q24</f>
        <v>908.919</v>
      </c>
      <c r="R26" s="25"/>
      <c r="S26" s="18" t="n">
        <f aca="false">'Orig ''02 Plan Net'!S24</f>
        <v>909.291</v>
      </c>
      <c r="T26" s="25"/>
      <c r="U26" s="18" t="n">
        <f aca="false">'Orig ''02 Plan Net'!U24</f>
        <v>912.693</v>
      </c>
      <c r="V26" s="25"/>
      <c r="W26" s="18" t="n">
        <f aca="false">'Orig ''02 Plan Net'!W24</f>
        <v>911.266</v>
      </c>
      <c r="X26" s="25"/>
      <c r="Y26" s="18" t="n">
        <f aca="false">'Orig ''02 Plan Net'!Y24</f>
        <v>910.309</v>
      </c>
      <c r="Z26" s="25"/>
      <c r="AA26" s="18" t="n">
        <f aca="false">'Orig ''02 Plan Net'!AA24</f>
        <v>911.45</v>
      </c>
      <c r="AB26" s="25"/>
      <c r="AC26" s="18" t="n">
        <f aca="false">'Orig ''02 Plan Net'!AC24</f>
        <v>910.46</v>
      </c>
      <c r="AD26" s="25"/>
      <c r="AE26" s="18" t="n">
        <f aca="false">'Orig ''02 Plan Net'!AE24</f>
        <v>911.148</v>
      </c>
      <c r="AF26" s="25"/>
      <c r="AG26" s="25"/>
      <c r="AH26" s="25"/>
      <c r="AI26" s="18" t="n">
        <f aca="false">'Orig ''02 Plan Net'!AI24</f>
        <v>898.634</v>
      </c>
      <c r="AJ26" s="26"/>
      <c r="AK26" s="26"/>
      <c r="AL26" s="26"/>
      <c r="AM26" s="13"/>
      <c r="AP26" s="0"/>
      <c r="AQ26" s="0"/>
      <c r="AR26" s="13"/>
    </row>
    <row r="27" customFormat="false" ht="12.75" hidden="false" customHeight="fals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</row>
    <row r="28" customFormat="false" ht="12.75" hidden="false" customHeight="false" outlineLevel="0" collapsed="false">
      <c r="A28" s="0" t="s">
        <v>39</v>
      </c>
      <c r="B28" s="0"/>
      <c r="C28" s="0"/>
      <c r="D28" s="0"/>
      <c r="E28" s="0"/>
      <c r="F28" s="0"/>
      <c r="G28" s="0"/>
      <c r="H28" s="0"/>
      <c r="I28" s="0"/>
      <c r="J28" s="0"/>
      <c r="K28" s="18" t="n">
        <f aca="false">K24-K26</f>
        <v>0</v>
      </c>
      <c r="L28" s="0"/>
      <c r="M28" s="18" t="n">
        <f aca="false">M24-M26</f>
        <v>0</v>
      </c>
      <c r="N28" s="0"/>
      <c r="O28" s="18" t="n">
        <f aca="false">O24-O26</f>
        <v>0</v>
      </c>
      <c r="P28" s="0"/>
      <c r="Q28" s="18" t="n">
        <f aca="false">Q24-Q26</f>
        <v>0</v>
      </c>
      <c r="R28" s="0"/>
      <c r="S28" s="18" t="n">
        <f aca="false">S24-S26</f>
        <v>0</v>
      </c>
      <c r="T28" s="0"/>
      <c r="U28" s="18" t="n">
        <f aca="false">U24-U26</f>
        <v>0</v>
      </c>
      <c r="V28" s="0"/>
      <c r="W28" s="18" t="n">
        <f aca="false">W24-W26</f>
        <v>0</v>
      </c>
      <c r="X28" s="0"/>
      <c r="Y28" s="18" t="n">
        <f aca="false">Y24-Y26</f>
        <v>0</v>
      </c>
      <c r="Z28" s="0"/>
      <c r="AA28" s="18" t="n">
        <f aca="false">AA24-AA26</f>
        <v>0</v>
      </c>
      <c r="AB28" s="0"/>
      <c r="AC28" s="18" t="n">
        <f aca="false">AC24-AC26</f>
        <v>0</v>
      </c>
      <c r="AD28" s="0"/>
      <c r="AE28" s="18" t="n">
        <f aca="false">AE24-AE26</f>
        <v>0</v>
      </c>
      <c r="AF28" s="0"/>
      <c r="AG28" s="0"/>
      <c r="AH28" s="0"/>
      <c r="AI28" s="18" t="n">
        <f aca="false">AI24-AI26</f>
        <v>0</v>
      </c>
      <c r="AM28" s="18"/>
      <c r="AR28" s="18"/>
    </row>
    <row r="29" customFormat="false" ht="12.75" hidden="false" customHeight="fals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</row>
    <row r="30" customFormat="false" ht="12.75" hidden="false" customHeight="false" outlineLevel="0" collapsed="false">
      <c r="A30" s="0" t="s">
        <v>40</v>
      </c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</row>
    <row r="31" customFormat="false" ht="12.75" hidden="false" customHeight="false" outlineLevel="0" collapsed="false">
      <c r="A31" s="0" t="s">
        <v>41</v>
      </c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</row>
    <row r="32" customFormat="false" ht="12.75" hidden="false" customHeight="false" outlineLevel="0" collapsed="false">
      <c r="A32" s="20" t="s">
        <v>42</v>
      </c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</row>
    <row r="47" customFormat="false" ht="12.75" hidden="false" customHeight="fals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</row>
    <row r="48" customFormat="false" ht="12.75" hidden="fals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</row>
    <row r="49" customFormat="false" ht="12.75" hidden="false" customHeight="fals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</row>
    <row r="50" customFormat="false" ht="12.75" hidden="false" customHeight="false" outlineLevel="0" collapsed="false">
      <c r="A50" s="21" t="str">
        <f aca="true">CELL("filename")</f>
        <v>'file:///mnt/12tb/@roms/datasets/enron/EDRM Enron Email Data Set v2 XML/filtered-attachments/xls/OM_EST___OSS___2001___2002_REVISED_FORMAT.xls'#$Net</v>
      </c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customFormat="false" ht="12.75" hidden="false" customHeight="false" outlineLevel="0" collapsed="false">
      <c r="A51" s="23" t="n">
        <f aca="true">NOW()</f>
        <v>45926.8935504397</v>
      </c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customFormat="false" ht="12.75" hidden="false" customHeight="false" outlineLevel="0" collapsed="false">
      <c r="A52" s="21"/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customFormat="false" ht="12.75" hidden="false" customHeight="false" outlineLevel="0" collapsed="false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customFormat="false" ht="12.75" hidden="false" customHeight="false" outlineLevel="0" collapsed="false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customFormat="false" ht="12.75" hidden="false" customHeight="false" outlineLevel="0" collapsed="false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customFormat="false" ht="12.75" hidden="false" customHeight="false" outlineLevel="0" collapsed="false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customFormat="false" ht="12.75" hidden="false" customHeight="false" outlineLevel="0" collapsed="false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customFormat="false" ht="12.75" hidden="false" customHeight="false" outlineLevel="0" collapsed="false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customFormat="false" ht="12.75" hidden="false" customHeight="false" outlineLevel="0" collapsed="false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customFormat="false" ht="12.75" hidden="false" customHeight="false" outlineLevel="0" collapsed="false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customFormat="false" ht="12.75" hidden="false" customHeight="false" outlineLevel="0" collapsed="false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customFormat="false" ht="12.75" hidden="false" customHeight="false" outlineLevel="0" collapsed="false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customFormat="false" ht="12.75" hidden="false" customHeight="false" outlineLevel="0" collapsed="false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customFormat="false" ht="12.75" hidden="false" customHeight="false" outlineLevel="0" collapsed="false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customFormat="false" ht="12.75" hidden="false" customHeight="false" outlineLevel="0" collapsed="false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customFormat="false" ht="12.75" hidden="false" customHeight="false" outlineLevel="0" collapsed="false"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customFormat="false" ht="12.75" hidden="false" customHeight="false" outlineLevel="0" collapsed="false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customFormat="false" ht="12.75" hidden="false" customHeight="false" outlineLevel="0" collapsed="false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customFormat="false" ht="12.75" hidden="false" customHeight="false" outlineLevel="0" collapsed="false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customFormat="false" ht="12.75" hidden="false" customHeight="false" outlineLevel="0" collapsed="false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customFormat="false" ht="12.75" hidden="false" customHeight="false" outlineLevel="0" collapsed="false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customFormat="false" ht="12.75" hidden="false" customHeight="false" outlineLevel="0" collapsed="false"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customFormat="false" ht="12.75" hidden="false" customHeight="false" outlineLevel="0" collapsed="false"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customFormat="false" ht="12.75" hidden="false" customHeight="false" outlineLevel="0" collapsed="false"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customFormat="false" ht="12.75" hidden="false" customHeight="false" outlineLevel="0" collapsed="false"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customFormat="false" ht="12.75" hidden="false" customHeight="false" outlineLevel="0" collapsed="false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</row>
    <row r="77" customFormat="false" ht="12.75" hidden="false" customHeight="false" outlineLevel="0" collapsed="false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</row>
    <row r="78" customFormat="false" ht="12.75" hidden="false" customHeight="false" outlineLevel="0" collapsed="false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</row>
    <row r="79" customFormat="false" ht="12.75" hidden="false" customHeight="false" outlineLevel="0" collapsed="false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</row>
    <row r="80" customFormat="false" ht="12.75" hidden="false" customHeight="false" outlineLevel="0" collapsed="false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</row>
    <row r="81" customFormat="false" ht="12.75" hidden="false" customHeight="false" outlineLevel="0" collapsed="false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</row>
    <row r="82" customFormat="false" ht="12.75" hidden="false" customHeight="false" outlineLevel="0" collapsed="false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</row>
    <row r="83" customFormat="false" ht="12.75" hidden="false" customHeight="false" outlineLevel="0" collapsed="false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</row>
    <row r="84" customFormat="false" ht="12.75" hidden="false" customHeight="false" outlineLevel="0" collapsed="false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</row>
    <row r="85" customFormat="false" ht="12.75" hidden="false" customHeight="false" outlineLevel="0" collapsed="false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</row>
    <row r="86" customFormat="false" ht="12.75" hidden="false" customHeight="false" outlineLevel="0" collapsed="false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</row>
    <row r="87" customFormat="false" ht="12.75" hidden="false" customHeight="false" outlineLevel="0" collapsed="false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</row>
    <row r="88" customFormat="false" ht="12.75" hidden="false" customHeight="false" outlineLevel="0" collapsed="false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</row>
    <row r="89" customFormat="false" ht="12.75" hidden="false" customHeight="false" outlineLevel="0" collapsed="false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</row>
    <row r="90" customFormat="false" ht="12.75" hidden="false" customHeight="false" outlineLevel="0" collapsed="false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</row>
    <row r="91" customFormat="false" ht="12.75" hidden="false" customHeight="false" outlineLevel="0" collapsed="false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</row>
    <row r="92" customFormat="false" ht="12.75" hidden="false" customHeight="false" outlineLevel="0" collapsed="false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</row>
    <row r="93" customFormat="false" ht="12.75" hidden="false" customHeight="false" outlineLevel="0" collapsed="false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</row>
    <row r="94" customFormat="false" ht="12.75" hidden="false" customHeight="false" outlineLevel="0" collapsed="false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</row>
    <row r="95" customFormat="false" ht="12.75" hidden="false" customHeight="false" outlineLevel="0" collapsed="false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</row>
    <row r="96" customFormat="false" ht="12.75" hidden="false" customHeight="false" outlineLevel="0" collapsed="false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</row>
    <row r="97" customFormat="false" ht="12.75" hidden="false" customHeight="false" outlineLevel="0" collapsed="false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</row>
    <row r="98" customFormat="false" ht="12.75" hidden="false" customHeight="false" outlineLevel="0" collapsed="false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</row>
    <row r="99" customFormat="false" ht="12.75" hidden="false" customHeight="false" outlineLevel="0" collapsed="false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</row>
    <row r="100" customFormat="false" ht="12.75" hidden="false" customHeight="false" outlineLevel="0" collapsed="false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</row>
    <row r="101" customFormat="false" ht="12.75" hidden="false" customHeight="false" outlineLevel="0" collapsed="false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</row>
    <row r="102" customFormat="false" ht="12.75" hidden="false" customHeight="false" outlineLevel="0" collapsed="false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</row>
    <row r="103" customFormat="false" ht="12.75" hidden="false" customHeight="false" outlineLevel="0" collapsed="false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</row>
    <row r="104" customFormat="false" ht="12.75" hidden="false" customHeight="false" outlineLevel="0" collapsed="false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</row>
    <row r="105" customFormat="false" ht="12.75" hidden="false" customHeight="false" outlineLevel="0" collapsed="false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</row>
    <row r="106" customFormat="false" ht="12.75" hidden="false" customHeight="false" outlineLevel="0" collapsed="false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</row>
    <row r="107" customFormat="false" ht="12.75" hidden="false" customHeight="false" outlineLevel="0" collapsed="false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</row>
    <row r="108" customFormat="false" ht="12.75" hidden="false" customHeight="false" outlineLevel="0" collapsed="false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</row>
    <row r="109" customFormat="false" ht="12.75" hidden="false" customHeight="false" outlineLevel="0" collapsed="false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</row>
    <row r="110" customFormat="false" ht="12.75" hidden="false" customHeight="false" outlineLevel="0" collapsed="false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</row>
    <row r="111" customFormat="false" ht="12.75" hidden="false" customHeight="false" outlineLevel="0" collapsed="false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</row>
    <row r="112" customFormat="false" ht="12.75" hidden="false" customHeight="false" outlineLevel="0" collapsed="false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</row>
  </sheetData>
  <mergeCells count="4">
    <mergeCell ref="A1:AE1"/>
    <mergeCell ref="A2:AE2"/>
    <mergeCell ref="A3:AE3"/>
    <mergeCell ref="A4:AE4"/>
  </mergeCells>
  <printOptions headings="false" gridLines="false" gridLinesSet="true" horizontalCentered="true" verticalCentered="false"/>
  <pageMargins left="0.25" right="0" top="0.75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J28" activeCellId="0" sqref="AJ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14"/>
    <col collapsed="false" customWidth="true" hidden="false" outlineLevel="0" max="2" min="2" style="1" width="2.13"/>
    <col collapsed="false" customWidth="true" hidden="false" outlineLevel="0" max="3" min="3" style="27" width="6.7"/>
    <col collapsed="false" customWidth="true" hidden="false" outlineLevel="0" max="4" min="4" style="27" width="1.7"/>
    <col collapsed="false" customWidth="true" hidden="false" outlineLevel="0" max="5" min="5" style="27" width="6.7"/>
    <col collapsed="false" customWidth="true" hidden="false" outlineLevel="0" max="6" min="6" style="27" width="3.7"/>
    <col collapsed="false" customWidth="true" hidden="false" outlineLevel="0" max="7" min="7" style="27" width="6.7"/>
    <col collapsed="false" customWidth="true" hidden="false" outlineLevel="0" max="8" min="8" style="27" width="1.7"/>
    <col collapsed="false" customWidth="true" hidden="false" outlineLevel="0" max="9" min="9" style="27" width="6.7"/>
    <col collapsed="false" customWidth="true" hidden="false" outlineLevel="0" max="10" min="10" style="1" width="1.7"/>
    <col collapsed="false" customWidth="true" hidden="false" outlineLevel="0" max="11" min="11" style="1" width="10.71"/>
    <col collapsed="false" customWidth="true" hidden="false" outlineLevel="0" max="12" min="12" style="1" width="1.7"/>
    <col collapsed="false" customWidth="true" hidden="false" outlineLevel="0" max="13" min="13" style="1" width="10.13"/>
    <col collapsed="false" customWidth="true" hidden="false" outlineLevel="0" max="14" min="14" style="1" width="1.7"/>
    <col collapsed="false" customWidth="true" hidden="false" outlineLevel="0" max="15" min="15" style="1" width="10.71"/>
    <col collapsed="false" customWidth="true" hidden="false" outlineLevel="0" max="16" min="16" style="1" width="1.7"/>
    <col collapsed="false" customWidth="true" hidden="false" outlineLevel="0" max="17" min="17" style="1" width="10.71"/>
    <col collapsed="false" customWidth="true" hidden="false" outlineLevel="0" max="18" min="18" style="1" width="1.7"/>
    <col collapsed="false" customWidth="true" hidden="false" outlineLevel="0" max="19" min="19" style="1" width="10.71"/>
    <col collapsed="false" customWidth="true" hidden="false" outlineLevel="0" max="20" min="20" style="1" width="1.7"/>
    <col collapsed="false" customWidth="true" hidden="false" outlineLevel="0" max="21" min="21" style="1" width="10.71"/>
    <col collapsed="false" customWidth="true" hidden="false" outlineLevel="0" max="22" min="22" style="1" width="1.7"/>
    <col collapsed="false" customWidth="true" hidden="false" outlineLevel="0" max="23" min="23" style="1" width="10.71"/>
    <col collapsed="false" customWidth="true" hidden="false" outlineLevel="0" max="24" min="24" style="1" width="1.7"/>
    <col collapsed="false" customWidth="true" hidden="false" outlineLevel="0" max="25" min="25" style="1" width="10.71"/>
    <col collapsed="false" customWidth="true" hidden="false" outlineLevel="0" max="26" min="26" style="1" width="1.7"/>
    <col collapsed="false" customWidth="true" hidden="false" outlineLevel="0" max="27" min="27" style="1" width="10.71"/>
    <col collapsed="false" customWidth="true" hidden="false" outlineLevel="0" max="28" min="28" style="1" width="1.7"/>
    <col collapsed="false" customWidth="true" hidden="false" outlineLevel="0" max="29" min="29" style="1" width="10.71"/>
    <col collapsed="false" customWidth="true" hidden="false" outlineLevel="0" max="30" min="30" style="1" width="1.7"/>
    <col collapsed="false" customWidth="true" hidden="false" outlineLevel="0" max="31" min="31" style="1" width="10.71"/>
    <col collapsed="false" customWidth="true" hidden="false" outlineLevel="0" max="32" min="32" style="1" width="1.7"/>
    <col collapsed="false" customWidth="true" hidden="true" outlineLevel="0" max="33" min="33" style="1" width="11.7"/>
    <col collapsed="false" customWidth="true" hidden="true" outlineLevel="0" max="34" min="34" style="1" width="1.85"/>
    <col collapsed="false" customWidth="true" hidden="false" outlineLevel="0" max="35" min="35" style="1" width="10.71"/>
    <col collapsed="false" customWidth="true" hidden="false" outlineLevel="0" max="36" min="36" style="1" width="1.7"/>
    <col collapsed="false" customWidth="true" hidden="false" outlineLevel="0" max="37" min="37" style="1" width="10.71"/>
    <col collapsed="false" customWidth="true" hidden="false" outlineLevel="0" max="42" min="38" style="0" width="9.06"/>
    <col collapsed="false" customWidth="false" hidden="false" outlineLevel="0" max="257" min="43" style="1" width="9.14"/>
  </cols>
  <sheetData>
    <row r="1" customFormat="false" ht="15.75" hidden="false" customHeight="false" outlineLevel="0" collapsed="false">
      <c r="A1" s="3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5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5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customFormat="false" ht="15.75" hidden="false" customHeight="false" outlineLevel="0" collapsed="false">
      <c r="A5" s="5"/>
      <c r="B5" s="6"/>
      <c r="C5" s="28"/>
      <c r="D5" s="28"/>
      <c r="E5" s="28"/>
      <c r="F5" s="28"/>
      <c r="G5" s="28"/>
      <c r="H5" s="28"/>
      <c r="I5" s="28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customFormat="false" ht="12.75" hidden="false" customHeight="false" outlineLevel="0" collapsed="false">
      <c r="A6" s="7"/>
    </row>
    <row r="8" customFormat="false" ht="12.75" hidden="false" customHeight="false" outlineLevel="0" collapsed="false">
      <c r="A8" s="2"/>
      <c r="B8" s="2"/>
      <c r="C8" s="29"/>
      <c r="D8" s="29"/>
      <c r="E8" s="29"/>
      <c r="F8" s="29"/>
      <c r="G8" s="29"/>
      <c r="H8" s="29"/>
      <c r="I8" s="29"/>
      <c r="J8" s="8"/>
      <c r="K8" s="8"/>
      <c r="L8" s="2"/>
      <c r="M8" s="8"/>
      <c r="N8" s="8"/>
      <c r="O8" s="8"/>
      <c r="P8" s="8"/>
      <c r="Q8" s="8"/>
      <c r="R8" s="8"/>
      <c r="S8" s="8"/>
      <c r="T8" s="8"/>
      <c r="U8" s="8"/>
      <c r="V8" s="2"/>
      <c r="W8" s="8"/>
      <c r="X8" s="8"/>
      <c r="Y8" s="8"/>
      <c r="Z8" s="8"/>
      <c r="AA8" s="8"/>
      <c r="AB8" s="8"/>
      <c r="AC8" s="8"/>
      <c r="AD8" s="8"/>
      <c r="AE8" s="8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2.75" hidden="false" customHeight="false" outlineLevel="0" collapsed="false">
      <c r="E9" s="30"/>
      <c r="O9" s="9"/>
      <c r="Y9" s="9"/>
    </row>
    <row r="10" customFormat="false" ht="12.75" hidden="false" customHeight="false" outlineLevel="0" collapsed="false">
      <c r="C10" s="30"/>
      <c r="D10" s="31"/>
      <c r="E10" s="30"/>
      <c r="F10" s="31"/>
      <c r="G10" s="30"/>
      <c r="H10" s="32"/>
      <c r="I10" s="30"/>
      <c r="J10" s="0"/>
      <c r="K10" s="9" t="s">
        <v>5</v>
      </c>
      <c r="M10" s="9" t="s">
        <v>5</v>
      </c>
      <c r="O10" s="9" t="s">
        <v>5</v>
      </c>
      <c r="P10" s="0"/>
      <c r="Q10" s="9" t="s">
        <v>5</v>
      </c>
      <c r="R10" s="10"/>
      <c r="S10" s="9" t="s">
        <v>5</v>
      </c>
      <c r="U10" s="9" t="s">
        <v>5</v>
      </c>
      <c r="W10" s="9" t="s">
        <v>5</v>
      </c>
      <c r="Y10" s="9" t="s">
        <v>5</v>
      </c>
      <c r="AA10" s="9" t="s">
        <v>5</v>
      </c>
      <c r="AB10" s="10"/>
      <c r="AC10" s="9" t="s">
        <v>5</v>
      </c>
      <c r="AE10" s="9" t="s">
        <v>5</v>
      </c>
      <c r="AG10" s="9" t="s">
        <v>6</v>
      </c>
      <c r="AI10" s="9" t="s">
        <v>5</v>
      </c>
      <c r="AK10" s="9" t="s">
        <v>5</v>
      </c>
    </row>
    <row r="11" customFormat="false" ht="12.75" hidden="false" customHeight="false" outlineLevel="0" collapsed="false">
      <c r="C11" s="30"/>
      <c r="D11" s="30"/>
      <c r="E11" s="30"/>
      <c r="F11" s="30"/>
      <c r="G11" s="30"/>
      <c r="H11" s="30"/>
      <c r="I11" s="30"/>
      <c r="J11" s="9"/>
      <c r="K11" s="9" t="n">
        <v>2002</v>
      </c>
      <c r="M11" s="9" t="n">
        <v>2002</v>
      </c>
      <c r="N11" s="9"/>
      <c r="O11" s="9" t="n">
        <v>2002</v>
      </c>
      <c r="P11" s="9"/>
      <c r="Q11" s="9" t="n">
        <v>2002</v>
      </c>
      <c r="R11" s="9"/>
      <c r="S11" s="9" t="n">
        <v>2002</v>
      </c>
      <c r="T11" s="9"/>
      <c r="U11" s="9" t="n">
        <v>2002</v>
      </c>
      <c r="W11" s="9" t="n">
        <v>2002</v>
      </c>
      <c r="Y11" s="9" t="n">
        <v>2002</v>
      </c>
      <c r="AA11" s="9" t="n">
        <v>2002</v>
      </c>
      <c r="AB11" s="9"/>
      <c r="AC11" s="9" t="n">
        <v>2002</v>
      </c>
      <c r="AD11" s="9"/>
      <c r="AE11" s="9" t="n">
        <v>2002</v>
      </c>
      <c r="AG11" s="8" t="s">
        <v>9</v>
      </c>
      <c r="AI11" s="9" t="n">
        <v>2002</v>
      </c>
      <c r="AK11" s="9" t="n">
        <v>2002</v>
      </c>
    </row>
    <row r="12" customFormat="false" ht="12.75" hidden="false" customHeight="false" outlineLevel="0" collapsed="false">
      <c r="A12" s="11" t="s">
        <v>10</v>
      </c>
      <c r="C12" s="33"/>
      <c r="D12" s="30"/>
      <c r="E12" s="33"/>
      <c r="F12" s="29"/>
      <c r="G12" s="33"/>
      <c r="H12" s="29"/>
      <c r="I12" s="33"/>
      <c r="J12" s="9"/>
      <c r="K12" s="11" t="s">
        <v>15</v>
      </c>
      <c r="M12" s="11" t="s">
        <v>16</v>
      </c>
      <c r="N12" s="9"/>
      <c r="O12" s="11" t="s">
        <v>17</v>
      </c>
      <c r="P12" s="8"/>
      <c r="Q12" s="11" t="s">
        <v>18</v>
      </c>
      <c r="R12" s="8"/>
      <c r="S12" s="11" t="s">
        <v>19</v>
      </c>
      <c r="T12" s="9"/>
      <c r="U12" s="11" t="s">
        <v>20</v>
      </c>
      <c r="W12" s="11" t="s">
        <v>21</v>
      </c>
      <c r="Y12" s="11" t="s">
        <v>22</v>
      </c>
      <c r="AA12" s="11" t="s">
        <v>23</v>
      </c>
      <c r="AB12" s="8"/>
      <c r="AC12" s="11" t="s">
        <v>7</v>
      </c>
      <c r="AD12" s="9"/>
      <c r="AE12" s="11" t="s">
        <v>13</v>
      </c>
      <c r="AF12" s="2"/>
      <c r="AG12" s="11" t="s">
        <v>24</v>
      </c>
      <c r="AH12" s="2"/>
      <c r="AI12" s="11" t="s">
        <v>14</v>
      </c>
      <c r="AJ12" s="2"/>
      <c r="AK12" s="11" t="s">
        <v>46</v>
      </c>
    </row>
    <row r="13" customFormat="false" ht="12.75" hidden="false" customHeight="false" outlineLevel="0" collapsed="false">
      <c r="A13" s="12" t="s">
        <v>27</v>
      </c>
      <c r="C13" s="13"/>
      <c r="D13" s="13"/>
      <c r="E13" s="13"/>
      <c r="F13" s="13"/>
      <c r="G13" s="13"/>
      <c r="H13" s="13"/>
      <c r="I13" s="13"/>
      <c r="J13" s="13"/>
      <c r="K13" s="13" t="n">
        <f aca="false">464.596+21.14</f>
        <v>485.736</v>
      </c>
      <c r="L13" s="13"/>
      <c r="M13" s="13" t="n">
        <f aca="false">473.07+33.759</f>
        <v>506.829</v>
      </c>
      <c r="N13" s="13"/>
      <c r="O13" s="13" t="n">
        <f aca="false">473.785+22.039</f>
        <v>495.824</v>
      </c>
      <c r="P13" s="13"/>
      <c r="Q13" s="13" t="n">
        <f aca="false">471.8+22.039</f>
        <v>493.839</v>
      </c>
      <c r="R13" s="13"/>
      <c r="S13" s="13" t="n">
        <f aca="false">473.1+22.039</f>
        <v>495.139</v>
      </c>
      <c r="T13" s="13"/>
      <c r="U13" s="13" t="n">
        <f aca="false">476.755+22.039</f>
        <v>498.794</v>
      </c>
      <c r="V13" s="13"/>
      <c r="W13" s="13" t="n">
        <f aca="false">473.106+22.039</f>
        <v>495.145</v>
      </c>
      <c r="X13" s="13"/>
      <c r="Y13" s="13" t="n">
        <f aca="false">471.901+22.039</f>
        <v>493.94</v>
      </c>
      <c r="Z13" s="13"/>
      <c r="AA13" s="13" t="n">
        <f aca="false">473.826+22.039</f>
        <v>495.865</v>
      </c>
      <c r="AB13" s="13"/>
      <c r="AC13" s="13" t="n">
        <f aca="false">474.501+22.039</f>
        <v>496.54</v>
      </c>
      <c r="AD13" s="13"/>
      <c r="AE13" s="13" t="n">
        <f aca="false">474.103+22.039</f>
        <v>496.142</v>
      </c>
      <c r="AF13" s="13"/>
      <c r="AG13" s="13" t="n">
        <f aca="false">-448.4/11017</f>
        <v>-0.0407007352273759</v>
      </c>
      <c r="AH13" s="13"/>
      <c r="AI13" s="13" t="n">
        <f aca="false">464.482+22.039</f>
        <v>486.521</v>
      </c>
      <c r="AJ13" s="2"/>
      <c r="AK13" s="34" t="n">
        <f aca="false">SUM(K13:AI13)</f>
        <v>5940.27329926477</v>
      </c>
    </row>
    <row r="14" customFormat="false" ht="12.75" hidden="false" customHeight="false" outlineLevel="0" collapsed="false">
      <c r="A14" s="12" t="s">
        <v>28</v>
      </c>
      <c r="C14" s="13"/>
      <c r="D14" s="13"/>
      <c r="E14" s="13"/>
      <c r="F14" s="13"/>
      <c r="G14" s="13"/>
      <c r="H14" s="13"/>
      <c r="I14" s="13"/>
      <c r="J14" s="13"/>
      <c r="K14" s="13" t="n">
        <f aca="false">68.439+2.9</f>
        <v>71.339</v>
      </c>
      <c r="L14" s="13"/>
      <c r="M14" s="13" t="n">
        <f aca="false">73.174+4.654</f>
        <v>77.828</v>
      </c>
      <c r="N14" s="13"/>
      <c r="O14" s="13" t="n">
        <f aca="false">76.624+3.039</f>
        <v>79.663</v>
      </c>
      <c r="P14" s="13"/>
      <c r="Q14" s="13" t="n">
        <f aca="false">73.174+3.039</f>
        <v>76.213</v>
      </c>
      <c r="R14" s="13"/>
      <c r="S14" s="13" t="n">
        <f aca="false">73.174+3.039</f>
        <v>76.213</v>
      </c>
      <c r="T14" s="13"/>
      <c r="U14" s="13" t="n">
        <f aca="false">76.624+3.039</f>
        <v>79.663</v>
      </c>
      <c r="V14" s="13"/>
      <c r="W14" s="13" t="n">
        <f aca="false">75.135+3.039</f>
        <v>78.174</v>
      </c>
      <c r="X14" s="13"/>
      <c r="Y14" s="13" t="n">
        <f aca="false">73.19+3.039</f>
        <v>76.229</v>
      </c>
      <c r="Z14" s="13"/>
      <c r="AA14" s="13" t="n">
        <f aca="false">73.656+3.039</f>
        <v>76.695</v>
      </c>
      <c r="AB14" s="13"/>
      <c r="AC14" s="13" t="n">
        <f aca="false">73.194+3.039</f>
        <v>76.233</v>
      </c>
      <c r="AD14" s="13"/>
      <c r="AE14" s="13" t="n">
        <f aca="false">73.194+3.039</f>
        <v>76.233</v>
      </c>
      <c r="AF14" s="13"/>
      <c r="AG14" s="13" t="n">
        <f aca="false">-102.4/1810</f>
        <v>-0.0565745856353591</v>
      </c>
      <c r="AH14" s="13"/>
      <c r="AI14" s="13" t="n">
        <f aca="false">72.054+3.039</f>
        <v>75.093</v>
      </c>
      <c r="AJ14" s="2"/>
      <c r="AK14" s="34" t="n">
        <f aca="false">SUM(K14:AI14)</f>
        <v>919.519425414365</v>
      </c>
    </row>
    <row r="15" customFormat="false" ht="12.75" hidden="false" customHeight="false" outlineLevel="0" collapsed="false">
      <c r="A15" s="12" t="s">
        <v>29</v>
      </c>
      <c r="C15" s="13"/>
      <c r="D15" s="31"/>
      <c r="E15" s="13"/>
      <c r="F15" s="31"/>
      <c r="G15" s="13"/>
      <c r="H15" s="31"/>
      <c r="I15" s="13"/>
      <c r="J15" s="13"/>
      <c r="K15" s="13" t="n">
        <f aca="false">235.838+8.266</f>
        <v>244.104</v>
      </c>
      <c r="L15" s="13"/>
      <c r="M15" s="13" t="n">
        <f aca="false">236.11+13.2</f>
        <v>249.31</v>
      </c>
      <c r="N15" s="13"/>
      <c r="O15" s="13" t="n">
        <f aca="false">8.6+236.11</f>
        <v>244.71</v>
      </c>
      <c r="P15" s="13"/>
      <c r="Q15" s="13" t="n">
        <f aca="false">8.6+236.11</f>
        <v>244.71</v>
      </c>
      <c r="R15" s="13"/>
      <c r="S15" s="13" t="n">
        <f aca="false">8.6+236.11</f>
        <v>244.71</v>
      </c>
      <c r="T15" s="13"/>
      <c r="U15" s="13" t="n">
        <f aca="false">8.6+236.11</f>
        <v>244.71</v>
      </c>
      <c r="V15" s="13"/>
      <c r="W15" s="13" t="n">
        <f aca="false">8.6+236.11</f>
        <v>244.71</v>
      </c>
      <c r="X15" s="13"/>
      <c r="Y15" s="13" t="n">
        <f aca="false">8.6+236.11</f>
        <v>244.71</v>
      </c>
      <c r="Z15" s="13"/>
      <c r="AA15" s="13" t="n">
        <f aca="false">8.6+236.11</f>
        <v>244.71</v>
      </c>
      <c r="AB15" s="13"/>
      <c r="AC15" s="13" t="n">
        <f aca="false">8.6+236.11</f>
        <v>244.71</v>
      </c>
      <c r="AD15" s="13"/>
      <c r="AE15" s="13" t="n">
        <f aca="false">8.6+237.11</f>
        <v>245.71</v>
      </c>
      <c r="AF15" s="13"/>
      <c r="AG15" s="14" t="n">
        <f aca="false">-155.5/1959</f>
        <v>-0.0793772332822869</v>
      </c>
      <c r="AH15" s="13"/>
      <c r="AI15" s="13" t="n">
        <f aca="false">8.6+237.11</f>
        <v>245.71</v>
      </c>
      <c r="AJ15" s="2"/>
      <c r="AK15" s="34" t="n">
        <f aca="false">SUM(K15:AI15)</f>
        <v>2942.43462276672</v>
      </c>
    </row>
    <row r="16" customFormat="false" ht="12.75" hidden="false" customHeight="false" outlineLevel="0" collapsed="false">
      <c r="A16" s="12" t="s">
        <v>30</v>
      </c>
      <c r="C16" s="31"/>
      <c r="D16" s="31"/>
      <c r="E16" s="13"/>
      <c r="F16" s="31"/>
      <c r="G16" s="31"/>
      <c r="H16" s="31"/>
      <c r="I16" s="31"/>
      <c r="J16" s="13"/>
      <c r="K16" s="13" t="n">
        <f aca="false">186.25+9.095+0.369+5.7</f>
        <v>201.414</v>
      </c>
      <c r="L16" s="13"/>
      <c r="M16" s="13" t="n">
        <f aca="false">8.97+188.139+0.59+9.112</f>
        <v>206.811</v>
      </c>
      <c r="N16" s="13"/>
      <c r="O16" s="13" t="n">
        <f aca="false">187.229+8.97+5.948+0.385</f>
        <v>202.532</v>
      </c>
      <c r="P16" s="13"/>
      <c r="Q16" s="13" t="n">
        <f aca="false">187.114+9.095+5.948+0.385</f>
        <v>202.542</v>
      </c>
      <c r="R16" s="13"/>
      <c r="S16" s="13" t="n">
        <f aca="false">188.877+8.97+5.948+0.385</f>
        <v>204.18</v>
      </c>
      <c r="T16" s="13"/>
      <c r="U16" s="13" t="n">
        <f aca="false">186.477+9.17+5.948+0.385</f>
        <v>201.98</v>
      </c>
      <c r="V16" s="13"/>
      <c r="W16" s="13" t="n">
        <f aca="false">187.177+9.095+5.948+0.385</f>
        <v>202.605</v>
      </c>
      <c r="X16" s="13"/>
      <c r="Y16" s="13" t="n">
        <f aca="false">187.477+8.97+5.948+0.385</f>
        <v>202.78</v>
      </c>
      <c r="Z16" s="13"/>
      <c r="AA16" s="13" t="n">
        <f aca="false">186.547+8.97+5.948+0.385</f>
        <v>201.85</v>
      </c>
      <c r="AB16" s="13"/>
      <c r="AC16" s="13" t="n">
        <f aca="false">190.077+9.295+5.948+0.385</f>
        <v>205.705</v>
      </c>
      <c r="AD16" s="13"/>
      <c r="AE16" s="13" t="n">
        <f aca="false">186.277+8.97+5.948+0.385</f>
        <v>201.58</v>
      </c>
      <c r="AF16" s="13"/>
      <c r="AG16" s="13" t="n">
        <f aca="false">(W16-M16)/M16</f>
        <v>-0.0203374095188361</v>
      </c>
      <c r="AH16" s="13"/>
      <c r="AI16" s="13" t="n">
        <f aca="false">186.234+9.005+5.948+0.385</f>
        <v>201.572</v>
      </c>
      <c r="AJ16" s="35"/>
      <c r="AK16" s="34" t="n">
        <f aca="false">SUM(K16:AI16)</f>
        <v>2435.53066259048</v>
      </c>
    </row>
    <row r="17" customFormat="false" ht="12.75" hidden="false" customHeight="false" outlineLevel="0" collapsed="false">
      <c r="A17" s="12" t="s">
        <v>31</v>
      </c>
      <c r="C17" s="31"/>
      <c r="D17" s="31"/>
      <c r="E17" s="13"/>
      <c r="F17" s="31"/>
      <c r="G17" s="31"/>
      <c r="H17" s="31"/>
      <c r="I17" s="31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35"/>
      <c r="AK17" s="34" t="n">
        <f aca="false">SUM(K17:AI17)</f>
        <v>0</v>
      </c>
    </row>
    <row r="18" customFormat="false" ht="12.75" hidden="false" customHeight="false" outlineLevel="0" collapsed="false">
      <c r="A18" s="12" t="s">
        <v>32</v>
      </c>
      <c r="C18" s="31"/>
      <c r="D18" s="31"/>
      <c r="E18" s="13"/>
      <c r="F18" s="31"/>
      <c r="G18" s="31"/>
      <c r="H18" s="31"/>
      <c r="I18" s="31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35"/>
      <c r="AK18" s="34" t="n">
        <f aca="false">SUM(K18:AI18)</f>
        <v>0</v>
      </c>
    </row>
    <row r="19" customFormat="false" ht="12.75" hidden="false" customHeight="false" outlineLevel="0" collapsed="false">
      <c r="A19" s="12" t="s">
        <v>33</v>
      </c>
      <c r="C19" s="31"/>
      <c r="D19" s="31"/>
      <c r="E19" s="13"/>
      <c r="F19" s="31"/>
      <c r="G19" s="31"/>
      <c r="H19" s="31"/>
      <c r="I19" s="31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35"/>
      <c r="AK19" s="34" t="n">
        <f aca="false">SUM(K19:AI19)</f>
        <v>0</v>
      </c>
    </row>
    <row r="20" customFormat="false" ht="12.75" hidden="false" customHeight="false" outlineLevel="0" collapsed="false">
      <c r="A20" s="12" t="s">
        <v>34</v>
      </c>
      <c r="C20" s="31"/>
      <c r="D20" s="31"/>
      <c r="E20" s="13"/>
      <c r="F20" s="31"/>
      <c r="G20" s="31"/>
      <c r="H20" s="31"/>
      <c r="I20" s="31"/>
      <c r="J20" s="13"/>
      <c r="K20" s="13" t="n">
        <v>312.71</v>
      </c>
      <c r="L20" s="13"/>
      <c r="M20" s="13" t="n">
        <v>307.863</v>
      </c>
      <c r="N20" s="13"/>
      <c r="O20" s="13" t="n">
        <v>314.823</v>
      </c>
      <c r="P20" s="13"/>
      <c r="Q20" s="13" t="n">
        <v>315.848</v>
      </c>
      <c r="R20" s="13"/>
      <c r="S20" s="13" t="n">
        <v>313.273</v>
      </c>
      <c r="T20" s="13"/>
      <c r="U20" s="13" t="n">
        <v>314.018</v>
      </c>
      <c r="V20" s="13"/>
      <c r="W20" s="13" t="n">
        <v>307.573</v>
      </c>
      <c r="X20" s="13"/>
      <c r="Y20" s="13" t="n">
        <v>307.718</v>
      </c>
      <c r="Z20" s="13"/>
      <c r="AA20" s="13" t="n">
        <v>316.353</v>
      </c>
      <c r="AB20" s="13"/>
      <c r="AC20" s="13" t="n">
        <v>322.623</v>
      </c>
      <c r="AD20" s="13"/>
      <c r="AE20" s="13" t="n">
        <v>308.363</v>
      </c>
      <c r="AF20" s="13"/>
      <c r="AG20" s="13"/>
      <c r="AH20" s="13"/>
      <c r="AI20" s="13" t="n">
        <v>312.383</v>
      </c>
      <c r="AJ20" s="35"/>
      <c r="AK20" s="34" t="n">
        <f aca="false">SUM(K20:AI20)</f>
        <v>3753.548</v>
      </c>
    </row>
    <row r="21" customFormat="false" ht="12.75" hidden="false" customHeight="false" outlineLevel="0" collapsed="false">
      <c r="A21" s="12" t="s">
        <v>35</v>
      </c>
      <c r="C21" s="13"/>
      <c r="D21" s="13"/>
      <c r="E21" s="13"/>
      <c r="F21" s="13"/>
      <c r="G21" s="13"/>
      <c r="H21" s="13"/>
      <c r="I21" s="13"/>
      <c r="J21" s="13"/>
      <c r="K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K21" s="34" t="n">
        <f aca="false">SUM(K21:AI21)</f>
        <v>0</v>
      </c>
    </row>
    <row r="22" customFormat="false" ht="12.75" hidden="false" customHeight="false" outlineLevel="0" collapsed="false">
      <c r="A22" s="12" t="s">
        <v>36</v>
      </c>
      <c r="C22" s="13"/>
      <c r="D22" s="13"/>
      <c r="E22" s="13"/>
      <c r="F22" s="13"/>
      <c r="G22" s="13"/>
      <c r="H22" s="13"/>
      <c r="I22" s="13"/>
      <c r="J22" s="13"/>
      <c r="K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G22" s="35"/>
      <c r="AK22" s="34" t="n">
        <f aca="false">SUM(K22:AI22)</f>
        <v>0</v>
      </c>
    </row>
    <row r="23" customFormat="false" ht="12.75" hidden="false" customHeight="false" outlineLevel="0" collapsed="false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35"/>
      <c r="AI23" s="13"/>
    </row>
    <row r="24" customFormat="false" ht="13.5" hidden="false" customHeight="false" outlineLevel="0" collapsed="false">
      <c r="A24" s="12" t="s">
        <v>25</v>
      </c>
      <c r="C24" s="15" t="n">
        <f aca="false">SUM(C13:C23)</f>
        <v>0</v>
      </c>
      <c r="D24" s="13"/>
      <c r="E24" s="15" t="n">
        <f aca="false">SUM(E13:E23)</f>
        <v>0</v>
      </c>
      <c r="F24" s="13"/>
      <c r="G24" s="15" t="n">
        <f aca="false">SUM(G13:G23)</f>
        <v>0</v>
      </c>
      <c r="H24" s="13"/>
      <c r="I24" s="15" t="n">
        <f aca="false">SUM(I13:I23)</f>
        <v>0</v>
      </c>
      <c r="J24" s="13"/>
      <c r="K24" s="15" t="n">
        <f aca="false">SUM(K13:K23)</f>
        <v>1315.303</v>
      </c>
      <c r="L24" s="13"/>
      <c r="M24" s="15" t="n">
        <f aca="false">SUM(M13:M23)</f>
        <v>1348.641</v>
      </c>
      <c r="N24" s="13"/>
      <c r="O24" s="15" t="n">
        <f aca="false">SUM(O13:O23)</f>
        <v>1337.552</v>
      </c>
      <c r="P24" s="13"/>
      <c r="Q24" s="15" t="n">
        <f aca="false">SUM(Q13:Q23)</f>
        <v>1333.152</v>
      </c>
      <c r="R24" s="13"/>
      <c r="S24" s="15" t="n">
        <f aca="false">SUM(S13:S23)</f>
        <v>1333.515</v>
      </c>
      <c r="T24" s="13"/>
      <c r="U24" s="15" t="n">
        <f aca="false">SUM(U13:U23)</f>
        <v>1339.165</v>
      </c>
      <c r="V24" s="13"/>
      <c r="W24" s="15" t="n">
        <f aca="false">SUM(W13:W23)</f>
        <v>1328.207</v>
      </c>
      <c r="X24" s="13"/>
      <c r="Y24" s="15" t="n">
        <f aca="false">SUM(Y13:Y23)</f>
        <v>1325.377</v>
      </c>
      <c r="Z24" s="13"/>
      <c r="AA24" s="15" t="n">
        <f aca="false">SUM(AA13:AA23)</f>
        <v>1335.473</v>
      </c>
      <c r="AB24" s="13"/>
      <c r="AC24" s="15" t="n">
        <f aca="false">SUM(AC13:AC23)</f>
        <v>1345.811</v>
      </c>
      <c r="AD24" s="13"/>
      <c r="AE24" s="15" t="n">
        <f aca="false">SUM(AE13:AE23)</f>
        <v>1328.028</v>
      </c>
      <c r="AF24" s="13"/>
      <c r="AG24" s="36" t="n">
        <f aca="false">(W24-M24)/M24</f>
        <v>-0.0151515488554776</v>
      </c>
      <c r="AI24" s="15" t="n">
        <f aca="false">SUM(AI13:AI23)</f>
        <v>1321.279</v>
      </c>
      <c r="AK24" s="15" t="n">
        <f aca="false">SUM(AK13:AK23)</f>
        <v>15991.3060100363</v>
      </c>
    </row>
    <row r="25" customFormat="false" ht="25.5" hidden="false" customHeight="true" outlineLevel="0" collapsed="false">
      <c r="A25" s="12"/>
      <c r="AE25" s="24"/>
    </row>
    <row r="26" customFormat="false" ht="12.75" hidden="false" customHeight="false" outlineLevel="0" collapsed="false">
      <c r="A26" s="0"/>
      <c r="B26" s="0"/>
      <c r="C26" s="31"/>
      <c r="D26" s="31"/>
      <c r="E26" s="31"/>
      <c r="F26" s="31"/>
      <c r="G26" s="31"/>
      <c r="H26" s="31"/>
      <c r="I26" s="31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</row>
    <row r="27" customFormat="false" ht="12.75" hidden="false" customHeight="false" outlineLevel="0" collapsed="false">
      <c r="A27" s="0" t="s">
        <v>40</v>
      </c>
      <c r="B27" s="0"/>
      <c r="C27" s="31"/>
      <c r="D27" s="31"/>
      <c r="E27" s="31"/>
      <c r="F27" s="31"/>
      <c r="G27" s="31"/>
      <c r="H27" s="31"/>
      <c r="I27" s="31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</row>
    <row r="28" customFormat="false" ht="12.75" hidden="false" customHeight="false" outlineLevel="0" collapsed="false">
      <c r="A28" s="0" t="s">
        <v>41</v>
      </c>
      <c r="B28" s="0"/>
      <c r="C28" s="31"/>
      <c r="D28" s="31"/>
      <c r="E28" s="31"/>
      <c r="F28" s="31"/>
      <c r="G28" s="31"/>
      <c r="H28" s="31"/>
      <c r="I28" s="31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</row>
    <row r="29" customFormat="false" ht="12.75" hidden="false" customHeight="false" outlineLevel="0" collapsed="false">
      <c r="A29" s="20"/>
      <c r="B29" s="0"/>
      <c r="C29" s="31"/>
      <c r="D29" s="31"/>
      <c r="E29" s="31"/>
      <c r="F29" s="31"/>
      <c r="G29" s="31"/>
      <c r="H29" s="31"/>
      <c r="I29" s="31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</row>
    <row r="30" customFormat="false" ht="12.75" hidden="false" customHeight="false" outlineLevel="0" collapsed="false">
      <c r="A30" s="0"/>
      <c r="B30" s="0"/>
      <c r="C30" s="31"/>
      <c r="D30" s="31"/>
      <c r="E30" s="31"/>
      <c r="F30" s="31"/>
      <c r="G30" s="31"/>
      <c r="H30" s="31"/>
      <c r="I30" s="31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</row>
    <row r="31" customFormat="false" ht="12.75" hidden="false" customHeight="false" outlineLevel="0" collapsed="false">
      <c r="A31" s="0"/>
      <c r="B31" s="0"/>
      <c r="C31" s="31"/>
      <c r="D31" s="31"/>
      <c r="E31" s="31"/>
      <c r="F31" s="31"/>
      <c r="G31" s="31"/>
      <c r="H31" s="31"/>
      <c r="I31" s="31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</row>
    <row r="32" customFormat="false" ht="12.75" hidden="false" customHeight="false" outlineLevel="0" collapsed="false">
      <c r="A32" s="0"/>
      <c r="B32" s="0"/>
      <c r="C32" s="31"/>
      <c r="D32" s="31"/>
      <c r="E32" s="31"/>
      <c r="F32" s="31"/>
      <c r="G32" s="31"/>
      <c r="H32" s="31"/>
      <c r="I32" s="31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</row>
    <row r="33" customFormat="false" ht="12.75" hidden="false" customHeight="false" outlineLevel="0" collapsed="false">
      <c r="A33" s="0"/>
      <c r="B33" s="0"/>
      <c r="C33" s="31"/>
      <c r="D33" s="31"/>
      <c r="E33" s="31"/>
      <c r="F33" s="31"/>
      <c r="G33" s="31"/>
      <c r="H33" s="31"/>
      <c r="I33" s="31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</row>
    <row r="34" customFormat="false" ht="12.75" hidden="false" customHeight="false" outlineLevel="0" collapsed="false">
      <c r="A34" s="0"/>
      <c r="B34" s="0"/>
      <c r="C34" s="31"/>
      <c r="D34" s="31"/>
      <c r="E34" s="31"/>
      <c r="F34" s="31"/>
      <c r="G34" s="31"/>
      <c r="H34" s="31"/>
      <c r="I34" s="31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</row>
    <row r="35" customFormat="false" ht="12.75" hidden="false" customHeight="false" outlineLevel="0" collapsed="false">
      <c r="A35" s="0"/>
      <c r="B35" s="0"/>
      <c r="C35" s="31"/>
      <c r="D35" s="31"/>
      <c r="E35" s="31"/>
      <c r="F35" s="31"/>
      <c r="G35" s="31"/>
      <c r="H35" s="31"/>
      <c r="I35" s="31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</row>
    <row r="36" customFormat="false" ht="12.75" hidden="false" customHeight="false" outlineLevel="0" collapsed="false">
      <c r="A36" s="0"/>
      <c r="B36" s="0"/>
      <c r="C36" s="31"/>
      <c r="D36" s="31"/>
      <c r="E36" s="31"/>
      <c r="F36" s="31"/>
      <c r="G36" s="31"/>
      <c r="H36" s="31"/>
      <c r="I36" s="31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</row>
    <row r="37" customFormat="false" ht="12.75" hidden="false" customHeight="false" outlineLevel="0" collapsed="false">
      <c r="A37" s="0"/>
      <c r="B37" s="0"/>
      <c r="C37" s="31"/>
      <c r="D37" s="31"/>
      <c r="E37" s="31"/>
      <c r="F37" s="31"/>
      <c r="G37" s="31"/>
      <c r="H37" s="31"/>
      <c r="I37" s="31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</row>
    <row r="38" customFormat="false" ht="12.75" hidden="false" customHeight="false" outlineLevel="0" collapsed="false">
      <c r="A38" s="0"/>
      <c r="B38" s="0"/>
      <c r="C38" s="31"/>
      <c r="D38" s="31"/>
      <c r="E38" s="31"/>
      <c r="F38" s="31"/>
      <c r="G38" s="31"/>
      <c r="H38" s="31"/>
      <c r="I38" s="31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</row>
    <row r="39" customFormat="false" ht="12.75" hidden="false" customHeight="false" outlineLevel="0" collapsed="false">
      <c r="A39" s="0"/>
      <c r="B39" s="0"/>
      <c r="C39" s="31"/>
      <c r="D39" s="31"/>
      <c r="E39" s="31"/>
      <c r="F39" s="31"/>
      <c r="G39" s="31"/>
      <c r="H39" s="31"/>
      <c r="I39" s="31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</row>
    <row r="40" customFormat="false" ht="12.75" hidden="false" customHeight="false" outlineLevel="0" collapsed="false">
      <c r="A40" s="0"/>
      <c r="B40" s="0"/>
      <c r="C40" s="31"/>
      <c r="D40" s="31"/>
      <c r="E40" s="31"/>
      <c r="F40" s="31"/>
      <c r="G40" s="31"/>
      <c r="H40" s="31"/>
      <c r="I40" s="31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</row>
    <row r="41" customFormat="false" ht="12.75" hidden="false" customHeight="false" outlineLevel="0" collapsed="false">
      <c r="A41" s="0"/>
      <c r="B41" s="0"/>
      <c r="C41" s="31"/>
      <c r="D41" s="31"/>
      <c r="E41" s="31"/>
      <c r="F41" s="31"/>
      <c r="G41" s="31"/>
      <c r="H41" s="31"/>
      <c r="I41" s="31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</row>
    <row r="42" customFormat="false" ht="12.75" hidden="false" customHeight="false" outlineLevel="0" collapsed="false">
      <c r="A42" s="0"/>
      <c r="B42" s="0"/>
      <c r="C42" s="31"/>
      <c r="D42" s="31"/>
      <c r="E42" s="31"/>
      <c r="F42" s="31"/>
      <c r="G42" s="31"/>
      <c r="H42" s="31"/>
      <c r="I42" s="31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</row>
    <row r="43" customFormat="false" ht="12.75" hidden="false" customHeight="false" outlineLevel="0" collapsed="false">
      <c r="A43" s="0"/>
      <c r="B43" s="0"/>
      <c r="C43" s="31"/>
      <c r="D43" s="31"/>
      <c r="E43" s="31"/>
      <c r="F43" s="31"/>
      <c r="G43" s="31"/>
      <c r="H43" s="31"/>
      <c r="I43" s="31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</row>
    <row r="44" customFormat="false" ht="12.75" hidden="false" customHeight="false" outlineLevel="0" collapsed="false">
      <c r="A44" s="0"/>
      <c r="B44" s="0"/>
      <c r="C44" s="31"/>
      <c r="D44" s="31"/>
      <c r="E44" s="31"/>
      <c r="F44" s="31"/>
      <c r="G44" s="31"/>
      <c r="H44" s="31"/>
      <c r="I44" s="31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</row>
    <row r="45" customFormat="false" ht="12.75" hidden="false" customHeight="false" outlineLevel="0" collapsed="false">
      <c r="A45" s="0"/>
      <c r="B45" s="0"/>
      <c r="C45" s="31"/>
      <c r="D45" s="31"/>
      <c r="E45" s="31"/>
      <c r="F45" s="31"/>
      <c r="G45" s="31"/>
      <c r="H45" s="31"/>
      <c r="I45" s="31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</row>
    <row r="46" customFormat="false" ht="12.75" hidden="false" customHeight="false" outlineLevel="0" collapsed="false">
      <c r="A46" s="0"/>
      <c r="B46" s="0"/>
      <c r="C46" s="31"/>
      <c r="D46" s="31"/>
      <c r="E46" s="31"/>
      <c r="F46" s="31"/>
      <c r="G46" s="31"/>
      <c r="H46" s="31"/>
      <c r="I46" s="31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</row>
    <row r="47" customFormat="false" ht="12.75" hidden="false" customHeight="false" outlineLevel="0" collapsed="false">
      <c r="A47" s="21" t="str">
        <f aca="true">CELL("filename")</f>
        <v>'file:///mnt/12tb/@roms/datasets/enron/EDRM Enron Email Data Set v2 XML/filtered-attachments/xls/OM_EST___OSS___2001___2002_REVISED_FORMAT.xls'#$Orig '02 Plan Gross</v>
      </c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customFormat="false" ht="12.75" hidden="false" customHeight="false" outlineLevel="0" collapsed="false">
      <c r="A48" s="23" t="n">
        <f aca="true">NOW()</f>
        <v>45926.8935504616</v>
      </c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customFormat="false" ht="12.75" hidden="false" customHeight="false" outlineLevel="0" collapsed="false">
      <c r="A49" s="21"/>
      <c r="B49" s="21"/>
      <c r="C49" s="22"/>
      <c r="D49" s="22"/>
      <c r="E49" s="22"/>
      <c r="F49" s="22"/>
      <c r="G49" s="22"/>
      <c r="H49" s="22"/>
      <c r="I49" s="22"/>
      <c r="J49" s="22"/>
      <c r="K49" s="22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customFormat="false" ht="12.75" hidden="false" customHeight="false" outlineLevel="0" collapsed="false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customFormat="false" ht="12.75" hidden="false" customHeight="false" outlineLevel="0" collapsed="false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customFormat="false" ht="12.75" hidden="false" customHeight="false" outlineLevel="0" collapsed="false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customFormat="false" ht="12.75" hidden="false" customHeight="false" outlineLevel="0" collapsed="false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customFormat="false" ht="12.75" hidden="false" customHeight="false" outlineLevel="0" collapsed="false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customFormat="false" ht="12.75" hidden="false" customHeight="false" outlineLevel="0" collapsed="false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customFormat="false" ht="12.75" hidden="false" customHeight="false" outlineLevel="0" collapsed="false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customFormat="false" ht="12.75" hidden="false" customHeight="false" outlineLevel="0" collapsed="false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customFormat="false" ht="12.75" hidden="false" customHeight="false" outlineLevel="0" collapsed="false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customFormat="false" ht="12.75" hidden="false" customHeight="false" outlineLevel="0" collapsed="false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customFormat="false" ht="12.75" hidden="false" customHeight="false" outlineLevel="0" collapsed="false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customFormat="false" ht="12.75" hidden="false" customHeight="false" outlineLevel="0" collapsed="false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customFormat="false" ht="12.75" hidden="false" customHeight="false" outlineLevel="0" collapsed="false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customFormat="false" ht="12.75" hidden="false" customHeight="false" outlineLevel="0" collapsed="false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customFormat="false" ht="12.75" hidden="false" customHeight="false" outlineLevel="0" collapsed="false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customFormat="false" ht="12.75" hidden="false" customHeight="false" outlineLevel="0" collapsed="false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customFormat="false" ht="12.75" hidden="false" customHeight="false" outlineLevel="0" collapsed="false"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customFormat="false" ht="12.75" hidden="false" customHeight="false" outlineLevel="0" collapsed="false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customFormat="false" ht="12.75" hidden="false" customHeight="false" outlineLevel="0" collapsed="false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customFormat="false" ht="12.75" hidden="false" customHeight="false" outlineLevel="0" collapsed="false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customFormat="false" ht="12.75" hidden="false" customHeight="false" outlineLevel="0" collapsed="false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customFormat="false" ht="12.75" hidden="false" customHeight="false" outlineLevel="0" collapsed="false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customFormat="false" ht="12.75" hidden="false" customHeight="false" outlineLevel="0" collapsed="false"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customFormat="false" ht="12.75" hidden="false" customHeight="false" outlineLevel="0" collapsed="false"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customFormat="false" ht="12.75" hidden="false" customHeight="false" outlineLevel="0" collapsed="false"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customFormat="false" ht="12.75" hidden="false" customHeight="false" outlineLevel="0" collapsed="false"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customFormat="false" ht="12.75" hidden="false" customHeight="false" outlineLevel="0" collapsed="false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</row>
    <row r="77" customFormat="false" ht="12.75" hidden="false" customHeight="false" outlineLevel="0" collapsed="false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</row>
    <row r="78" customFormat="false" ht="12.75" hidden="false" customHeight="false" outlineLevel="0" collapsed="false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</row>
    <row r="79" customFormat="false" ht="12.75" hidden="false" customHeight="false" outlineLevel="0" collapsed="false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</row>
    <row r="80" customFormat="false" ht="12.75" hidden="false" customHeight="false" outlineLevel="0" collapsed="false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</row>
    <row r="81" customFormat="false" ht="12.75" hidden="false" customHeight="false" outlineLevel="0" collapsed="false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</row>
    <row r="82" customFormat="false" ht="12.75" hidden="false" customHeight="false" outlineLevel="0" collapsed="false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</row>
    <row r="83" customFormat="false" ht="12.75" hidden="false" customHeight="false" outlineLevel="0" collapsed="false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</row>
    <row r="84" customFormat="false" ht="12.75" hidden="false" customHeight="false" outlineLevel="0" collapsed="false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</row>
    <row r="85" customFormat="false" ht="12.75" hidden="false" customHeight="false" outlineLevel="0" collapsed="false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</row>
    <row r="86" customFormat="false" ht="12.75" hidden="false" customHeight="false" outlineLevel="0" collapsed="false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</row>
    <row r="87" customFormat="false" ht="12.75" hidden="false" customHeight="false" outlineLevel="0" collapsed="false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</row>
    <row r="88" customFormat="false" ht="12.75" hidden="false" customHeight="false" outlineLevel="0" collapsed="false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</row>
    <row r="89" customFormat="false" ht="12.75" hidden="false" customHeight="false" outlineLevel="0" collapsed="false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</row>
    <row r="90" customFormat="false" ht="12.75" hidden="false" customHeight="false" outlineLevel="0" collapsed="false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</row>
    <row r="91" customFormat="false" ht="12.75" hidden="false" customHeight="false" outlineLevel="0" collapsed="false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</row>
    <row r="92" customFormat="false" ht="12.75" hidden="false" customHeight="false" outlineLevel="0" collapsed="false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</row>
    <row r="93" customFormat="false" ht="12.75" hidden="false" customHeight="false" outlineLevel="0" collapsed="false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</row>
    <row r="94" customFormat="false" ht="12.75" hidden="false" customHeight="false" outlineLevel="0" collapsed="false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</row>
    <row r="95" customFormat="false" ht="12.75" hidden="false" customHeight="false" outlineLevel="0" collapsed="false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</row>
    <row r="96" customFormat="false" ht="12.75" hidden="false" customHeight="false" outlineLevel="0" collapsed="false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</row>
    <row r="97" customFormat="false" ht="12.75" hidden="false" customHeight="false" outlineLevel="0" collapsed="false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</row>
    <row r="98" customFormat="false" ht="12.75" hidden="false" customHeight="false" outlineLevel="0" collapsed="false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</row>
    <row r="99" customFormat="false" ht="12.75" hidden="false" customHeight="false" outlineLevel="0" collapsed="false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</row>
    <row r="100" customFormat="false" ht="12.75" hidden="false" customHeight="false" outlineLevel="0" collapsed="false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</row>
    <row r="101" customFormat="false" ht="12.75" hidden="false" customHeight="false" outlineLevel="0" collapsed="false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</row>
    <row r="102" customFormat="false" ht="12.75" hidden="false" customHeight="false" outlineLevel="0" collapsed="false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</row>
    <row r="103" customFormat="false" ht="12.75" hidden="false" customHeight="false" outlineLevel="0" collapsed="false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</row>
    <row r="104" customFormat="false" ht="12.75" hidden="false" customHeight="false" outlineLevel="0" collapsed="false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</row>
    <row r="105" customFormat="false" ht="12.75" hidden="false" customHeight="false" outlineLevel="0" collapsed="false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</row>
    <row r="106" customFormat="false" ht="12.75" hidden="false" customHeight="false" outlineLevel="0" collapsed="false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</row>
    <row r="107" customFormat="false" ht="12.75" hidden="false" customHeight="false" outlineLevel="0" collapsed="false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</row>
    <row r="108" customFormat="false" ht="12.75" hidden="false" customHeight="false" outlineLevel="0" collapsed="false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</row>
    <row r="109" customFormat="false" ht="12.75" hidden="false" customHeight="false" outlineLevel="0" collapsed="false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</row>
  </sheetData>
  <mergeCells count="4">
    <mergeCell ref="A1:AE1"/>
    <mergeCell ref="A2:AE2"/>
    <mergeCell ref="A3:AE3"/>
    <mergeCell ref="A4:AE4"/>
  </mergeCells>
  <printOptions headings="false" gridLines="false" gridLinesSet="true" horizontalCentered="true" verticalCentered="false"/>
  <pageMargins left="0" right="0" top="0.75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14"/>
    <col collapsed="false" customWidth="true" hidden="false" outlineLevel="0" max="2" min="2" style="1" width="2.13"/>
    <col collapsed="false" customWidth="true" hidden="false" outlineLevel="0" max="3" min="3" style="1" width="6.7"/>
    <col collapsed="false" customWidth="true" hidden="false" outlineLevel="0" max="4" min="4" style="1" width="1.7"/>
    <col collapsed="false" customWidth="true" hidden="false" outlineLevel="0" max="5" min="5" style="1" width="6.7"/>
    <col collapsed="false" customWidth="true" hidden="false" outlineLevel="0" max="6" min="6" style="1" width="3.7"/>
    <col collapsed="false" customWidth="true" hidden="false" outlineLevel="0" max="7" min="7" style="1" width="6.7"/>
    <col collapsed="false" customWidth="true" hidden="false" outlineLevel="0" max="8" min="8" style="1" width="1.7"/>
    <col collapsed="false" customWidth="true" hidden="false" outlineLevel="0" max="9" min="9" style="1" width="6.7"/>
    <col collapsed="false" customWidth="true" hidden="false" outlineLevel="0" max="10" min="10" style="1" width="1.7"/>
    <col collapsed="false" customWidth="true" hidden="false" outlineLevel="0" max="11" min="11" style="1" width="6.7"/>
    <col collapsed="false" customWidth="true" hidden="false" outlineLevel="0" max="12" min="12" style="1" width="1.7"/>
    <col collapsed="false" customWidth="true" hidden="false" outlineLevel="0" max="13" min="13" style="1" width="6.7"/>
    <col collapsed="false" customWidth="true" hidden="false" outlineLevel="0" max="14" min="14" style="1" width="1.7"/>
    <col collapsed="false" customWidth="true" hidden="false" outlineLevel="0" max="15" min="15" style="1" width="6.7"/>
    <col collapsed="false" customWidth="true" hidden="false" outlineLevel="0" max="16" min="16" style="1" width="1.7"/>
    <col collapsed="false" customWidth="true" hidden="false" outlineLevel="0" max="17" min="17" style="1" width="6.7"/>
    <col collapsed="false" customWidth="true" hidden="false" outlineLevel="0" max="18" min="18" style="1" width="1.7"/>
    <col collapsed="false" customWidth="true" hidden="false" outlineLevel="0" max="19" min="19" style="1" width="6.7"/>
    <col collapsed="false" customWidth="true" hidden="false" outlineLevel="0" max="20" min="20" style="1" width="1.7"/>
    <col collapsed="false" customWidth="true" hidden="false" outlineLevel="0" max="21" min="21" style="1" width="6.7"/>
    <col collapsed="false" customWidth="true" hidden="false" outlineLevel="0" max="22" min="22" style="1" width="1.7"/>
    <col collapsed="false" customWidth="true" hidden="false" outlineLevel="0" max="23" min="23" style="1" width="6.7"/>
    <col collapsed="false" customWidth="true" hidden="false" outlineLevel="0" max="24" min="24" style="1" width="1.7"/>
    <col collapsed="false" customWidth="true" hidden="false" outlineLevel="0" max="25" min="25" style="1" width="6.7"/>
    <col collapsed="false" customWidth="true" hidden="false" outlineLevel="0" max="26" min="26" style="1" width="1.7"/>
    <col collapsed="false" customWidth="true" hidden="false" outlineLevel="0" max="27" min="27" style="1" width="6.7"/>
    <col collapsed="false" customWidth="true" hidden="false" outlineLevel="0" max="28" min="28" style="1" width="1.7"/>
    <col collapsed="false" customWidth="true" hidden="false" outlineLevel="0" max="29" min="29" style="1" width="6.7"/>
    <col collapsed="false" customWidth="true" hidden="false" outlineLevel="0" max="30" min="30" style="1" width="1.7"/>
    <col collapsed="false" customWidth="true" hidden="false" outlineLevel="0" max="31" min="31" style="1" width="6.7"/>
    <col collapsed="false" customWidth="true" hidden="false" outlineLevel="0" max="32" min="32" style="1" width="1.7"/>
    <col collapsed="false" customWidth="true" hidden="true" outlineLevel="0" max="33" min="33" style="1" width="11.7"/>
    <col collapsed="false" customWidth="true" hidden="true" outlineLevel="0" max="34" min="34" style="1" width="1.85"/>
    <col collapsed="false" customWidth="true" hidden="false" outlineLevel="0" max="35" min="35" style="1" width="6.7"/>
    <col collapsed="false" customWidth="true" hidden="false" outlineLevel="0" max="36" min="36" style="1" width="1.7"/>
    <col collapsed="false" customWidth="true" hidden="false" outlineLevel="0" max="37" min="37" style="1" width="10.71"/>
    <col collapsed="false" customWidth="false" hidden="false" outlineLevel="0" max="257" min="38" style="1" width="9.14"/>
  </cols>
  <sheetData>
    <row r="1" customFormat="false" ht="15.75" hidden="false" customHeight="false" outlineLevel="0" collapsed="false">
      <c r="A1" s="3" t="s">
        <v>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5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5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customFormat="false" ht="15.75" hidden="false" customHeight="false" outlineLevel="0" collapsed="false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customFormat="false" ht="12.75" hidden="false" customHeight="false" outlineLevel="0" collapsed="false">
      <c r="A6" s="7"/>
    </row>
    <row r="8" customFormat="false" ht="12.75" hidden="false" customHeight="false" outlineLevel="0" collapsed="false">
      <c r="A8" s="2"/>
      <c r="B8" s="2"/>
      <c r="C8" s="8"/>
      <c r="D8" s="8"/>
      <c r="E8" s="8"/>
      <c r="F8" s="8"/>
      <c r="G8" s="8"/>
      <c r="H8" s="8"/>
      <c r="I8" s="8"/>
      <c r="J8" s="8"/>
      <c r="K8" s="8"/>
      <c r="L8" s="2"/>
      <c r="M8" s="8"/>
      <c r="N8" s="8"/>
      <c r="O8" s="8"/>
      <c r="P8" s="8"/>
      <c r="Q8" s="8"/>
      <c r="R8" s="8"/>
      <c r="S8" s="8"/>
      <c r="T8" s="8"/>
      <c r="U8" s="8"/>
      <c r="V8" s="2"/>
      <c r="W8" s="8"/>
      <c r="X8" s="8"/>
      <c r="Y8" s="8"/>
      <c r="Z8" s="8"/>
      <c r="AA8" s="8"/>
      <c r="AB8" s="8"/>
      <c r="AC8" s="8"/>
      <c r="AD8" s="8"/>
      <c r="AE8" s="8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2.75" hidden="false" customHeight="false" outlineLevel="0" collapsed="false">
      <c r="E9" s="9"/>
      <c r="O9" s="9"/>
      <c r="Y9" s="9"/>
    </row>
    <row r="10" customFormat="false" ht="12.75" hidden="false" customHeight="false" outlineLevel="0" collapsed="false">
      <c r="C10" s="9"/>
      <c r="D10" s="0"/>
      <c r="E10" s="9"/>
      <c r="F10" s="0"/>
      <c r="G10" s="9"/>
      <c r="H10" s="10"/>
      <c r="I10" s="9"/>
      <c r="J10" s="0"/>
      <c r="K10" s="9" t="s">
        <v>44</v>
      </c>
      <c r="M10" s="9" t="s">
        <v>44</v>
      </c>
      <c r="O10" s="9" t="s">
        <v>44</v>
      </c>
      <c r="P10" s="0"/>
      <c r="Q10" s="9" t="s">
        <v>44</v>
      </c>
      <c r="R10" s="10"/>
      <c r="S10" s="9" t="s">
        <v>44</v>
      </c>
      <c r="U10" s="9" t="s">
        <v>44</v>
      </c>
      <c r="W10" s="9" t="s">
        <v>44</v>
      </c>
      <c r="Y10" s="9" t="s">
        <v>44</v>
      </c>
      <c r="AA10" s="9" t="s">
        <v>44</v>
      </c>
      <c r="AB10" s="10"/>
      <c r="AC10" s="9" t="s">
        <v>44</v>
      </c>
      <c r="AE10" s="9" t="s">
        <v>44</v>
      </c>
      <c r="AG10" s="9" t="s">
        <v>6</v>
      </c>
      <c r="AI10" s="9" t="s">
        <v>44</v>
      </c>
      <c r="AJ10" s="9"/>
      <c r="AK10" s="9" t="s">
        <v>44</v>
      </c>
    </row>
    <row r="11" customFormat="false" ht="12.75" hidden="false" customHeight="false" outlineLevel="0" collapsed="false">
      <c r="C11" s="9"/>
      <c r="D11" s="9"/>
      <c r="E11" s="9"/>
      <c r="F11" s="9"/>
      <c r="G11" s="9"/>
      <c r="H11" s="9"/>
      <c r="I11" s="9"/>
      <c r="J11" s="9"/>
      <c r="K11" s="9" t="n">
        <v>2002</v>
      </c>
      <c r="M11" s="9" t="n">
        <v>2002</v>
      </c>
      <c r="N11" s="9"/>
      <c r="O11" s="9" t="n">
        <v>2002</v>
      </c>
      <c r="P11" s="9"/>
      <c r="Q11" s="9" t="n">
        <v>2002</v>
      </c>
      <c r="R11" s="9"/>
      <c r="S11" s="9" t="n">
        <v>2002</v>
      </c>
      <c r="T11" s="9"/>
      <c r="U11" s="9" t="n">
        <v>2002</v>
      </c>
      <c r="W11" s="9" t="n">
        <v>2002</v>
      </c>
      <c r="Y11" s="9" t="n">
        <v>2002</v>
      </c>
      <c r="AA11" s="9" t="n">
        <v>2002</v>
      </c>
      <c r="AB11" s="9"/>
      <c r="AC11" s="9" t="n">
        <v>2002</v>
      </c>
      <c r="AD11" s="9"/>
      <c r="AE11" s="9" t="n">
        <v>2002</v>
      </c>
      <c r="AG11" s="8" t="s">
        <v>9</v>
      </c>
      <c r="AI11" s="9" t="n">
        <v>2002</v>
      </c>
      <c r="AJ11" s="9"/>
      <c r="AK11" s="9" t="n">
        <v>2002</v>
      </c>
    </row>
    <row r="12" customFormat="false" ht="12.75" hidden="false" customHeight="false" outlineLevel="0" collapsed="false">
      <c r="A12" s="11" t="s">
        <v>10</v>
      </c>
      <c r="C12" s="11"/>
      <c r="D12" s="9"/>
      <c r="E12" s="11"/>
      <c r="F12" s="8"/>
      <c r="G12" s="11"/>
      <c r="H12" s="8"/>
      <c r="I12" s="11"/>
      <c r="J12" s="9"/>
      <c r="K12" s="11" t="s">
        <v>15</v>
      </c>
      <c r="M12" s="11" t="s">
        <v>16</v>
      </c>
      <c r="N12" s="9"/>
      <c r="O12" s="11" t="s">
        <v>17</v>
      </c>
      <c r="P12" s="8"/>
      <c r="Q12" s="11" t="s">
        <v>18</v>
      </c>
      <c r="R12" s="8"/>
      <c r="S12" s="11" t="s">
        <v>19</v>
      </c>
      <c r="T12" s="9"/>
      <c r="U12" s="11" t="s">
        <v>20</v>
      </c>
      <c r="W12" s="11" t="s">
        <v>21</v>
      </c>
      <c r="Y12" s="11" t="s">
        <v>22</v>
      </c>
      <c r="AA12" s="11" t="s">
        <v>23</v>
      </c>
      <c r="AB12" s="8"/>
      <c r="AC12" s="11" t="s">
        <v>7</v>
      </c>
      <c r="AD12" s="9"/>
      <c r="AE12" s="11" t="s">
        <v>13</v>
      </c>
      <c r="AF12" s="2"/>
      <c r="AG12" s="11" t="s">
        <v>24</v>
      </c>
      <c r="AH12" s="2"/>
      <c r="AI12" s="11" t="s">
        <v>14</v>
      </c>
      <c r="AJ12" s="8"/>
      <c r="AK12" s="11" t="s">
        <v>46</v>
      </c>
    </row>
    <row r="13" customFormat="false" ht="12.75" hidden="false" customHeight="false" outlineLevel="0" collapsed="false">
      <c r="A13" s="12" t="s">
        <v>27</v>
      </c>
      <c r="C13" s="13"/>
      <c r="D13" s="13"/>
      <c r="E13" s="13"/>
      <c r="F13" s="13"/>
      <c r="G13" s="13"/>
      <c r="H13" s="13"/>
      <c r="I13" s="13"/>
      <c r="J13" s="13"/>
      <c r="K13" s="13" t="n">
        <f aca="false">391.959+21.14</f>
        <v>413.099</v>
      </c>
      <c r="L13" s="13"/>
      <c r="M13" s="13" t="n">
        <f aca="false">398.81+33.759</f>
        <v>432.569</v>
      </c>
      <c r="N13" s="13"/>
      <c r="O13" s="13" t="n">
        <f aca="false">400.923+22.039</f>
        <v>422.962</v>
      </c>
      <c r="P13" s="13"/>
      <c r="Q13" s="13" t="n">
        <f aca="false">400.346+22.039</f>
        <v>422.385</v>
      </c>
      <c r="R13" s="13"/>
      <c r="S13" s="13" t="n">
        <f aca="false">398.998+22.039</f>
        <v>421.037</v>
      </c>
      <c r="T13" s="13"/>
      <c r="U13" s="13" t="n">
        <f aca="false">402.461+22.039</f>
        <v>424.5</v>
      </c>
      <c r="V13" s="13"/>
      <c r="W13" s="13" t="n">
        <f aca="false">399.355+22.039</f>
        <v>421.394</v>
      </c>
      <c r="X13" s="13"/>
      <c r="Y13" s="13" t="n">
        <f aca="false">399.573+22.039</f>
        <v>421.612</v>
      </c>
      <c r="Z13" s="13"/>
      <c r="AA13" s="13" t="n">
        <f aca="false">402.203+22.039</f>
        <v>424.242</v>
      </c>
      <c r="AB13" s="13"/>
      <c r="AC13" s="13" t="n">
        <f aca="false">402.967+22.039</f>
        <v>425.006</v>
      </c>
      <c r="AD13" s="13"/>
      <c r="AE13" s="13" t="n">
        <f aca="false">401.689+22.039</f>
        <v>423.728</v>
      </c>
      <c r="AF13" s="13"/>
      <c r="AG13" s="13" t="n">
        <f aca="false">-448.4/11017</f>
        <v>-0.0407007352273759</v>
      </c>
      <c r="AH13" s="13"/>
      <c r="AI13" s="13" t="n">
        <f aca="false">382.849+22.039</f>
        <v>404.888</v>
      </c>
      <c r="AJ13" s="13"/>
      <c r="AK13" s="34" t="n">
        <f aca="false">SUM(K13:AI13)</f>
        <v>5057.38129926477</v>
      </c>
    </row>
    <row r="14" customFormat="false" ht="12.75" hidden="false" customHeight="false" outlineLevel="0" collapsed="false">
      <c r="A14" s="12" t="s">
        <v>28</v>
      </c>
      <c r="C14" s="13"/>
      <c r="D14" s="13"/>
      <c r="E14" s="13"/>
      <c r="F14" s="13"/>
      <c r="G14" s="13"/>
      <c r="H14" s="13"/>
      <c r="I14" s="13"/>
      <c r="J14" s="13"/>
      <c r="K14" s="13" t="n">
        <f aca="false">87.938+2.9</f>
        <v>90.838</v>
      </c>
      <c r="L14" s="13"/>
      <c r="M14" s="13" t="n">
        <f aca="false">91.158+4.654</f>
        <v>95.812</v>
      </c>
      <c r="N14" s="13"/>
      <c r="O14" s="13" t="n">
        <f aca="false">96.562+3.039</f>
        <v>99.601</v>
      </c>
      <c r="P14" s="13"/>
      <c r="Q14" s="13" t="n">
        <f aca="false">92.413+3.039</f>
        <v>95.452</v>
      </c>
      <c r="R14" s="13"/>
      <c r="S14" s="13" t="n">
        <f aca="false">91.27+3.039</f>
        <v>94.309</v>
      </c>
      <c r="T14" s="13"/>
      <c r="U14" s="13" t="n">
        <f aca="false">95.394+3.039</f>
        <v>98.433</v>
      </c>
      <c r="V14" s="13"/>
      <c r="W14" s="13" t="n">
        <f aca="false">93.517+3.039</f>
        <v>96.556</v>
      </c>
      <c r="X14" s="13"/>
      <c r="Y14" s="13" t="n">
        <f aca="false">91.119+3.039</f>
        <v>94.158</v>
      </c>
      <c r="Z14" s="13"/>
      <c r="AA14" s="13" t="n">
        <f aca="false">93.579+3.039</f>
        <v>96.618</v>
      </c>
      <c r="AB14" s="13"/>
      <c r="AC14" s="13" t="n">
        <f aca="false">92.634+3.039</f>
        <v>95.673</v>
      </c>
      <c r="AD14" s="13"/>
      <c r="AE14" s="13" t="n">
        <f aca="false">91.159+3.039</f>
        <v>94.198</v>
      </c>
      <c r="AF14" s="13"/>
      <c r="AG14" s="13" t="n">
        <f aca="false">-102.4/1810</f>
        <v>-0.0565745856353591</v>
      </c>
      <c r="AH14" s="13"/>
      <c r="AI14" s="13" t="n">
        <f aca="false">87.189+3.039</f>
        <v>90.228</v>
      </c>
      <c r="AJ14" s="13"/>
      <c r="AK14" s="34" t="n">
        <f aca="false">SUM(K14:AI14)</f>
        <v>1141.81942541436</v>
      </c>
    </row>
    <row r="15" customFormat="false" ht="12.75" hidden="false" customHeight="false" outlineLevel="0" collapsed="false">
      <c r="A15" s="12" t="s">
        <v>29</v>
      </c>
      <c r="C15" s="13"/>
      <c r="D15" s="0"/>
      <c r="E15" s="13"/>
      <c r="F15" s="0"/>
      <c r="G15" s="13"/>
      <c r="H15" s="0"/>
      <c r="I15" s="13"/>
      <c r="J15" s="13"/>
      <c r="K15" s="13" t="n">
        <f aca="false">186.62+8.266</f>
        <v>194.886</v>
      </c>
      <c r="L15" s="13"/>
      <c r="M15" s="13" t="n">
        <f aca="false">187.639+13.2</f>
        <v>200.839</v>
      </c>
      <c r="N15" s="13"/>
      <c r="O15" s="13" t="n">
        <f aca="false">8.6+184.346</f>
        <v>192.946</v>
      </c>
      <c r="P15" s="13"/>
      <c r="Q15" s="13" t="n">
        <f aca="false">8.6+184.324</f>
        <v>192.924</v>
      </c>
      <c r="R15" s="13"/>
      <c r="S15" s="13" t="n">
        <f aca="false">8.6+186.744</f>
        <v>195.344</v>
      </c>
      <c r="T15" s="13"/>
      <c r="U15" s="13" t="n">
        <f aca="false">8.6+183.373</f>
        <v>191.973</v>
      </c>
      <c r="V15" s="13"/>
      <c r="W15" s="13" t="n">
        <f aca="false">8.6+186.718</f>
        <v>195.318</v>
      </c>
      <c r="X15" s="13"/>
      <c r="Y15" s="13" t="n">
        <f aca="false">8.6+187.544</f>
        <v>196.144</v>
      </c>
      <c r="Z15" s="13"/>
      <c r="AA15" s="13" t="n">
        <f aca="false">8.6+184.353</f>
        <v>192.953</v>
      </c>
      <c r="AB15" s="13"/>
      <c r="AC15" s="13" t="n">
        <f aca="false">8.6+182.197</f>
        <v>190.797</v>
      </c>
      <c r="AD15" s="13"/>
      <c r="AE15" s="13" t="n">
        <f aca="false">8.6+187.595</f>
        <v>196.195</v>
      </c>
      <c r="AF15" s="13"/>
      <c r="AG15" s="14" t="n">
        <f aca="false">-155.5/1959</f>
        <v>-0.0793772332822869</v>
      </c>
      <c r="AH15" s="13"/>
      <c r="AI15" s="13" t="n">
        <f aca="false">8.6+105.959</f>
        <v>114.559</v>
      </c>
      <c r="AJ15" s="13"/>
      <c r="AK15" s="34" t="n">
        <f aca="false">SUM(K15:AI15)</f>
        <v>2254.79862276672</v>
      </c>
    </row>
    <row r="16" customFormat="false" ht="12.75" hidden="false" customHeight="false" outlineLevel="0" collapsed="false">
      <c r="A16" s="12" t="s">
        <v>30</v>
      </c>
      <c r="C16" s="0"/>
      <c r="D16" s="0"/>
      <c r="E16" s="13"/>
      <c r="F16" s="0"/>
      <c r="G16" s="0"/>
      <c r="H16" s="0"/>
      <c r="I16" s="0"/>
      <c r="J16" s="13"/>
      <c r="K16" s="13" t="n">
        <f aca="false">180.315+10.843+0.369+5.7</f>
        <v>197.227</v>
      </c>
      <c r="L16" s="13"/>
      <c r="M16" s="13" t="n">
        <f aca="false">10.736+180.796+0.59+9.112</f>
        <v>201.234</v>
      </c>
      <c r="N16" s="13"/>
      <c r="O16" s="13" t="n">
        <f aca="false">181.167+10.736+5.948+0.385</f>
        <v>198.236</v>
      </c>
      <c r="P16" s="13"/>
      <c r="Q16" s="13" t="n">
        <f aca="false">180.964+10.861+5.948+0.385</f>
        <v>198.158</v>
      </c>
      <c r="R16" s="13"/>
      <c r="S16" s="13" t="n">
        <f aca="false">181.532+10.736+5.948+0.385</f>
        <v>198.601</v>
      </c>
      <c r="T16" s="13"/>
      <c r="U16" s="13" t="n">
        <f aca="false">180.518+10.936+5.948+0.385</f>
        <v>197.787</v>
      </c>
      <c r="V16" s="13"/>
      <c r="W16" s="13" t="n">
        <f aca="false">180.804+10.861+5.948+0.385</f>
        <v>197.998</v>
      </c>
      <c r="X16" s="13"/>
      <c r="Y16" s="13" t="n">
        <f aca="false">181.326+10.736+5.948+0.385</f>
        <v>198.395</v>
      </c>
      <c r="Z16" s="13"/>
      <c r="AA16" s="13" t="n">
        <f aca="false">180.568+10.736+5.948+0.385</f>
        <v>197.637</v>
      </c>
      <c r="AB16" s="13"/>
      <c r="AC16" s="13" t="n">
        <f aca="false">181.59+11.061+5.948+0.385</f>
        <v>198.984</v>
      </c>
      <c r="AD16" s="13"/>
      <c r="AE16" s="13" t="n">
        <f aca="false">179.958+10.736+5.948+0.385</f>
        <v>197.027</v>
      </c>
      <c r="AF16" s="13"/>
      <c r="AG16" s="13" t="n">
        <f aca="false">(W16-M16)/M16</f>
        <v>-0.0160807815776658</v>
      </c>
      <c r="AH16" s="13"/>
      <c r="AI16" s="13" t="n">
        <f aca="false">273.855+8.771+5.948+0.385</f>
        <v>288.959</v>
      </c>
      <c r="AJ16" s="13"/>
      <c r="AK16" s="34" t="n">
        <f aca="false">SUM(K16:AI16)</f>
        <v>2470.22691921842</v>
      </c>
    </row>
    <row r="17" customFormat="false" ht="12.75" hidden="false" customHeight="false" outlineLevel="0" collapsed="false">
      <c r="A17" s="12" t="s">
        <v>31</v>
      </c>
      <c r="C17" s="0"/>
      <c r="D17" s="0"/>
      <c r="E17" s="13"/>
      <c r="F17" s="0"/>
      <c r="G17" s="0"/>
      <c r="H17" s="0"/>
      <c r="I17" s="0"/>
      <c r="J17" s="13"/>
      <c r="K17" s="13"/>
      <c r="M17" s="0"/>
      <c r="N17" s="0"/>
      <c r="O17" s="0"/>
      <c r="P17" s="0"/>
      <c r="Q17" s="0"/>
      <c r="R17" s="0"/>
      <c r="S17" s="0"/>
      <c r="T17" s="13"/>
      <c r="U17" s="13"/>
      <c r="V17" s="13"/>
      <c r="W17" s="0"/>
      <c r="X17" s="0"/>
      <c r="Y17" s="0"/>
      <c r="Z17" s="0"/>
      <c r="AA17" s="0"/>
      <c r="AB17" s="0"/>
      <c r="AC17" s="0"/>
      <c r="AD17" s="13"/>
      <c r="AE17" s="13"/>
      <c r="AG17" s="35"/>
      <c r="AI17" s="35"/>
      <c r="AJ17" s="13"/>
      <c r="AK17" s="34" t="n">
        <f aca="false">SUM(K17:AI17)</f>
        <v>0</v>
      </c>
    </row>
    <row r="18" customFormat="false" ht="12.75" hidden="false" customHeight="false" outlineLevel="0" collapsed="false">
      <c r="A18" s="12" t="s">
        <v>32</v>
      </c>
      <c r="C18" s="0"/>
      <c r="D18" s="0"/>
      <c r="E18" s="13"/>
      <c r="F18" s="0"/>
      <c r="G18" s="0"/>
      <c r="H18" s="0"/>
      <c r="I18" s="0"/>
      <c r="J18" s="13"/>
      <c r="K18" s="13"/>
      <c r="M18" s="0"/>
      <c r="N18" s="0"/>
      <c r="O18" s="0"/>
      <c r="P18" s="0"/>
      <c r="Q18" s="0"/>
      <c r="R18" s="0"/>
      <c r="S18" s="0"/>
      <c r="T18" s="13"/>
      <c r="U18" s="13"/>
      <c r="V18" s="13"/>
      <c r="W18" s="0"/>
      <c r="X18" s="0"/>
      <c r="Y18" s="0"/>
      <c r="Z18" s="0"/>
      <c r="AA18" s="0"/>
      <c r="AB18" s="0"/>
      <c r="AC18" s="0"/>
      <c r="AD18" s="13"/>
      <c r="AE18" s="13"/>
      <c r="AG18" s="35"/>
      <c r="AI18" s="35"/>
      <c r="AJ18" s="35"/>
      <c r="AK18" s="34" t="n">
        <f aca="false">SUM(K18:AI18)</f>
        <v>0</v>
      </c>
    </row>
    <row r="19" customFormat="false" ht="12.75" hidden="false" customHeight="false" outlineLevel="0" collapsed="false">
      <c r="A19" s="12" t="s">
        <v>33</v>
      </c>
      <c r="C19" s="0"/>
      <c r="D19" s="0"/>
      <c r="E19" s="13"/>
      <c r="F19" s="0"/>
      <c r="G19" s="0"/>
      <c r="H19" s="0"/>
      <c r="I19" s="0"/>
      <c r="J19" s="13"/>
      <c r="K19" s="13"/>
      <c r="M19" s="0"/>
      <c r="N19" s="0"/>
      <c r="O19" s="0"/>
      <c r="P19" s="0"/>
      <c r="Q19" s="0"/>
      <c r="R19" s="0"/>
      <c r="S19" s="0"/>
      <c r="T19" s="13"/>
      <c r="U19" s="13"/>
      <c r="V19" s="13"/>
      <c r="W19" s="0"/>
      <c r="X19" s="0"/>
      <c r="Y19" s="0"/>
      <c r="Z19" s="0"/>
      <c r="AA19" s="0"/>
      <c r="AB19" s="0"/>
      <c r="AC19" s="0"/>
      <c r="AD19" s="13"/>
      <c r="AE19" s="13"/>
      <c r="AG19" s="35"/>
      <c r="AI19" s="35"/>
      <c r="AJ19" s="35"/>
      <c r="AK19" s="34" t="n">
        <f aca="false">SUM(K19:AI19)</f>
        <v>0</v>
      </c>
    </row>
    <row r="20" customFormat="false" ht="12.75" hidden="false" customHeight="false" outlineLevel="0" collapsed="false">
      <c r="A20" s="12" t="s">
        <v>34</v>
      </c>
      <c r="C20" s="0"/>
      <c r="D20" s="0"/>
      <c r="E20" s="13"/>
      <c r="F20" s="0"/>
      <c r="G20" s="0"/>
      <c r="H20" s="0"/>
      <c r="I20" s="0"/>
      <c r="J20" s="13"/>
      <c r="K20" s="13"/>
      <c r="M20" s="0"/>
      <c r="N20" s="0"/>
      <c r="O20" s="0"/>
      <c r="P20" s="0"/>
      <c r="Q20" s="0"/>
      <c r="R20" s="0"/>
      <c r="S20" s="0"/>
      <c r="T20" s="13"/>
      <c r="U20" s="13"/>
      <c r="V20" s="13"/>
      <c r="W20" s="0"/>
      <c r="X20" s="0"/>
      <c r="Y20" s="0"/>
      <c r="Z20" s="0"/>
      <c r="AA20" s="0"/>
      <c r="AB20" s="0"/>
      <c r="AC20" s="0"/>
      <c r="AD20" s="13"/>
      <c r="AE20" s="13"/>
      <c r="AG20" s="35"/>
      <c r="AI20" s="35"/>
      <c r="AJ20" s="35"/>
      <c r="AK20" s="34" t="n">
        <f aca="false">SUM(K20:AI20)</f>
        <v>0</v>
      </c>
    </row>
    <row r="21" customFormat="false" ht="12.75" hidden="false" customHeight="false" outlineLevel="0" collapsed="false">
      <c r="A21" s="12" t="s">
        <v>35</v>
      </c>
      <c r="C21" s="13"/>
      <c r="D21" s="13"/>
      <c r="E21" s="13"/>
      <c r="F21" s="13"/>
      <c r="G21" s="13"/>
      <c r="H21" s="13"/>
      <c r="I21" s="13"/>
      <c r="J21" s="13"/>
      <c r="K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K21" s="34" t="n">
        <f aca="false">SUM(K21:AI21)</f>
        <v>0</v>
      </c>
    </row>
    <row r="22" customFormat="false" ht="12.75" hidden="false" customHeight="false" outlineLevel="0" collapsed="false">
      <c r="A22" s="12" t="s">
        <v>36</v>
      </c>
      <c r="C22" s="13"/>
      <c r="D22" s="13"/>
      <c r="E22" s="13"/>
      <c r="F22" s="13"/>
      <c r="G22" s="13"/>
      <c r="H22" s="13"/>
      <c r="I22" s="13"/>
      <c r="J22" s="13"/>
      <c r="K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G22" s="35"/>
      <c r="AK22" s="34" t="n">
        <f aca="false">SUM(K22:AI22)</f>
        <v>0</v>
      </c>
    </row>
    <row r="23" customFormat="false" ht="12.75" hidden="false" customHeight="false" outlineLevel="0" collapsed="false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35"/>
      <c r="AI23" s="13"/>
      <c r="AJ23" s="13"/>
    </row>
    <row r="24" customFormat="false" ht="13.5" hidden="false" customHeight="false" outlineLevel="0" collapsed="false">
      <c r="A24" s="12" t="s">
        <v>25</v>
      </c>
      <c r="C24" s="15" t="n">
        <f aca="false">SUM(C13:C23)</f>
        <v>0</v>
      </c>
      <c r="D24" s="13"/>
      <c r="E24" s="15" t="n">
        <f aca="false">SUM(E13:E23)</f>
        <v>0</v>
      </c>
      <c r="F24" s="13"/>
      <c r="G24" s="15" t="n">
        <f aca="false">SUM(G13:G23)</f>
        <v>0</v>
      </c>
      <c r="H24" s="13"/>
      <c r="I24" s="15" t="n">
        <f aca="false">SUM(I13:I23)</f>
        <v>0</v>
      </c>
      <c r="J24" s="13"/>
      <c r="K24" s="15" t="n">
        <f aca="false">SUM(K13:K23)</f>
        <v>896.05</v>
      </c>
      <c r="L24" s="13"/>
      <c r="M24" s="15" t="n">
        <f aca="false">SUM(M13:M23)</f>
        <v>930.454</v>
      </c>
      <c r="N24" s="13"/>
      <c r="O24" s="15" t="n">
        <f aca="false">SUM(O13:O23)</f>
        <v>913.745</v>
      </c>
      <c r="P24" s="13"/>
      <c r="Q24" s="15" t="n">
        <f aca="false">SUM(Q13:Q23)</f>
        <v>908.919</v>
      </c>
      <c r="R24" s="13"/>
      <c r="S24" s="15" t="n">
        <f aca="false">SUM(S13:S23)</f>
        <v>909.291</v>
      </c>
      <c r="T24" s="13"/>
      <c r="U24" s="15" t="n">
        <f aca="false">SUM(U13:U23)</f>
        <v>912.693</v>
      </c>
      <c r="V24" s="13"/>
      <c r="W24" s="15" t="n">
        <f aca="false">SUM(W13:W23)</f>
        <v>911.266</v>
      </c>
      <c r="X24" s="13"/>
      <c r="Y24" s="15" t="n">
        <f aca="false">SUM(Y13:Y23)</f>
        <v>910.309</v>
      </c>
      <c r="Z24" s="13"/>
      <c r="AA24" s="15" t="n">
        <f aca="false">SUM(AA13:AA23)</f>
        <v>911.45</v>
      </c>
      <c r="AB24" s="13"/>
      <c r="AC24" s="15" t="n">
        <f aca="false">SUM(AC13:AC23)</f>
        <v>910.46</v>
      </c>
      <c r="AD24" s="13"/>
      <c r="AE24" s="15" t="n">
        <f aca="false">SUM(AE13:AE23)</f>
        <v>911.148</v>
      </c>
      <c r="AF24" s="13"/>
      <c r="AG24" s="36" t="n">
        <f aca="false">(W24-M24)/M24</f>
        <v>-0.0206221908874591</v>
      </c>
      <c r="AI24" s="15" t="n">
        <f aca="false">SUM(AI13:AI23)</f>
        <v>898.634</v>
      </c>
      <c r="AJ24" s="13"/>
      <c r="AK24" s="15" t="n">
        <f aca="false">SUM(AK13:AK23)</f>
        <v>10924.2262666643</v>
      </c>
    </row>
    <row r="25" customFormat="false" ht="25.5" hidden="false" customHeight="true" outlineLevel="0" collapsed="false">
      <c r="A25" s="12"/>
      <c r="AE25" s="24"/>
    </row>
    <row r="26" customFormat="false" ht="12.75" hidden="false" customHeight="fals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</row>
    <row r="27" customFormat="false" ht="12.75" hidden="false" customHeight="false" outlineLevel="0" collapsed="false">
      <c r="A27" s="0" t="s">
        <v>40</v>
      </c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</row>
    <row r="28" customFormat="false" ht="12.75" hidden="false" customHeight="false" outlineLevel="0" collapsed="false">
      <c r="A28" s="0" t="s">
        <v>41</v>
      </c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12" t="s">
        <v>37</v>
      </c>
    </row>
    <row r="29" customFormat="false" ht="12.75" hidden="false" customHeight="false" outlineLevel="0" collapsed="false">
      <c r="A29" s="2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12" t="s">
        <v>37</v>
      </c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</row>
    <row r="47" customFormat="false" ht="12.75" hidden="false" customHeight="false" outlineLevel="0" collapsed="false">
      <c r="A47" s="21" t="str">
        <f aca="true">CELL("filename")</f>
        <v>'file:///mnt/12tb/@roms/datasets/enron/EDRM Enron Email Data Set v2 XML/filtered-attachments/xls/OM_EST___OSS___2001___2002_REVISED_FORMAT.xls'#$Orig '02 Plan Net</v>
      </c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customFormat="false" ht="12.75" hidden="false" customHeight="false" outlineLevel="0" collapsed="false">
      <c r="A48" s="23" t="n">
        <f aca="true">NOW()</f>
        <v>45926.893550483</v>
      </c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customFormat="false" ht="12.75" hidden="false" customHeight="false" outlineLevel="0" collapsed="false">
      <c r="A49" s="21"/>
      <c r="B49" s="21"/>
      <c r="C49" s="22"/>
      <c r="D49" s="22"/>
      <c r="E49" s="22"/>
      <c r="F49" s="22"/>
      <c r="G49" s="22"/>
      <c r="H49" s="22"/>
      <c r="I49" s="22"/>
      <c r="J49" s="22"/>
      <c r="K49" s="22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customFormat="false" ht="12.75" hidden="false" customHeight="false" outlineLevel="0" collapsed="false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customFormat="false" ht="12.75" hidden="false" customHeight="false" outlineLevel="0" collapsed="false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customFormat="false" ht="12.75" hidden="false" customHeight="false" outlineLevel="0" collapsed="false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customFormat="false" ht="12.75" hidden="false" customHeight="false" outlineLevel="0" collapsed="false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customFormat="false" ht="12.75" hidden="false" customHeight="false" outlineLevel="0" collapsed="false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customFormat="false" ht="12.75" hidden="false" customHeight="false" outlineLevel="0" collapsed="false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customFormat="false" ht="12.75" hidden="false" customHeight="false" outlineLevel="0" collapsed="false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customFormat="false" ht="12.75" hidden="false" customHeight="false" outlineLevel="0" collapsed="false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customFormat="false" ht="12.75" hidden="false" customHeight="false" outlineLevel="0" collapsed="false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customFormat="false" ht="12.75" hidden="false" customHeight="false" outlineLevel="0" collapsed="false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customFormat="false" ht="12.75" hidden="false" customHeight="false" outlineLevel="0" collapsed="false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customFormat="false" ht="12.75" hidden="false" customHeight="false" outlineLevel="0" collapsed="false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customFormat="false" ht="12.75" hidden="false" customHeight="false" outlineLevel="0" collapsed="false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customFormat="false" ht="12.75" hidden="false" customHeight="false" outlineLevel="0" collapsed="false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customFormat="false" ht="12.75" hidden="false" customHeight="false" outlineLevel="0" collapsed="false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customFormat="false" ht="12.75" hidden="false" customHeight="false" outlineLevel="0" collapsed="false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customFormat="false" ht="12.75" hidden="false" customHeight="false" outlineLevel="0" collapsed="false"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customFormat="false" ht="12.75" hidden="false" customHeight="false" outlineLevel="0" collapsed="false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customFormat="false" ht="12.75" hidden="false" customHeight="false" outlineLevel="0" collapsed="false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customFormat="false" ht="12.75" hidden="false" customHeight="false" outlineLevel="0" collapsed="false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customFormat="false" ht="12.75" hidden="false" customHeight="false" outlineLevel="0" collapsed="false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customFormat="false" ht="12.75" hidden="false" customHeight="false" outlineLevel="0" collapsed="false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customFormat="false" ht="12.75" hidden="false" customHeight="false" outlineLevel="0" collapsed="false"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customFormat="false" ht="12.75" hidden="false" customHeight="false" outlineLevel="0" collapsed="false"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customFormat="false" ht="12.75" hidden="false" customHeight="false" outlineLevel="0" collapsed="false"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customFormat="false" ht="12.75" hidden="false" customHeight="false" outlineLevel="0" collapsed="false"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customFormat="false" ht="12.75" hidden="false" customHeight="false" outlineLevel="0" collapsed="false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</row>
    <row r="77" customFormat="false" ht="12.75" hidden="false" customHeight="false" outlineLevel="0" collapsed="false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</row>
    <row r="78" customFormat="false" ht="12.75" hidden="false" customHeight="false" outlineLevel="0" collapsed="false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</row>
    <row r="79" customFormat="false" ht="12.75" hidden="false" customHeight="false" outlineLevel="0" collapsed="false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</row>
    <row r="80" customFormat="false" ht="12.75" hidden="false" customHeight="false" outlineLevel="0" collapsed="false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</row>
    <row r="81" customFormat="false" ht="12.75" hidden="false" customHeight="false" outlineLevel="0" collapsed="false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</row>
    <row r="82" customFormat="false" ht="12.75" hidden="false" customHeight="false" outlineLevel="0" collapsed="false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</row>
    <row r="83" customFormat="false" ht="12.75" hidden="false" customHeight="false" outlineLevel="0" collapsed="false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</row>
    <row r="84" customFormat="false" ht="12.75" hidden="false" customHeight="false" outlineLevel="0" collapsed="false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</row>
    <row r="85" customFormat="false" ht="12.75" hidden="false" customHeight="false" outlineLevel="0" collapsed="false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</row>
    <row r="86" customFormat="false" ht="12.75" hidden="false" customHeight="false" outlineLevel="0" collapsed="false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</row>
    <row r="87" customFormat="false" ht="12.75" hidden="false" customHeight="false" outlineLevel="0" collapsed="false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</row>
    <row r="88" customFormat="false" ht="12.75" hidden="false" customHeight="false" outlineLevel="0" collapsed="false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</row>
    <row r="89" customFormat="false" ht="12.75" hidden="false" customHeight="false" outlineLevel="0" collapsed="false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</row>
    <row r="90" customFormat="false" ht="12.75" hidden="false" customHeight="false" outlineLevel="0" collapsed="false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</row>
    <row r="91" customFormat="false" ht="12.75" hidden="false" customHeight="false" outlineLevel="0" collapsed="false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</row>
    <row r="92" customFormat="false" ht="12.75" hidden="false" customHeight="false" outlineLevel="0" collapsed="false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</row>
    <row r="93" customFormat="false" ht="12.75" hidden="false" customHeight="false" outlineLevel="0" collapsed="false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</row>
    <row r="94" customFormat="false" ht="12.75" hidden="false" customHeight="false" outlineLevel="0" collapsed="false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</row>
    <row r="95" customFormat="false" ht="12.75" hidden="false" customHeight="false" outlineLevel="0" collapsed="false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</row>
    <row r="96" customFormat="false" ht="12.75" hidden="false" customHeight="false" outlineLevel="0" collapsed="false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</row>
    <row r="97" customFormat="false" ht="12.75" hidden="false" customHeight="false" outlineLevel="0" collapsed="false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</row>
    <row r="98" customFormat="false" ht="12.75" hidden="false" customHeight="false" outlineLevel="0" collapsed="false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</row>
    <row r="99" customFormat="false" ht="12.75" hidden="false" customHeight="false" outlineLevel="0" collapsed="false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</row>
    <row r="100" customFormat="false" ht="12.75" hidden="false" customHeight="false" outlineLevel="0" collapsed="false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</row>
    <row r="101" customFormat="false" ht="12.75" hidden="false" customHeight="false" outlineLevel="0" collapsed="false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</row>
    <row r="102" customFormat="false" ht="12.75" hidden="false" customHeight="false" outlineLevel="0" collapsed="false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</row>
    <row r="103" customFormat="false" ht="12.75" hidden="false" customHeight="false" outlineLevel="0" collapsed="false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</row>
    <row r="104" customFormat="false" ht="12.75" hidden="false" customHeight="false" outlineLevel="0" collapsed="false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</row>
    <row r="105" customFormat="false" ht="12.75" hidden="false" customHeight="false" outlineLevel="0" collapsed="false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</row>
    <row r="106" customFormat="false" ht="12.75" hidden="false" customHeight="false" outlineLevel="0" collapsed="false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</row>
    <row r="107" customFormat="false" ht="12.75" hidden="false" customHeight="false" outlineLevel="0" collapsed="false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</row>
    <row r="108" customFormat="false" ht="12.75" hidden="false" customHeight="false" outlineLevel="0" collapsed="false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</row>
    <row r="109" customFormat="false" ht="12.75" hidden="false" customHeight="false" outlineLevel="0" collapsed="false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</row>
  </sheetData>
  <mergeCells count="4">
    <mergeCell ref="A1:AE1"/>
    <mergeCell ref="A2:AE2"/>
    <mergeCell ref="A3:AE3"/>
    <mergeCell ref="A4:AE4"/>
  </mergeCells>
  <printOptions headings="false" gridLines="false" gridLinesSet="true" horizontalCentered="true" verticalCentered="false"/>
  <pageMargins left="0.25" right="0" top="0.75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2001-07-19T19:23:52Z</dcterms:created>
  <dc:creator>tgeacco</dc:creator>
  <dc:description/>
  <dc:language>en-US</dc:language>
  <cp:lastModifiedBy>KPHAN</cp:lastModifiedBy>
  <cp:lastPrinted>2001-11-26T16:53:09Z</cp:lastPrinted>
  <dcterms:modified xsi:type="dcterms:W3CDTF">2001-11-26T20:27:39Z</dcterms:modified>
  <cp:revision>0</cp:revision>
  <dc:subject/>
  <dc:title/>
</cp:coreProperties>
</file>