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oss" sheetId="1" state="visible" r:id="rId3"/>
    <sheet name="Net" sheetId="2" state="visible" r:id="rId4"/>
    <sheet name="Orig '02 Plan Gross" sheetId="3" state="visible" r:id="rId5"/>
    <sheet name="Orig '02 Plan Net" sheetId="4" state="visible" r:id="rId6"/>
  </sheets>
  <definedNames>
    <definedName function="false" hidden="false" localSheetId="0" name="_xlnm.Print_Area" vbProcedure="false">Gross!$A$1:$AO$51</definedName>
    <definedName function="false" hidden="false" localSheetId="1" name="_xlnm.Print_Area" vbProcedure="false">Net!$A$1:$AO$47</definedName>
    <definedName function="false" hidden="false" localSheetId="2" name="_xlnm.Print_Area" vbProcedure="false">'Orig ''02 Plan Gross'!$A$1:$AK$27</definedName>
    <definedName function="false" hidden="false" localSheetId="3" name="_xlnm.Print_Area" vbProcedure="false">'Orig ''02 Plan Net'!$A$1:$AK$27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<sst xmlns="http://schemas.openxmlformats.org/spreadsheetml/2006/main" count="221" uniqueCount="47">
  <si>
    <t xml:space="preserve">GROSS  O &amp; M COSTS</t>
  </si>
  <si>
    <t xml:space="preserve">(including Benefits &amp; Payroll Taxes)</t>
  </si>
  <si>
    <t xml:space="preserve">OPERATIONS</t>
  </si>
  <si>
    <t xml:space="preserve">( $ In Thousands)</t>
  </si>
  <si>
    <t xml:space="preserve">Original</t>
  </si>
  <si>
    <t xml:space="preserve">Gross</t>
  </si>
  <si>
    <t xml:space="preserve">Gross O&amp;M</t>
  </si>
  <si>
    <t xml:space="preserve">Oct</t>
  </si>
  <si>
    <t xml:space="preserve">Avg</t>
  </si>
  <si>
    <t xml:space="preserve">% O(U)</t>
  </si>
  <si>
    <t xml:space="preserve">Department</t>
  </si>
  <si>
    <t xml:space="preserve">YTD</t>
  </si>
  <si>
    <t xml:space="preserve">Spend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</si>
  <si>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</si>
  <si>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</si>
  <si>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</si>
  <si>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</si>
  <si>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</si>
  <si>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</si>
  <si>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</si>
  <si>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</si>
  <si>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</si>
  <si>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</si>
  <si>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</si>
  <si>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2000 Plan</t>
  </si>
  <si>
    <t xml:space="preserve">Total</t>
  </si>
  <si>
    <t xml:space="preserve">Savings</t>
  </si>
  <si>
    <t xml:space="preserve">NNG</t>
  </si>
  <si>
    <t xml:space="preserve">TW</t>
  </si>
  <si>
    <t xml:space="preserve">Citrus</t>
  </si>
  <si>
    <t xml:space="preserve">Northern Border Partners</t>
  </si>
  <si>
    <t xml:space="preserve">EOTT (Co 1195)</t>
  </si>
  <si>
    <t xml:space="preserve">EMMS</t>
  </si>
  <si>
    <t xml:space="preserve">Enron Construction Services</t>
  </si>
  <si>
    <t xml:space="preserve">EAMR</t>
  </si>
  <si>
    <t xml:space="preserve">ETS</t>
  </si>
  <si>
    <t xml:space="preserve">Other *</t>
  </si>
  <si>
    <t xml:space="preserve"> </t>
  </si>
  <si>
    <t xml:space="preserve">Total Original 2002 Plan</t>
  </si>
  <si>
    <t xml:space="preserve">Savings from Original 2002 Plan</t>
  </si>
  <si>
    <t xml:space="preserve">* For companies outside of ETS</t>
  </si>
  <si>
    <t xml:space="preserve">NOTE:  For Nov. 2001 through Dec. 2002 provide your best guess of minimum spend required</t>
  </si>
  <si>
    <t xml:space="preserve">NET  O &amp; M COSTS</t>
  </si>
  <si>
    <t xml:space="preserve">Net</t>
  </si>
  <si>
    <t xml:space="preserve">ORIGINAL '02 PLAN GROSS  O &amp; M COSTS</t>
  </si>
  <si>
    <t xml:space="preserve">Sum</t>
  </si>
  <si>
    <t xml:space="preserve">ORIGINAL '02 PLAN NET  O &amp; M COSTS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</si>
</sst>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  <numFmt numFmtId="169" formatCode="0.0_);\(0.0\)"/>
    <numFmt numFmtId="170" formatCode="0.0"/>
    <numFmt numFmtId="171" formatCode="[$-409]m/d/yyyy\ 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u val="doub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2.13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10.71"/>
    <col collapsed="false" customWidth="true" hidden="false" outlineLevel="0" max="6" min="6" style="1" width="3.7"/>
    <col collapsed="false" customWidth="true" hidden="false" outlineLevel="0" max="7" min="7" style="1" width="10.71"/>
    <col collapsed="false" customWidth="true" hidden="false" outlineLevel="0" max="8" min="8" style="1" width="1.7"/>
    <col collapsed="false" customWidth="true" hidden="false" outlineLevel="0" max="9" min="9" style="1" width="10.71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10.71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true" outlineLevel="0" max="33" min="33" style="1" width="11.7"/>
    <col collapsed="false" customWidth="true" hidden="true" outlineLevel="0" max="34" min="34" style="1" width="1.85"/>
    <col collapsed="false" customWidth="true" hidden="false" outlineLevel="0" max="35" min="35" style="1" width="10.71"/>
    <col collapsed="false" customWidth="true" hidden="false" outlineLevel="0" max="36" min="36" style="2" width="1.7"/>
    <col collapsed="false" customWidth="true" hidden="false" outlineLevel="0" max="37" min="37" style="1" width="10.71"/>
    <col collapsed="false" customWidth="true" hidden="false" outlineLevel="0" max="38" min="38" style="1" width="1.7"/>
    <col collapsed="false" customWidth="true" hidden="false" outlineLevel="0" max="39" min="39" style="1" width="10.28"/>
    <col collapsed="false" customWidth="true" hidden="false" outlineLevel="0" max="40" min="40" style="1" width="1.7"/>
    <col collapsed="false" customWidth="true" hidden="false" outlineLevel="0" max="41" min="41" style="1" width="10.71"/>
    <col collapsed="false" customWidth="false" hidden="false" outlineLevel="0" max="257" min="42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5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customFormat="false" ht="12.75" hidden="false" customHeight="false" outlineLevel="0" collapsed="false">
      <c r="A6" s="7"/>
    </row>
    <row r="8" customFormat="false" ht="12.75" hidden="false" customHeight="false" outlineLevel="0" collapsed="false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2"/>
      <c r="M8" s="8"/>
      <c r="N8" s="8"/>
      <c r="O8" s="8"/>
      <c r="P8" s="8"/>
      <c r="Q8" s="8"/>
      <c r="R8" s="8"/>
      <c r="S8" s="8"/>
      <c r="T8" s="8"/>
      <c r="U8" s="8"/>
      <c r="V8" s="2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9"/>
      <c r="O9" s="9"/>
      <c r="Y9" s="9"/>
      <c r="AM9" s="9" t="s">
        <v>4</v>
      </c>
      <c r="AN9" s="9"/>
    </row>
    <row r="10" customFormat="false" ht="12.75" hidden="false" customHeight="false" outlineLevel="0" collapsed="false">
      <c r="C10" s="9" t="s">
        <v>5</v>
      </c>
      <c r="D10" s="0"/>
      <c r="E10" s="9" t="s">
        <v>5</v>
      </c>
      <c r="F10" s="0"/>
      <c r="G10" s="9" t="s">
        <v>5</v>
      </c>
      <c r="H10" s="10"/>
      <c r="I10" s="9" t="s">
        <v>5</v>
      </c>
      <c r="J10" s="0"/>
      <c r="K10" s="9" t="s">
        <v>5</v>
      </c>
      <c r="M10" s="9" t="s">
        <v>5</v>
      </c>
      <c r="O10" s="9" t="s">
        <v>5</v>
      </c>
      <c r="P10" s="0"/>
      <c r="Q10" s="9" t="s">
        <v>5</v>
      </c>
      <c r="R10" s="10"/>
      <c r="S10" s="9" t="s">
        <v>5</v>
      </c>
      <c r="U10" s="9" t="s">
        <v>5</v>
      </c>
      <c r="W10" s="9" t="s">
        <v>5</v>
      </c>
      <c r="Y10" s="9" t="s">
        <v>5</v>
      </c>
      <c r="AA10" s="9" t="s">
        <v>5</v>
      </c>
      <c r="AB10" s="10"/>
      <c r="AC10" s="9" t="s">
        <v>5</v>
      </c>
      <c r="AE10" s="9" t="s">
        <v>5</v>
      </c>
      <c r="AG10" s="9" t="s">
        <v>6</v>
      </c>
      <c r="AI10" s="9" t="s">
        <v>5</v>
      </c>
      <c r="AJ10" s="8"/>
      <c r="AM10" s="9" t="s">
        <v>5</v>
      </c>
      <c r="AN10" s="9"/>
    </row>
    <row r="11" customFormat="false" ht="12.75" hidden="false" customHeight="false" outlineLevel="0" collapsed="false">
      <c r="C11" s="9" t="s">
        <v>7</v>
      </c>
      <c r="D11" s="9"/>
      <c r="E11" s="9" t="s">
        <v>8</v>
      </c>
      <c r="F11" s="9"/>
      <c r="G11" s="9" t="n">
        <v>2001</v>
      </c>
      <c r="H11" s="9"/>
      <c r="I11" s="9" t="n">
        <v>2001</v>
      </c>
      <c r="J11" s="9"/>
      <c r="K11" s="9" t="n">
        <v>2002</v>
      </c>
      <c r="M11" s="9" t="n">
        <v>2002</v>
      </c>
      <c r="N11" s="9"/>
      <c r="O11" s="9" t="n">
        <v>2002</v>
      </c>
      <c r="P11" s="9"/>
      <c r="Q11" s="9" t="n">
        <v>2002</v>
      </c>
      <c r="R11" s="9"/>
      <c r="S11" s="9" t="n">
        <v>2002</v>
      </c>
      <c r="T11" s="9"/>
      <c r="U11" s="9" t="n">
        <v>2002</v>
      </c>
      <c r="W11" s="9" t="n">
        <v>2002</v>
      </c>
      <c r="Y11" s="9" t="n">
        <v>2002</v>
      </c>
      <c r="AA11" s="9" t="n">
        <v>2002</v>
      </c>
      <c r="AB11" s="9"/>
      <c r="AC11" s="9" t="n">
        <v>2002</v>
      </c>
      <c r="AD11" s="9"/>
      <c r="AE11" s="9" t="n">
        <v>2002</v>
      </c>
      <c r="AG11" s="8" t="s">
        <v>9</v>
      </c>
      <c r="AI11" s="9" t="n">
        <v>2002</v>
      </c>
      <c r="AJ11" s="8"/>
      <c r="AK11" s="9" t="n">
        <v>2002</v>
      </c>
      <c r="AM11" s="9" t="n">
        <v>2002</v>
      </c>
      <c r="AN11" s="9"/>
    </row>
    <row r="12" customFormat="false" ht="12.75" hidden="false" customHeight="false" outlineLevel="0" collapsed="false">
      <c r="A12" s="11" t="s">
        <v>10</v>
      </c>
      <c r="C12" s="11" t="s">
        <v>11</v>
      </c>
      <c r="D12" s="9"/>
      <c r="E12" s="11" t="s">
        <v>12</v>
      </c>
      <c r="F12" s="8"/>
      <c r="G12" s="11" t="s">
        <v>13</v>
      </c>
      <c r="H12" s="8"/>
      <c r="I12" s="11" t="s">
        <v>14</v>
      </c>
      <c r="J12" s="9"/>
      <c r="K12" s="11" t="s">
        <v>15</v>
      </c>
      <c r="M12" s="11" t="s">
        <v>16</v>
      </c>
      <c r="N12" s="9"/>
      <c r="O12" s="11" t="s">
        <v>17</v>
      </c>
      <c r="P12" s="8"/>
      <c r="Q12" s="11" t="s">
        <v>18</v>
      </c>
      <c r="R12" s="8"/>
      <c r="S12" s="11" t="s">
        <v>19</v>
      </c>
      <c r="T12" s="9"/>
      <c r="U12" s="11" t="s">
        <v>20</v>
      </c>
      <c r="W12" s="11" t="s">
        <v>21</v>
      </c>
      <c r="Y12" s="11" t="s">
        <v>22</v>
      </c>
      <c r="AA12" s="11" t="s">
        <v>23</v>
      </c>
      <c r="AB12" s="8"/>
      <c r="AC12" s="11" t="s">
        <v>7</v>
      </c>
      <c r="AD12" s="9"/>
      <c r="AE12" s="11" t="s">
        <v>13</v>
      </c>
      <c r="AF12" s="2"/>
      <c r="AG12" s="11" t="s">
        <v>24</v>
      </c>
      <c r="AH12" s="2"/>
      <c r="AI12" s="11" t="s">
        <v>14</v>
      </c>
      <c r="AJ12" s="8"/>
      <c r="AK12" s="11" t="s">
        <v>25</v>
      </c>
      <c r="AL12" s="2"/>
      <c r="AM12" s="11" t="s">
        <v>25</v>
      </c>
      <c r="AN12" s="11"/>
      <c r="AO12" s="11" t="s">
        <v>26</v>
      </c>
      <c r="AP12" s="2"/>
    </row>
    <row r="13" customFormat="false" ht="12.75" hidden="false" customHeight="false" outlineLevel="0" collapsed="false">
      <c r="A13" s="12" t="s">
        <v>27</v>
      </c>
      <c r="C13" s="13" t="n">
        <f aca="false">71962+2713.6</f>
        <v>74675.6</v>
      </c>
      <c r="D13" s="13"/>
      <c r="E13" s="13" t="n">
        <f aca="false">C13/10</f>
        <v>7467.56</v>
      </c>
      <c r="F13" s="13"/>
      <c r="G13" s="13" t="n">
        <f aca="false">7878+200</f>
        <v>8078</v>
      </c>
      <c r="H13" s="13"/>
      <c r="I13" s="13" t="n">
        <f aca="false">9151+297</f>
        <v>9448</v>
      </c>
      <c r="J13" s="13"/>
      <c r="K13" s="13" t="n">
        <f aca="false">6920+300</f>
        <v>7220</v>
      </c>
      <c r="L13" s="13"/>
      <c r="M13" s="13" t="n">
        <f aca="false">7370+400</f>
        <v>7770</v>
      </c>
      <c r="N13" s="13"/>
      <c r="O13" s="13" t="n">
        <f aca="false">7383+300</f>
        <v>7683</v>
      </c>
      <c r="P13" s="13"/>
      <c r="Q13" s="13" t="n">
        <f aca="false">7206+300</f>
        <v>7506</v>
      </c>
      <c r="R13" s="13"/>
      <c r="S13" s="13" t="n">
        <f aca="false">7239+275</f>
        <v>7514</v>
      </c>
      <c r="T13" s="13"/>
      <c r="U13" s="13" t="n">
        <f aca="false">7685+275</f>
        <v>7960</v>
      </c>
      <c r="V13" s="13"/>
      <c r="W13" s="13" t="n">
        <f aca="false">9118+275</f>
        <v>9393</v>
      </c>
      <c r="X13" s="13"/>
      <c r="Y13" s="13" t="n">
        <f aca="false">8331+275</f>
        <v>8606</v>
      </c>
      <c r="Z13" s="13"/>
      <c r="AA13" s="13" t="n">
        <f aca="false">8633+275</f>
        <v>8908</v>
      </c>
      <c r="AB13" s="13"/>
      <c r="AC13" s="13" t="n">
        <f aca="false">8610+275</f>
        <v>8885</v>
      </c>
      <c r="AD13" s="13"/>
      <c r="AE13" s="13" t="n">
        <f aca="false">7775+275</f>
        <v>8050</v>
      </c>
      <c r="AF13" s="13"/>
      <c r="AG13" s="13" t="n">
        <f aca="false">-448.4/11017</f>
        <v>-0.0407007352273759</v>
      </c>
      <c r="AH13" s="13"/>
      <c r="AI13" s="13" t="n">
        <f aca="false">8245+275</f>
        <v>8520</v>
      </c>
      <c r="AK13" s="14" t="n">
        <f aca="false">SUM('Orig ''02 Plan Gross'!K13:AJ13)</f>
        <v>98014.9592992648</v>
      </c>
      <c r="AM13" s="13" t="n">
        <f aca="false">'Orig ''02 Plan Gross'!AK13</f>
        <v>98014.9592992648</v>
      </c>
      <c r="AN13" s="13"/>
      <c r="AO13" s="14" t="n">
        <f aca="false">AK13-AM13</f>
        <v>0</v>
      </c>
      <c r="AP13" s="0"/>
    </row>
    <row r="14" customFormat="false" ht="12.75" hidden="false" customHeight="false" outlineLevel="0" collapsed="false">
      <c r="A14" s="12" t="s">
        <v>28</v>
      </c>
      <c r="C14" s="13" t="n">
        <f aca="false">21961.9+589.8</f>
        <v>22551.7</v>
      </c>
      <c r="D14" s="13"/>
      <c r="E14" s="13" t="n">
        <f aca="false">C14/10</f>
        <v>2255.17</v>
      </c>
      <c r="F14" s="13"/>
      <c r="G14" s="13" t="n">
        <f aca="false">866.9+43.2</f>
        <v>910.1</v>
      </c>
      <c r="H14" s="13"/>
      <c r="I14" s="13" t="n">
        <f aca="false">375.8+46.5</f>
        <v>422.3</v>
      </c>
      <c r="J14" s="13"/>
      <c r="K14" s="13" t="n">
        <f aca="false">2094.917+49.749</f>
        <v>2144.666</v>
      </c>
      <c r="L14" s="13"/>
      <c r="M14" s="13" t="n">
        <f aca="false">2115.452+56.756</f>
        <v>2172.208</v>
      </c>
      <c r="N14" s="13"/>
      <c r="O14" s="13" t="n">
        <f aca="false">2074.977+50.333</f>
        <v>2125.31</v>
      </c>
      <c r="P14" s="13"/>
      <c r="Q14" s="13" t="n">
        <f aca="false">2049.658+50.333</f>
        <v>2099.991</v>
      </c>
      <c r="R14" s="13"/>
      <c r="S14" s="13" t="n">
        <f aca="false">2080.073+50.333</f>
        <v>2130.406</v>
      </c>
      <c r="T14" s="13"/>
      <c r="U14" s="13" t="n">
        <f aca="false">2104.583+50.333</f>
        <v>2154.916</v>
      </c>
      <c r="V14" s="13"/>
      <c r="W14" s="13" t="n">
        <f aca="false">2060.29+50.333</f>
        <v>2110.623</v>
      </c>
      <c r="X14" s="13"/>
      <c r="Y14" s="13" t="n">
        <f aca="false">2093.403+50.333</f>
        <v>2143.736</v>
      </c>
      <c r="Z14" s="13"/>
      <c r="AA14" s="13" t="n">
        <f aca="false">2086.408+50.333</f>
        <v>2136.741</v>
      </c>
      <c r="AB14" s="13"/>
      <c r="AC14" s="13" t="n">
        <f aca="false">2076.273+50.333</f>
        <v>2126.606</v>
      </c>
      <c r="AD14" s="13"/>
      <c r="AE14" s="13" t="n">
        <f aca="false">2048.128+50.333</f>
        <v>2098.461</v>
      </c>
      <c r="AF14" s="13"/>
      <c r="AG14" s="13" t="n">
        <f aca="false">-102.4/1810</f>
        <v>-0.0565745856353591</v>
      </c>
      <c r="AH14" s="13"/>
      <c r="AI14" s="13" t="n">
        <f aca="false">2135.28+50.348</f>
        <v>2185.628</v>
      </c>
      <c r="AK14" s="14" t="n">
        <f aca="false">SUM('Orig ''02 Plan Gross'!K14:AJ14)</f>
        <v>25629.2354254144</v>
      </c>
      <c r="AM14" s="13" t="n">
        <f aca="false">'Orig ''02 Plan Gross'!AK14</f>
        <v>25629.2354254144</v>
      </c>
      <c r="AN14" s="13"/>
      <c r="AO14" s="14" t="n">
        <f aca="false">AK14-AM14</f>
        <v>0</v>
      </c>
      <c r="AP14" s="0"/>
    </row>
    <row r="15" customFormat="false" ht="12.75" hidden="false" customHeight="false" outlineLevel="0" collapsed="false">
      <c r="A15" s="12" t="s">
        <v>29</v>
      </c>
      <c r="C15" s="13" t="n">
        <v>27044</v>
      </c>
      <c r="D15" s="0"/>
      <c r="E15" s="13" t="n">
        <f aca="false">C15/10</f>
        <v>2704.4</v>
      </c>
      <c r="F15" s="0"/>
      <c r="G15" s="13" t="n">
        <v>2232.1</v>
      </c>
      <c r="H15" s="13"/>
      <c r="I15" s="13" t="n">
        <v>1957.9</v>
      </c>
      <c r="J15" s="13"/>
      <c r="K15" s="13" t="n">
        <f aca="false">3112.833+114</f>
        <v>3226.833</v>
      </c>
      <c r="L15" s="13"/>
      <c r="M15" s="13" t="n">
        <f aca="false">2718.833+121</f>
        <v>2839.833</v>
      </c>
      <c r="N15" s="13"/>
      <c r="O15" s="13" t="n">
        <f aca="false">2680.833+115</f>
        <v>2795.833</v>
      </c>
      <c r="P15" s="13"/>
      <c r="Q15" s="13" t="n">
        <f aca="false">2883.833+115</f>
        <v>2998.833</v>
      </c>
      <c r="R15" s="13"/>
      <c r="S15" s="13" t="n">
        <f aca="false">2855.833+115</f>
        <v>2970.833</v>
      </c>
      <c r="T15" s="13"/>
      <c r="U15" s="13" t="n">
        <f aca="false">2894.833+115</f>
        <v>3009.833</v>
      </c>
      <c r="V15" s="13"/>
      <c r="W15" s="13" t="n">
        <f aca="false">2934.833+114</f>
        <v>3048.833</v>
      </c>
      <c r="X15" s="13"/>
      <c r="Y15" s="13" t="n">
        <f aca="false">2992.833+114</f>
        <v>3106.833</v>
      </c>
      <c r="Z15" s="13"/>
      <c r="AA15" s="13" t="n">
        <f aca="false">2968.833+114</f>
        <v>3082.833</v>
      </c>
      <c r="AB15" s="13"/>
      <c r="AC15" s="13" t="n">
        <f aca="false">2915.833+114</f>
        <v>3029.833</v>
      </c>
      <c r="AD15" s="13"/>
      <c r="AE15" s="13" t="n">
        <f aca="false">2886.833+114</f>
        <v>3000.833</v>
      </c>
      <c r="AF15" s="13"/>
      <c r="AG15" s="15" t="n">
        <f aca="false">-155.5/1959</f>
        <v>-0.0793772332822869</v>
      </c>
      <c r="AH15" s="13"/>
      <c r="AI15" s="13" t="n">
        <f aca="false">2860.833+115</f>
        <v>2975.833</v>
      </c>
      <c r="AK15" s="14" t="n">
        <f aca="false">SUM('Orig ''02 Plan Gross'!K15:AJ15)</f>
        <v>36086.9166227667</v>
      </c>
      <c r="AM15" s="13" t="n">
        <f aca="false">'Orig ''02 Plan Gross'!AK15</f>
        <v>36086.9166227667</v>
      </c>
      <c r="AN15" s="13"/>
      <c r="AO15" s="14" t="n">
        <f aca="false">AK15-AM15</f>
        <v>0</v>
      </c>
      <c r="AP15" s="0"/>
    </row>
    <row r="16" customFormat="false" ht="12.75" hidden="false" customHeight="false" outlineLevel="0" collapsed="false">
      <c r="A16" s="12" t="s">
        <v>30</v>
      </c>
      <c r="C16" s="13" t="n">
        <f aca="false">9477.8+431+1488.3+51</f>
        <v>11448.1</v>
      </c>
      <c r="D16" s="0"/>
      <c r="E16" s="13" t="n">
        <f aca="false">C16/10</f>
        <v>1144.81</v>
      </c>
      <c r="F16" s="0"/>
      <c r="G16" s="13" t="n">
        <f aca="false">1713.6+35+526.4+9</f>
        <v>2284</v>
      </c>
      <c r="H16" s="13"/>
      <c r="I16" s="13" t="n">
        <f aca="false">1341+90+526.4+8</f>
        <v>1965.4</v>
      </c>
      <c r="J16" s="13"/>
      <c r="K16" s="13" t="n">
        <f aca="false">935.32+33.7+208.1+8</f>
        <v>1185.12</v>
      </c>
      <c r="L16" s="13"/>
      <c r="M16" s="13" t="n">
        <f aca="false">935.32+33.7+208.1+8</f>
        <v>1185.12</v>
      </c>
      <c r="N16" s="13"/>
      <c r="O16" s="13" t="n">
        <f aca="false">935.32+33.7+208.1+8</f>
        <v>1185.12</v>
      </c>
      <c r="P16" s="13"/>
      <c r="Q16" s="13" t="n">
        <f aca="false">935.32+33.7+208.1+8</f>
        <v>1185.12</v>
      </c>
      <c r="R16" s="13"/>
      <c r="S16" s="13" t="n">
        <f aca="false">935.32+33.7+208.1+8</f>
        <v>1185.12</v>
      </c>
      <c r="T16" s="13"/>
      <c r="U16" s="13" t="n">
        <f aca="false">935.32+33.7+208.1+8</f>
        <v>1185.12</v>
      </c>
      <c r="V16" s="13"/>
      <c r="W16" s="13" t="n">
        <f aca="false">935.32+33.7+208.2+8</f>
        <v>1185.22</v>
      </c>
      <c r="X16" s="13"/>
      <c r="Y16" s="13" t="n">
        <f aca="false">935.32+33.7+208.1+8</f>
        <v>1185.12</v>
      </c>
      <c r="Z16" s="13"/>
      <c r="AA16" s="13" t="n">
        <f aca="false">935.32+33.7+208.1+8</f>
        <v>1185.12</v>
      </c>
      <c r="AB16" s="13"/>
      <c r="AC16" s="13" t="n">
        <f aca="false">935.32+33.7+208.2+8</f>
        <v>1185.22</v>
      </c>
      <c r="AD16" s="13"/>
      <c r="AE16" s="13" t="n">
        <f aca="false">935.32+33.7+208.2+8</f>
        <v>1185.22</v>
      </c>
      <c r="AF16" s="13"/>
      <c r="AG16" s="13" t="n">
        <f aca="false">(W16-M16)/M16</f>
        <v>8.43796408801717E-005</v>
      </c>
      <c r="AH16" s="13"/>
      <c r="AI16" s="13" t="n">
        <f aca="false">935.32+33.7+208.2+8</f>
        <v>1185.22</v>
      </c>
      <c r="AJ16" s="16"/>
      <c r="AK16" s="14" t="n">
        <f aca="false">SUM('Orig ''02 Plan Gross'!K16:AJ16)</f>
        <v>14221.8400843796</v>
      </c>
      <c r="AM16" s="13" t="n">
        <f aca="false">'Orig ''02 Plan Gross'!AK16</f>
        <v>14221.8400843796</v>
      </c>
      <c r="AN16" s="13"/>
      <c r="AO16" s="14" t="n">
        <f aca="false">AK16-AM16</f>
        <v>0</v>
      </c>
      <c r="AP16" s="0"/>
    </row>
    <row r="17" customFormat="false" ht="12.75" hidden="false" customHeight="false" outlineLevel="0" collapsed="false">
      <c r="A17" s="12" t="s">
        <v>31</v>
      </c>
      <c r="C17" s="13"/>
      <c r="D17" s="0"/>
      <c r="E17" s="13" t="n">
        <f aca="false">C17/10</f>
        <v>0</v>
      </c>
      <c r="F17" s="0"/>
      <c r="G17" s="13"/>
      <c r="H17" s="13"/>
      <c r="I17" s="13"/>
      <c r="J17" s="13"/>
      <c r="K17" s="13" t="n">
        <f aca="false">3074.9-92.794-39.921</f>
        <v>2942.185</v>
      </c>
      <c r="L17" s="13"/>
      <c r="M17" s="13" t="n">
        <f aca="false">3603.471-118.794-45.857</f>
        <v>3438.82</v>
      </c>
      <c r="N17" s="13"/>
      <c r="O17" s="13" t="n">
        <f aca="false">3275.955-94.794-40.477</f>
        <v>3140.684</v>
      </c>
      <c r="P17" s="13"/>
      <c r="Q17" s="13" t="n">
        <f aca="false">3468.866-98.794-40.477</f>
        <v>3329.595</v>
      </c>
      <c r="R17" s="13"/>
      <c r="S17" s="13" t="n">
        <f aca="false">3515.904-97.794-45.477</f>
        <v>3372.633</v>
      </c>
      <c r="T17" s="13"/>
      <c r="U17" s="13" t="n">
        <f aca="false">3591.606-96.794-40.477</f>
        <v>3454.335</v>
      </c>
      <c r="V17" s="13"/>
      <c r="W17" s="13" t="n">
        <f aca="false">3552.738-193.794-40.477</f>
        <v>3318.467</v>
      </c>
      <c r="X17" s="13"/>
      <c r="Y17" s="13" t="n">
        <f aca="false">3435.01-98.794-40.477</f>
        <v>3295.739</v>
      </c>
      <c r="Z17" s="13"/>
      <c r="AA17" s="13" t="n">
        <f aca="false">3424.314-97.794-45.477</f>
        <v>3281.043</v>
      </c>
      <c r="AB17" s="13"/>
      <c r="AC17" s="13" t="n">
        <f aca="false">3290.913-100.794-40.477</f>
        <v>3149.642</v>
      </c>
      <c r="AD17" s="13"/>
      <c r="AE17" s="13" t="n">
        <f aca="false">3212.154-98.794-40.477</f>
        <v>3072.883</v>
      </c>
      <c r="AF17" s="13"/>
      <c r="AG17" s="13"/>
      <c r="AH17" s="13"/>
      <c r="AI17" s="13" t="n">
        <f aca="false">3161.855-103.791-40.498</f>
        <v>3017.566</v>
      </c>
      <c r="AJ17" s="16"/>
      <c r="AK17" s="14" t="n">
        <f aca="false">SUM('Orig ''02 Plan Gross'!K17:AJ17)</f>
        <v>38813.592</v>
      </c>
      <c r="AM17" s="13" t="n">
        <f aca="false">'Orig ''02 Plan Gross'!AK17</f>
        <v>38813.592</v>
      </c>
      <c r="AN17" s="13"/>
      <c r="AO17" s="14" t="n">
        <f aca="false">AK17-AM17</f>
        <v>0</v>
      </c>
      <c r="AP17" s="0"/>
    </row>
    <row r="18" customFormat="false" ht="12.75" hidden="false" customHeight="false" outlineLevel="0" collapsed="false">
      <c r="A18" s="12" t="s">
        <v>32</v>
      </c>
      <c r="C18" s="13" t="n">
        <f aca="false">1258.2-100.5-246.3</f>
        <v>911.4</v>
      </c>
      <c r="D18" s="0"/>
      <c r="E18" s="13" t="n">
        <f aca="false">C18/10</f>
        <v>91.14</v>
      </c>
      <c r="F18" s="0"/>
      <c r="G18" s="13" t="n">
        <v>100.5</v>
      </c>
      <c r="H18" s="13"/>
      <c r="I18" s="13" t="n">
        <v>246.259</v>
      </c>
      <c r="J18" s="13"/>
      <c r="K18" s="13" t="n">
        <f aca="false">83.083</f>
        <v>83.083</v>
      </c>
      <c r="L18" s="13"/>
      <c r="M18" s="13" t="n">
        <f aca="false">83.083</f>
        <v>83.083</v>
      </c>
      <c r="N18" s="13"/>
      <c r="O18" s="13" t="n">
        <f aca="false">83.083</f>
        <v>83.083</v>
      </c>
      <c r="P18" s="13"/>
      <c r="Q18" s="13" t="n">
        <f aca="false">83.083</f>
        <v>83.083</v>
      </c>
      <c r="R18" s="13"/>
      <c r="S18" s="13" t="n">
        <f aca="false">83.083</f>
        <v>83.083</v>
      </c>
      <c r="T18" s="13"/>
      <c r="U18" s="13" t="n">
        <f aca="false">83.083</f>
        <v>83.083</v>
      </c>
      <c r="V18" s="13"/>
      <c r="W18" s="13" t="n">
        <f aca="false">83.083</f>
        <v>83.083</v>
      </c>
      <c r="X18" s="13"/>
      <c r="Y18" s="13" t="n">
        <f aca="false">83.083</f>
        <v>83.083</v>
      </c>
      <c r="Z18" s="13"/>
      <c r="AA18" s="13" t="n">
        <f aca="false">83.083</f>
        <v>83.083</v>
      </c>
      <c r="AB18" s="13"/>
      <c r="AC18" s="13" t="n">
        <f aca="false">83.083</f>
        <v>83.083</v>
      </c>
      <c r="AD18" s="13"/>
      <c r="AE18" s="13" t="n">
        <f aca="false">83.083</f>
        <v>83.083</v>
      </c>
      <c r="AF18" s="13"/>
      <c r="AG18" s="13"/>
      <c r="AH18" s="13"/>
      <c r="AI18" s="13" t="n">
        <f aca="false">83.083</f>
        <v>83.083</v>
      </c>
      <c r="AJ18" s="16"/>
      <c r="AK18" s="14" t="n">
        <f aca="false">SUM('Orig ''02 Plan Gross'!K18:AJ18)</f>
        <v>996.996</v>
      </c>
      <c r="AM18" s="13" t="n">
        <f aca="false">'Orig ''02 Plan Gross'!AK18</f>
        <v>996.996</v>
      </c>
      <c r="AN18" s="13"/>
      <c r="AO18" s="14" t="n">
        <f aca="false">AK18-AM18</f>
        <v>0</v>
      </c>
      <c r="AP18" s="0"/>
    </row>
    <row r="19" customFormat="false" ht="12.75" hidden="false" customHeight="false" outlineLevel="0" collapsed="false">
      <c r="A19" s="12" t="s">
        <v>33</v>
      </c>
      <c r="C19" s="13"/>
      <c r="D19" s="0"/>
      <c r="E19" s="13" t="n">
        <f aca="false">C19/10</f>
        <v>0</v>
      </c>
      <c r="F19" s="0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 t="n">
        <v>0</v>
      </c>
      <c r="AF19" s="13"/>
      <c r="AG19" s="13"/>
      <c r="AH19" s="13"/>
      <c r="AI19" s="13"/>
      <c r="AJ19" s="16"/>
      <c r="AK19" s="14" t="n">
        <f aca="false">SUM('Orig ''02 Plan Gross'!K19:AJ19)</f>
        <v>0</v>
      </c>
      <c r="AM19" s="13" t="n">
        <f aca="false">'Orig ''02 Plan Gross'!AK19</f>
        <v>0</v>
      </c>
      <c r="AN19" s="13"/>
      <c r="AO19" s="14" t="n">
        <f aca="false">AK19-AM19</f>
        <v>0</v>
      </c>
      <c r="AP19" s="0"/>
    </row>
    <row r="20" customFormat="false" ht="12.75" hidden="false" customHeight="false" outlineLevel="0" collapsed="false">
      <c r="A20" s="12" t="s">
        <v>34</v>
      </c>
      <c r="C20" s="13" t="n">
        <v>15771.568</v>
      </c>
      <c r="D20" s="0"/>
      <c r="E20" s="13" t="n">
        <f aca="false">C20/10</f>
        <v>1577.1568</v>
      </c>
      <c r="F20" s="0"/>
      <c r="G20" s="13" t="n">
        <v>1623.384</v>
      </c>
      <c r="H20" s="13"/>
      <c r="I20" s="13" t="n">
        <v>1837.765</v>
      </c>
      <c r="J20" s="13"/>
      <c r="K20" s="13" t="n">
        <v>1545.596</v>
      </c>
      <c r="L20" s="13"/>
      <c r="M20" s="13" t="n">
        <v>2267.473</v>
      </c>
      <c r="N20" s="13"/>
      <c r="O20" s="13" t="n">
        <v>1551.393</v>
      </c>
      <c r="P20" s="13"/>
      <c r="Q20" s="13" t="n">
        <v>1561.928</v>
      </c>
      <c r="R20" s="13"/>
      <c r="S20" s="13" t="n">
        <v>1555.067</v>
      </c>
      <c r="T20" s="13"/>
      <c r="U20" s="13" t="n">
        <v>1575.965</v>
      </c>
      <c r="V20" s="13"/>
      <c r="W20" s="13" t="n">
        <v>2095.899</v>
      </c>
      <c r="X20" s="13"/>
      <c r="Y20" s="13" t="n">
        <v>1560.189</v>
      </c>
      <c r="Z20" s="13"/>
      <c r="AA20" s="13" t="n">
        <v>1564.38</v>
      </c>
      <c r="AB20" s="13"/>
      <c r="AC20" s="13" t="n">
        <v>1591.629</v>
      </c>
      <c r="AD20" s="13"/>
      <c r="AE20" s="13" t="n">
        <v>1572.472</v>
      </c>
      <c r="AF20" s="13"/>
      <c r="AG20" s="13"/>
      <c r="AH20" s="13"/>
      <c r="AI20" s="13" t="n">
        <v>1581.348</v>
      </c>
      <c r="AJ20" s="16"/>
      <c r="AK20" s="14" t="n">
        <f aca="false">SUM('Orig ''02 Plan Gross'!K20:AJ20)</f>
        <v>20023.339</v>
      </c>
      <c r="AM20" s="13" t="n">
        <f aca="false">'Orig ''02 Plan Gross'!AK20</f>
        <v>20023.339</v>
      </c>
      <c r="AN20" s="13"/>
      <c r="AO20" s="14" t="n">
        <f aca="false">AK20-AM20</f>
        <v>0</v>
      </c>
      <c r="AP20" s="0"/>
    </row>
    <row r="21" customFormat="false" ht="12.75" hidden="false" customHeight="false" outlineLevel="0" collapsed="false">
      <c r="A21" s="12" t="s">
        <v>35</v>
      </c>
      <c r="C21" s="13"/>
      <c r="D21" s="13"/>
      <c r="E21" s="13" t="n">
        <f aca="false">C21/10</f>
        <v>0</v>
      </c>
      <c r="F21" s="13"/>
      <c r="G21" s="13"/>
      <c r="H21" s="13"/>
      <c r="I21" s="13"/>
      <c r="J21" s="13"/>
      <c r="K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K21" s="14" t="n">
        <f aca="false">SUM('Orig ''02 Plan Gross'!K21:AJ21)</f>
        <v>0</v>
      </c>
      <c r="AM21" s="13" t="n">
        <f aca="false">'Orig ''02 Plan Gross'!AK21</f>
        <v>0</v>
      </c>
      <c r="AN21" s="13"/>
      <c r="AO21" s="14" t="n">
        <f aca="false">AK21-AM21</f>
        <v>0</v>
      </c>
      <c r="AP21" s="0"/>
    </row>
    <row r="22" customFormat="false" ht="12.75" hidden="false" customHeight="false" outlineLevel="0" collapsed="false">
      <c r="A22" s="12" t="s">
        <v>36</v>
      </c>
      <c r="C22" s="13"/>
      <c r="D22" s="13"/>
      <c r="E22" s="13" t="n">
        <f aca="false">C22/10</f>
        <v>0</v>
      </c>
      <c r="F22" s="13"/>
      <c r="G22" s="13"/>
      <c r="H22" s="13"/>
      <c r="I22" s="13"/>
      <c r="J22" s="13"/>
      <c r="K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G22" s="16" t="e">
        <f aca="false">(W22-M22)/M22</f>
        <v>#DIV/0!</v>
      </c>
      <c r="AK22" s="14" t="n">
        <f aca="false">SUM('Orig ''02 Plan Gross'!K22:AJ22)</f>
        <v>0</v>
      </c>
      <c r="AM22" s="13" t="n">
        <f aca="false">'Orig ''02 Plan Gross'!AK22</f>
        <v>0</v>
      </c>
      <c r="AN22" s="13"/>
      <c r="AO22" s="14" t="n">
        <f aca="false">AK22-AM22</f>
        <v>0</v>
      </c>
      <c r="AP22" s="0"/>
    </row>
    <row r="23" customFormat="false" ht="12.75" hidden="false" customHeight="false" outlineLevel="0" collapsed="false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6"/>
      <c r="AI23" s="13"/>
      <c r="AJ23" s="13"/>
      <c r="AP23" s="0"/>
    </row>
    <row r="24" customFormat="false" ht="13.5" hidden="false" customHeight="false" outlineLevel="0" collapsed="false">
      <c r="A24" s="12" t="s">
        <v>25</v>
      </c>
      <c r="C24" s="17" t="n">
        <f aca="false">SUM(C13:C23)</f>
        <v>152402.368</v>
      </c>
      <c r="D24" s="13"/>
      <c r="E24" s="17" t="n">
        <f aca="false">SUM(E13:E23)</f>
        <v>15240.2368</v>
      </c>
      <c r="F24" s="13"/>
      <c r="G24" s="17" t="n">
        <f aca="false">SUM(G13:G23)</f>
        <v>15228.084</v>
      </c>
      <c r="H24" s="13"/>
      <c r="I24" s="17" t="n">
        <f aca="false">SUM(I13:I23)</f>
        <v>15877.624</v>
      </c>
      <c r="J24" s="13"/>
      <c r="K24" s="17" t="n">
        <f aca="false">SUM(K13:K23)</f>
        <v>18347.483</v>
      </c>
      <c r="L24" s="13"/>
      <c r="M24" s="17" t="n">
        <f aca="false">SUM(M13:M23)</f>
        <v>19756.537</v>
      </c>
      <c r="N24" s="13"/>
      <c r="O24" s="17" t="n">
        <f aca="false">SUM(O13:O23)</f>
        <v>18564.423</v>
      </c>
      <c r="P24" s="13"/>
      <c r="Q24" s="17" t="n">
        <f aca="false">SUM(Q13:Q23)</f>
        <v>18764.55</v>
      </c>
      <c r="R24" s="13"/>
      <c r="S24" s="17" t="n">
        <f aca="false">SUM(S13:S23)</f>
        <v>18811.142</v>
      </c>
      <c r="T24" s="13"/>
      <c r="U24" s="17" t="n">
        <f aca="false">SUM(U13:U23)</f>
        <v>19423.252</v>
      </c>
      <c r="V24" s="13"/>
      <c r="W24" s="17" t="n">
        <f aca="false">SUM(W13:W23)</f>
        <v>21235.125</v>
      </c>
      <c r="X24" s="13"/>
      <c r="Y24" s="17" t="n">
        <f aca="false">SUM(Y13:Y23)</f>
        <v>19980.7</v>
      </c>
      <c r="Z24" s="13"/>
      <c r="AA24" s="17" t="n">
        <f aca="false">SUM(AA13:AA23)</f>
        <v>20241.2</v>
      </c>
      <c r="AB24" s="13"/>
      <c r="AC24" s="17" t="n">
        <f aca="false">SUM(AC13:AC23)</f>
        <v>20051.013</v>
      </c>
      <c r="AD24" s="13"/>
      <c r="AE24" s="17" t="n">
        <f aca="false">SUM(AE13:AE23)</f>
        <v>19062.952</v>
      </c>
      <c r="AF24" s="13"/>
      <c r="AG24" s="18" t="n">
        <f aca="false">(W24-M24)/M24</f>
        <v>0.0748404439502731</v>
      </c>
      <c r="AI24" s="17" t="n">
        <f aca="false">SUM(AI13:AI23)</f>
        <v>19548.678</v>
      </c>
      <c r="AJ24" s="13"/>
      <c r="AK24" s="17" t="n">
        <f aca="false">SUM(AK13:AK23)</f>
        <v>233786.878431826</v>
      </c>
      <c r="AM24" s="17" t="n">
        <f aca="false">'Orig ''02 Plan Gross'!AK24</f>
        <v>233786.878431826</v>
      </c>
      <c r="AN24" s="13"/>
      <c r="AO24" s="17" t="n">
        <f aca="false">AK24-AM24</f>
        <v>0</v>
      </c>
      <c r="AP24" s="0"/>
    </row>
    <row r="25" customFormat="false" ht="25.5" hidden="false" customHeight="true" outlineLevel="0" collapsed="false">
      <c r="A25" s="12"/>
      <c r="G25" s="12" t="s">
        <v>37</v>
      </c>
      <c r="AE25" s="19"/>
      <c r="AP25" s="0"/>
    </row>
    <row r="26" customFormat="false" ht="12.75" hidden="false" customHeight="false" outlineLevel="0" collapsed="false">
      <c r="A26" s="12" t="s">
        <v>38</v>
      </c>
      <c r="B26" s="0"/>
      <c r="C26" s="0"/>
      <c r="D26" s="0"/>
      <c r="E26" s="0"/>
      <c r="F26" s="0"/>
      <c r="G26" s="0" t="s">
        <v>37</v>
      </c>
      <c r="H26" s="0"/>
      <c r="I26" s="0"/>
      <c r="J26" s="0"/>
      <c r="K26" s="20" t="n">
        <f aca="false">'Orig ''02 Plan Gross'!K24</f>
        <v>18347.483</v>
      </c>
      <c r="L26" s="21"/>
      <c r="M26" s="20" t="n">
        <f aca="false">'Orig ''02 Plan Gross'!M24</f>
        <v>19756.537</v>
      </c>
      <c r="N26" s="21"/>
      <c r="O26" s="20" t="n">
        <f aca="false">'Orig ''02 Plan Gross'!O24</f>
        <v>18564.423</v>
      </c>
      <c r="P26" s="21"/>
      <c r="Q26" s="20" t="n">
        <f aca="false">'Orig ''02 Plan Gross'!Q24</f>
        <v>18764.55</v>
      </c>
      <c r="R26" s="21"/>
      <c r="S26" s="20" t="n">
        <f aca="false">'Orig ''02 Plan Gross'!S24</f>
        <v>18811.142</v>
      </c>
      <c r="T26" s="21"/>
      <c r="U26" s="20" t="n">
        <f aca="false">'Orig ''02 Plan Gross'!U24</f>
        <v>19423.252</v>
      </c>
      <c r="V26" s="21"/>
      <c r="W26" s="20" t="n">
        <f aca="false">'Orig ''02 Plan Gross'!W24</f>
        <v>21235.125</v>
      </c>
      <c r="X26" s="21"/>
      <c r="Y26" s="20" t="n">
        <f aca="false">'Orig ''02 Plan Gross'!Y24</f>
        <v>19980.7</v>
      </c>
      <c r="Z26" s="21"/>
      <c r="AA26" s="20" t="n">
        <f aca="false">'Orig ''02 Plan Gross'!AA24</f>
        <v>20241.2</v>
      </c>
      <c r="AB26" s="21"/>
      <c r="AC26" s="20" t="n">
        <f aca="false">'Orig ''02 Plan Gross'!AC24</f>
        <v>20051.013</v>
      </c>
      <c r="AD26" s="21"/>
      <c r="AE26" s="20" t="n">
        <f aca="false">'Orig ''02 Plan Gross'!AE24</f>
        <v>19062.952</v>
      </c>
      <c r="AF26" s="21"/>
      <c r="AG26" s="21"/>
      <c r="AH26" s="21"/>
      <c r="AI26" s="20" t="n">
        <f aca="false">'Orig ''02 Plan Gross'!AI24</f>
        <v>19548.678</v>
      </c>
      <c r="AJ26" s="22"/>
      <c r="AK26" s="23"/>
      <c r="AL26" s="23"/>
      <c r="AM26" s="13"/>
      <c r="AN26" s="13"/>
      <c r="AP26" s="0"/>
      <c r="AQ26" s="23"/>
      <c r="AR26" s="23"/>
      <c r="AS26" s="13"/>
      <c r="AT26" s="13"/>
    </row>
    <row r="27" customFormat="false" ht="12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24"/>
    </row>
    <row r="28" customFormat="false" ht="12.75" hidden="false" customHeight="false" outlineLevel="0" collapsed="false">
      <c r="A28" s="0" t="s">
        <v>39</v>
      </c>
      <c r="B28" s="0"/>
      <c r="C28" s="0"/>
      <c r="D28" s="0"/>
      <c r="E28" s="0"/>
      <c r="F28" s="0"/>
      <c r="G28" s="0"/>
      <c r="H28" s="0"/>
      <c r="I28" s="0"/>
      <c r="J28" s="0"/>
      <c r="K28" s="20" t="n">
        <f aca="false">K24-K26</f>
        <v>0</v>
      </c>
      <c r="L28" s="0"/>
      <c r="M28" s="20" t="n">
        <f aca="false">M24-M26</f>
        <v>0</v>
      </c>
      <c r="N28" s="0"/>
      <c r="O28" s="20" t="n">
        <f aca="false">O24-O26</f>
        <v>0</v>
      </c>
      <c r="P28" s="0"/>
      <c r="Q28" s="20" t="n">
        <f aca="false">Q24-Q26</f>
        <v>0</v>
      </c>
      <c r="R28" s="0"/>
      <c r="S28" s="20" t="n">
        <f aca="false">S24-S26</f>
        <v>0</v>
      </c>
      <c r="T28" s="0"/>
      <c r="U28" s="20" t="n">
        <f aca="false">U24-U26</f>
        <v>0</v>
      </c>
      <c r="V28" s="0"/>
      <c r="W28" s="20" t="n">
        <f aca="false">W24-W26</f>
        <v>0</v>
      </c>
      <c r="X28" s="0"/>
      <c r="Y28" s="20" t="n">
        <f aca="false">Y24-Y26</f>
        <v>0</v>
      </c>
      <c r="Z28" s="0"/>
      <c r="AA28" s="20" t="n">
        <f aca="false">AA24-AA26</f>
        <v>0</v>
      </c>
      <c r="AB28" s="0"/>
      <c r="AC28" s="20" t="n">
        <f aca="false">AC24-AC26</f>
        <v>0</v>
      </c>
      <c r="AD28" s="0"/>
      <c r="AE28" s="20" t="n">
        <f aca="false">AE24-AE26</f>
        <v>0</v>
      </c>
      <c r="AF28" s="0"/>
      <c r="AG28" s="0"/>
      <c r="AH28" s="0"/>
      <c r="AI28" s="20" t="n">
        <f aca="false">AI24-AI26</f>
        <v>0</v>
      </c>
      <c r="AJ28" s="22"/>
      <c r="AM28" s="20"/>
      <c r="AN28" s="20"/>
      <c r="AS28" s="20"/>
      <c r="AT28" s="20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24"/>
    </row>
    <row r="30" customFormat="false" ht="12.75" hidden="false" customHeight="false" outlineLevel="0" collapsed="false">
      <c r="A30" s="0" t="s">
        <v>40</v>
      </c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24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24"/>
    </row>
    <row r="32" customFormat="false" ht="12.75" hidden="false" customHeight="false" outlineLevel="0" collapsed="false">
      <c r="A32" s="25" t="s">
        <v>41</v>
      </c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24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24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24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24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24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24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24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24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24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24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24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24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24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24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24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24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24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24"/>
    </row>
    <row r="50" customFormat="false" ht="12.75" hidden="false" customHeight="false" outlineLevel="0" collapsed="false">
      <c r="A50" s="26" t="str">
        <f aca="true">CELL("filename")</f>
        <v>'file:///mnt/12tb/@roms/datasets/enron/EDRM Enron Email Data Set v2 XML/filtered-attachments/xls/OM_EST___OPERATIONS___2001___2002_REVISED_FORMAT.xls'#$Gross</v>
      </c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customFormat="false" ht="12.75" hidden="false" customHeight="false" outlineLevel="0" collapsed="false">
      <c r="A51" s="28" t="n">
        <f aca="true">NOW()</f>
        <v>45926.8832392921</v>
      </c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customFormat="false" ht="12.75" hidden="false" customHeight="false" outlineLevel="0" collapsed="false">
      <c r="A52" s="26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customFormat="false" ht="12.75" hidden="false" customHeight="false" outlineLevel="0" collapsed="false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customFormat="false" ht="12.75" hidden="false" customHeight="false" outlineLevel="0" collapsed="false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customFormat="false" ht="12.75" hidden="false" customHeight="false" outlineLevel="0" collapsed="false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customFormat="false" ht="12.75" hidden="false" customHeight="false" outlineLevel="0" collapsed="false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customFormat="false" ht="12.75" hidden="false" customHeight="false" outlineLevel="0" collapsed="false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customFormat="false" ht="12.75" hidden="false" customHeight="false" outlineLevel="0" collapsed="false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customFormat="false" ht="12.75" hidden="false" customHeight="false" outlineLevel="0" collapsed="false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customFormat="false" ht="12.75" hidden="false" customHeight="false" outlineLevel="0" collapsed="false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customFormat="false" ht="12.75" hidden="false" customHeight="false" outlineLevel="0" collapsed="false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customFormat="false" ht="12.75" hidden="false" customHeight="false" outlineLevel="0" collapsed="false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customFormat="false" ht="12.75" hidden="false" customHeight="false" outlineLevel="0" collapsed="false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customFormat="false" ht="12.75" hidden="false" customHeight="false" outlineLevel="0" collapsed="false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customFormat="false" ht="12.75" hidden="false" customHeight="false" outlineLevel="0" collapsed="false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customFormat="false" ht="12.75" hidden="false" customHeight="false" outlineLevel="0" collapsed="false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customFormat="false" ht="12.75" hidden="false" customHeight="false" outlineLevel="0" collapsed="false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customFormat="false" ht="12.75" hidden="false" customHeight="false" outlineLevel="0" collapsed="false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customFormat="false" ht="12.75" hidden="false" customHeight="false" outlineLevel="0" collapsed="false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customFormat="false" ht="12.7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customFormat="false" ht="12.75" hidden="false" customHeight="false" outlineLevel="0" collapsed="false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customFormat="false" ht="12.75" hidden="false" customHeight="false" outlineLevel="0" collapsed="false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customFormat="false" ht="12.75" hidden="false" customHeight="false" outlineLevel="0" collapsed="false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customFormat="false" ht="12.75" hidden="false" customHeight="false" outlineLevel="0" collapsed="false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customFormat="false" ht="12.7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customFormat="false" ht="12.7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customFormat="false" ht="12.7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customFormat="false" ht="12.7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customFormat="false" ht="12.7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customFormat="false" ht="12.7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customFormat="false" ht="12.7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customFormat="false" ht="12.7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customFormat="false" ht="12.7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customFormat="false" ht="12.7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customFormat="false" ht="12.7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customFormat="false" ht="12.7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customFormat="false" ht="12.7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customFormat="false" ht="12.7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customFormat="false" ht="12.7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customFormat="false" ht="12.7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customFormat="false" ht="12.7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customFormat="false" ht="12.7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customFormat="false" ht="12.7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customFormat="false" ht="12.7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customFormat="false" ht="12.7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customFormat="false" ht="12.7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customFormat="false" ht="12.7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customFormat="false" ht="12.7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customFormat="false" ht="12.7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customFormat="false" ht="12.7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customFormat="false" ht="12.7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customFormat="false" ht="12.7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customFormat="false" ht="12.7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customFormat="false" ht="12.7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customFormat="false" ht="12.7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customFormat="false" ht="12.7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customFormat="false" ht="12.7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customFormat="false" ht="12.7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customFormat="false" ht="12.7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customFormat="false" ht="12.7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customFormat="false" ht="12.7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</sheetData>
  <mergeCells count="4">
    <mergeCell ref="A1:AE1"/>
    <mergeCell ref="A2:AE2"/>
    <mergeCell ref="A3:AE3"/>
    <mergeCell ref="A4:AE4"/>
  </mergeCells>
  <printOptions headings="false" gridLines="false" gridLinesSet="true" horizontalCentered="true" verticalCentered="false"/>
  <pageMargins left="0" right="0" top="0.75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2.13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10.71"/>
    <col collapsed="false" customWidth="true" hidden="false" outlineLevel="0" max="6" min="6" style="1" width="3.7"/>
    <col collapsed="false" customWidth="true" hidden="false" outlineLevel="0" max="7" min="7" style="1" width="10.71"/>
    <col collapsed="false" customWidth="true" hidden="false" outlineLevel="0" max="8" min="8" style="1" width="1.7"/>
    <col collapsed="false" customWidth="true" hidden="false" outlineLevel="0" max="9" min="9" style="1" width="10.71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10.71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true" outlineLevel="0" max="33" min="33" style="1" width="11.7"/>
    <col collapsed="false" customWidth="true" hidden="true" outlineLevel="0" max="34" min="34" style="1" width="1.85"/>
    <col collapsed="false" customWidth="true" hidden="false" outlineLevel="0" max="35" min="35" style="1" width="10.71"/>
    <col collapsed="false" customWidth="true" hidden="false" outlineLevel="0" max="36" min="36" style="1" width="1.7"/>
    <col collapsed="false" customWidth="true" hidden="false" outlineLevel="0" max="37" min="37" style="1" width="10.71"/>
    <col collapsed="false" customWidth="true" hidden="false" outlineLevel="0" max="38" min="38" style="1" width="1.56"/>
    <col collapsed="false" customWidth="true" hidden="false" outlineLevel="0" max="39" min="39" style="1" width="10.71"/>
    <col collapsed="false" customWidth="true" hidden="false" outlineLevel="0" max="40" min="40" style="1" width="1.7"/>
    <col collapsed="false" customWidth="true" hidden="false" outlineLevel="0" max="41" min="41" style="1" width="10.71"/>
    <col collapsed="false" customWidth="false" hidden="false" outlineLevel="0" max="257" min="42" style="1" width="9.14"/>
  </cols>
  <sheetData>
    <row r="1" customFormat="false" ht="15.75" hidden="false" customHeight="false" outlineLevel="0" collapsed="false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5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customFormat="false" ht="12.75" hidden="false" customHeight="false" outlineLevel="0" collapsed="false">
      <c r="A6" s="7"/>
    </row>
    <row r="8" customFormat="false" ht="12.75" hidden="false" customHeight="false" outlineLevel="0" collapsed="false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2"/>
      <c r="M8" s="8"/>
      <c r="N8" s="8"/>
      <c r="O8" s="8"/>
      <c r="P8" s="8"/>
      <c r="Q8" s="8"/>
      <c r="R8" s="8"/>
      <c r="S8" s="8"/>
      <c r="T8" s="8"/>
      <c r="U8" s="8"/>
      <c r="V8" s="2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9"/>
      <c r="O9" s="9"/>
      <c r="Y9" s="9"/>
      <c r="AM9" s="9" t="s">
        <v>4</v>
      </c>
    </row>
    <row r="10" customFormat="false" ht="12.75" hidden="false" customHeight="false" outlineLevel="0" collapsed="false">
      <c r="C10" s="9" t="s">
        <v>43</v>
      </c>
      <c r="D10" s="0"/>
      <c r="E10" s="9" t="s">
        <v>43</v>
      </c>
      <c r="F10" s="0"/>
      <c r="G10" s="9" t="s">
        <v>43</v>
      </c>
      <c r="H10" s="10"/>
      <c r="I10" s="9" t="s">
        <v>43</v>
      </c>
      <c r="J10" s="0"/>
      <c r="K10" s="9" t="s">
        <v>43</v>
      </c>
      <c r="M10" s="9" t="s">
        <v>43</v>
      </c>
      <c r="O10" s="9" t="s">
        <v>43</v>
      </c>
      <c r="P10" s="0"/>
      <c r="Q10" s="9" t="s">
        <v>43</v>
      </c>
      <c r="R10" s="10"/>
      <c r="S10" s="9" t="s">
        <v>43</v>
      </c>
      <c r="U10" s="9" t="s">
        <v>43</v>
      </c>
      <c r="W10" s="9" t="s">
        <v>43</v>
      </c>
      <c r="Y10" s="9" t="s">
        <v>43</v>
      </c>
      <c r="AA10" s="9" t="s">
        <v>43</v>
      </c>
      <c r="AB10" s="10"/>
      <c r="AC10" s="9" t="s">
        <v>43</v>
      </c>
      <c r="AE10" s="9" t="s">
        <v>43</v>
      </c>
      <c r="AG10" s="9" t="s">
        <v>6</v>
      </c>
      <c r="AI10" s="9" t="s">
        <v>43</v>
      </c>
      <c r="AM10" s="9" t="s">
        <v>43</v>
      </c>
    </row>
    <row r="11" customFormat="false" ht="12.75" hidden="false" customHeight="false" outlineLevel="0" collapsed="false">
      <c r="C11" s="9" t="s">
        <v>7</v>
      </c>
      <c r="D11" s="9"/>
      <c r="E11" s="9" t="s">
        <v>8</v>
      </c>
      <c r="F11" s="9"/>
      <c r="G11" s="9" t="n">
        <v>2001</v>
      </c>
      <c r="H11" s="9"/>
      <c r="I11" s="9" t="n">
        <v>2001</v>
      </c>
      <c r="J11" s="9"/>
      <c r="K11" s="9" t="n">
        <v>2002</v>
      </c>
      <c r="M11" s="9" t="n">
        <v>2002</v>
      </c>
      <c r="N11" s="9"/>
      <c r="O11" s="9" t="n">
        <v>2002</v>
      </c>
      <c r="P11" s="9"/>
      <c r="Q11" s="9" t="n">
        <v>2002</v>
      </c>
      <c r="R11" s="9"/>
      <c r="S11" s="9" t="n">
        <v>2002</v>
      </c>
      <c r="T11" s="9"/>
      <c r="U11" s="9" t="n">
        <v>2002</v>
      </c>
      <c r="W11" s="9" t="n">
        <v>2002</v>
      </c>
      <c r="Y11" s="9" t="n">
        <v>2002</v>
      </c>
      <c r="AA11" s="9" t="n">
        <v>2002</v>
      </c>
      <c r="AB11" s="9"/>
      <c r="AC11" s="9" t="n">
        <v>2002</v>
      </c>
      <c r="AD11" s="9"/>
      <c r="AE11" s="9" t="n">
        <v>2002</v>
      </c>
      <c r="AG11" s="8" t="s">
        <v>9</v>
      </c>
      <c r="AI11" s="9" t="n">
        <v>2002</v>
      </c>
      <c r="AK11" s="9" t="n">
        <v>2002</v>
      </c>
      <c r="AM11" s="9" t="n">
        <v>2002</v>
      </c>
    </row>
    <row r="12" customFormat="false" ht="12.75" hidden="false" customHeight="false" outlineLevel="0" collapsed="false">
      <c r="A12" s="11" t="s">
        <v>10</v>
      </c>
      <c r="C12" s="11" t="s">
        <v>11</v>
      </c>
      <c r="D12" s="9"/>
      <c r="E12" s="11" t="s">
        <v>12</v>
      </c>
      <c r="F12" s="8"/>
      <c r="G12" s="11" t="s">
        <v>13</v>
      </c>
      <c r="H12" s="8"/>
      <c r="I12" s="11" t="s">
        <v>14</v>
      </c>
      <c r="J12" s="9"/>
      <c r="K12" s="11" t="s">
        <v>15</v>
      </c>
      <c r="M12" s="11" t="s">
        <v>16</v>
      </c>
      <c r="N12" s="9"/>
      <c r="O12" s="11" t="s">
        <v>17</v>
      </c>
      <c r="P12" s="8"/>
      <c r="Q12" s="11" t="s">
        <v>18</v>
      </c>
      <c r="R12" s="8"/>
      <c r="S12" s="11" t="s">
        <v>19</v>
      </c>
      <c r="T12" s="9"/>
      <c r="U12" s="11" t="s">
        <v>20</v>
      </c>
      <c r="W12" s="11" t="s">
        <v>21</v>
      </c>
      <c r="Y12" s="11" t="s">
        <v>22</v>
      </c>
      <c r="AA12" s="11" t="s">
        <v>23</v>
      </c>
      <c r="AB12" s="8"/>
      <c r="AC12" s="11" t="s">
        <v>7</v>
      </c>
      <c r="AD12" s="9"/>
      <c r="AE12" s="11" t="s">
        <v>13</v>
      </c>
      <c r="AF12" s="2"/>
      <c r="AG12" s="11" t="s">
        <v>24</v>
      </c>
      <c r="AH12" s="2"/>
      <c r="AI12" s="11" t="s">
        <v>14</v>
      </c>
      <c r="AJ12" s="2"/>
      <c r="AK12" s="11" t="s">
        <v>25</v>
      </c>
      <c r="AL12" s="2"/>
      <c r="AM12" s="11" t="s">
        <v>25</v>
      </c>
      <c r="AO12" s="11" t="s">
        <v>26</v>
      </c>
    </row>
    <row r="13" customFormat="false" ht="12.75" hidden="false" customHeight="false" outlineLevel="0" collapsed="false">
      <c r="A13" s="12" t="s">
        <v>27</v>
      </c>
      <c r="C13" s="13" t="n">
        <f aca="false">74209</f>
        <v>74209</v>
      </c>
      <c r="D13" s="13"/>
      <c r="E13" s="13" t="n">
        <f aca="false">C13/10</f>
        <v>7420.9</v>
      </c>
      <c r="F13" s="13"/>
      <c r="G13" s="13" t="n">
        <v>7734.2</v>
      </c>
      <c r="H13" s="13"/>
      <c r="I13" s="13" t="n">
        <v>9287.5</v>
      </c>
      <c r="J13" s="13"/>
      <c r="K13" s="13" t="n">
        <v>6774</v>
      </c>
      <c r="L13" s="13"/>
      <c r="M13" s="13" t="n">
        <v>7368</v>
      </c>
      <c r="N13" s="13"/>
      <c r="O13" s="13" t="n">
        <v>7233</v>
      </c>
      <c r="P13" s="13"/>
      <c r="Q13" s="13" t="n">
        <v>7068</v>
      </c>
      <c r="R13" s="13"/>
      <c r="S13" s="13" t="n">
        <v>7066</v>
      </c>
      <c r="T13" s="13"/>
      <c r="U13" s="13" t="n">
        <v>7433</v>
      </c>
      <c r="V13" s="13"/>
      <c r="W13" s="13" t="n">
        <v>9008</v>
      </c>
      <c r="X13" s="13"/>
      <c r="Y13" s="13" t="n">
        <v>8115</v>
      </c>
      <c r="Z13" s="13"/>
      <c r="AA13" s="13" t="n">
        <v>8453</v>
      </c>
      <c r="AB13" s="13"/>
      <c r="AC13" s="13" t="n">
        <v>8453</v>
      </c>
      <c r="AD13" s="13"/>
      <c r="AE13" s="13" t="n">
        <v>7612</v>
      </c>
      <c r="AF13" s="13"/>
      <c r="AG13" s="13" t="n">
        <f aca="false">-448.4/11017</f>
        <v>-0.0407007352273759</v>
      </c>
      <c r="AH13" s="13"/>
      <c r="AI13" s="13" t="n">
        <v>8068</v>
      </c>
      <c r="AK13" s="14" t="n">
        <f aca="false">SUM(K13:AI13)</f>
        <v>92650.9592992648</v>
      </c>
      <c r="AM13" s="14" t="n">
        <f aca="false">'Orig ''02 Plan Net'!AK13</f>
        <v>92650.9592992648</v>
      </c>
      <c r="AO13" s="14" t="n">
        <f aca="false">AK13-AM13</f>
        <v>0</v>
      </c>
    </row>
    <row r="14" customFormat="false" ht="12.75" hidden="false" customHeight="false" outlineLevel="0" collapsed="false">
      <c r="A14" s="12" t="s">
        <v>28</v>
      </c>
      <c r="C14" s="13" t="n">
        <v>23324</v>
      </c>
      <c r="D14" s="13"/>
      <c r="E14" s="13" t="n">
        <f aca="false">C14/10</f>
        <v>2332.4</v>
      </c>
      <c r="F14" s="13"/>
      <c r="G14" s="13" t="n">
        <v>958.2</v>
      </c>
      <c r="H14" s="13"/>
      <c r="I14" s="13" t="n">
        <v>485.7</v>
      </c>
      <c r="J14" s="13"/>
      <c r="K14" s="13" t="n">
        <v>2166.403</v>
      </c>
      <c r="L14" s="13"/>
      <c r="M14" s="13" t="n">
        <v>2185.425</v>
      </c>
      <c r="N14" s="13"/>
      <c r="O14" s="13" t="n">
        <v>2144.461</v>
      </c>
      <c r="P14" s="13"/>
      <c r="Q14" s="13" t="n">
        <v>2122.357</v>
      </c>
      <c r="R14" s="13"/>
      <c r="S14" s="13" t="n">
        <v>2151.378</v>
      </c>
      <c r="T14" s="13"/>
      <c r="U14" s="13" t="n">
        <v>2174.504</v>
      </c>
      <c r="V14" s="13"/>
      <c r="W14" s="13" t="n">
        <v>2148.327</v>
      </c>
      <c r="X14" s="13"/>
      <c r="Y14" s="13" t="n">
        <v>2165.205</v>
      </c>
      <c r="Z14" s="13"/>
      <c r="AA14" s="13" t="n">
        <v>2156.355</v>
      </c>
      <c r="AB14" s="13"/>
      <c r="AC14" s="13" t="n">
        <v>2153.188</v>
      </c>
      <c r="AD14" s="13"/>
      <c r="AE14" s="13" t="n">
        <v>2122.55</v>
      </c>
      <c r="AF14" s="13"/>
      <c r="AG14" s="13" t="n">
        <f aca="false">-102.4/1810</f>
        <v>-0.0565745856353591</v>
      </c>
      <c r="AH14" s="13"/>
      <c r="AI14" s="13" t="n">
        <v>2204.767</v>
      </c>
      <c r="AK14" s="14" t="n">
        <f aca="false">SUM(K14:AI14)</f>
        <v>25894.8634254144</v>
      </c>
      <c r="AM14" s="14" t="n">
        <f aca="false">'Orig ''02 Plan Net'!AK14</f>
        <v>25894.8634254144</v>
      </c>
      <c r="AO14" s="14" t="n">
        <f aca="false">AK14-AM14</f>
        <v>0</v>
      </c>
    </row>
    <row r="15" customFormat="false" ht="12.75" hidden="false" customHeight="false" outlineLevel="0" collapsed="false">
      <c r="A15" s="12" t="s">
        <v>29</v>
      </c>
      <c r="C15" s="13" t="n">
        <f aca="false">25699+1058</f>
        <v>26757</v>
      </c>
      <c r="D15" s="0"/>
      <c r="E15" s="13" t="n">
        <f aca="false">C15/10</f>
        <v>2675.7</v>
      </c>
      <c r="F15" s="0"/>
      <c r="G15" s="13" t="n">
        <f aca="false">2189+85</f>
        <v>2274</v>
      </c>
      <c r="H15" s="13"/>
      <c r="I15" s="13" t="n">
        <f aca="false">1920+85</f>
        <v>2005</v>
      </c>
      <c r="J15" s="13"/>
      <c r="K15" s="13" t="n">
        <f aca="false">3099.919</f>
        <v>3099.919</v>
      </c>
      <c r="L15" s="13"/>
      <c r="M15" s="13" t="n">
        <f aca="false">2741.253</f>
        <v>2741.253</v>
      </c>
      <c r="N15" s="13"/>
      <c r="O15" s="13" t="n">
        <v>2670.165</v>
      </c>
      <c r="P15" s="13"/>
      <c r="Q15" s="13" t="n">
        <v>2877.501</v>
      </c>
      <c r="R15" s="13"/>
      <c r="S15" s="13" t="n">
        <v>2846.096</v>
      </c>
      <c r="T15" s="13"/>
      <c r="U15" s="13" t="n">
        <v>2885.957</v>
      </c>
      <c r="V15" s="13"/>
      <c r="W15" s="13" t="n">
        <v>2956.525</v>
      </c>
      <c r="X15" s="13"/>
      <c r="Y15" s="13" t="n">
        <v>2984.717</v>
      </c>
      <c r="Z15" s="13"/>
      <c r="AA15" s="13" t="n">
        <v>2956.854</v>
      </c>
      <c r="AB15" s="13"/>
      <c r="AC15" s="13" t="n">
        <v>2912.51</v>
      </c>
      <c r="AD15" s="13"/>
      <c r="AE15" s="13" t="n">
        <v>2878.492</v>
      </c>
      <c r="AF15" s="13"/>
      <c r="AG15" s="15" t="n">
        <f aca="false">-155.5/1959</f>
        <v>-0.0793772332822869</v>
      </c>
      <c r="AH15" s="13"/>
      <c r="AI15" s="13" t="n">
        <v>2855.159</v>
      </c>
      <c r="AK15" s="14" t="n">
        <f aca="false">SUM(K15:AI15)</f>
        <v>34665.0686227667</v>
      </c>
      <c r="AM15" s="14" t="n">
        <f aca="false">'Orig ''02 Plan Net'!AK15</f>
        <v>34665.0686227667</v>
      </c>
      <c r="AO15" s="14" t="n">
        <f aca="false">AK15-AM15</f>
        <v>0</v>
      </c>
    </row>
    <row r="16" customFormat="false" ht="12.75" hidden="false" customHeight="false" outlineLevel="0" collapsed="false">
      <c r="A16" s="12" t="s">
        <v>30</v>
      </c>
      <c r="C16" s="13" t="n">
        <f aca="false">9927.9+431+1488.3+51</f>
        <v>11898.2</v>
      </c>
      <c r="D16" s="0"/>
      <c r="E16" s="13" t="n">
        <f aca="false">C16/10</f>
        <v>1189.82</v>
      </c>
      <c r="F16" s="0"/>
      <c r="G16" s="13" t="n">
        <f aca="false">1799.9+35+526.4+8</f>
        <v>2369.3</v>
      </c>
      <c r="H16" s="13"/>
      <c r="I16" s="13" t="n">
        <f aca="false">526.4+8+1451.9+90</f>
        <v>2076.3</v>
      </c>
      <c r="J16" s="13"/>
      <c r="K16" s="13" t="n">
        <f aca="false">1024.995+220.336</f>
        <v>1245.331</v>
      </c>
      <c r="L16" s="13"/>
      <c r="M16" s="13" t="n">
        <f aca="false">1029.107+220.075</f>
        <v>1249.182</v>
      </c>
      <c r="N16" s="13"/>
      <c r="O16" s="13" t="n">
        <f aca="false">1025.302+219.391</f>
        <v>1244.693</v>
      </c>
      <c r="P16" s="13"/>
      <c r="Q16" s="13" t="n">
        <f aca="false">1027.547+220.014</f>
        <v>1247.561</v>
      </c>
      <c r="R16" s="13"/>
      <c r="S16" s="13" t="n">
        <f aca="false">1026.599+220.015</f>
        <v>1246.614</v>
      </c>
      <c r="T16" s="13"/>
      <c r="U16" s="13" t="n">
        <f aca="false">1025.304+220.392</f>
        <v>1245.696</v>
      </c>
      <c r="V16" s="13"/>
      <c r="W16" s="13" t="n">
        <f aca="false">1025.259+220.115</f>
        <v>1245.374</v>
      </c>
      <c r="X16" s="13"/>
      <c r="Y16" s="13" t="n">
        <f aca="false">1026.599+220.015</f>
        <v>1246.614</v>
      </c>
      <c r="Z16" s="13"/>
      <c r="AA16" s="13" t="n">
        <f aca="false">1025.307+219.392</f>
        <v>1244.699</v>
      </c>
      <c r="AB16" s="13"/>
      <c r="AC16" s="13" t="n">
        <f aca="false">1030.252+220.116</f>
        <v>1250.368</v>
      </c>
      <c r="AD16" s="13"/>
      <c r="AE16" s="13" t="n">
        <f aca="false">1028.902+220.116</f>
        <v>1249.018</v>
      </c>
      <c r="AF16" s="13"/>
      <c r="AG16" s="13" t="n">
        <f aca="false">(W16-M16)/M16</f>
        <v>-0.00304839486960266</v>
      </c>
      <c r="AH16" s="13"/>
      <c r="AI16" s="13" t="n">
        <f aca="false">1024.306+220.492</f>
        <v>1244.798</v>
      </c>
      <c r="AK16" s="14" t="n">
        <f aca="false">SUM(K16:AI16)</f>
        <v>14959.9449516051</v>
      </c>
      <c r="AM16" s="14" t="n">
        <f aca="false">'Orig ''02 Plan Net'!AK16</f>
        <v>14959.9449516051</v>
      </c>
      <c r="AO16" s="14" t="n">
        <f aca="false">AK16-AM16</f>
        <v>0</v>
      </c>
      <c r="AP16" s="12" t="s">
        <v>37</v>
      </c>
    </row>
    <row r="17" customFormat="false" ht="12.75" hidden="false" customHeight="false" outlineLevel="0" collapsed="false">
      <c r="A17" s="12" t="s">
        <v>31</v>
      </c>
      <c r="C17" s="13"/>
      <c r="D17" s="0"/>
      <c r="E17" s="13" t="n">
        <f aca="false">C17/10</f>
        <v>0</v>
      </c>
      <c r="F17" s="0"/>
      <c r="G17" s="13"/>
      <c r="H17" s="13"/>
      <c r="I17" s="13"/>
      <c r="J17" s="13"/>
      <c r="K17" s="13" t="n">
        <v>3074.9</v>
      </c>
      <c r="L17" s="13"/>
      <c r="M17" s="13" t="n">
        <v>3603.471</v>
      </c>
      <c r="N17" s="13"/>
      <c r="O17" s="13" t="n">
        <v>3275.955</v>
      </c>
      <c r="P17" s="13"/>
      <c r="Q17" s="13" t="n">
        <v>3468.866</v>
      </c>
      <c r="R17" s="13"/>
      <c r="S17" s="13" t="n">
        <v>3515.904</v>
      </c>
      <c r="T17" s="13"/>
      <c r="U17" s="13" t="n">
        <v>3591.606</v>
      </c>
      <c r="V17" s="13"/>
      <c r="W17" s="13" t="n">
        <v>3552.738</v>
      </c>
      <c r="X17" s="13"/>
      <c r="Y17" s="13" t="n">
        <v>3435.01</v>
      </c>
      <c r="Z17" s="13"/>
      <c r="AA17" s="13" t="n">
        <v>3424.314</v>
      </c>
      <c r="AB17" s="13"/>
      <c r="AC17" s="13" t="n">
        <v>3290.913</v>
      </c>
      <c r="AD17" s="13"/>
      <c r="AE17" s="13" t="n">
        <v>3212.154</v>
      </c>
      <c r="AF17" s="13"/>
      <c r="AG17" s="13"/>
      <c r="AH17" s="13"/>
      <c r="AI17" s="13" t="n">
        <v>3161.855</v>
      </c>
      <c r="AK17" s="14" t="n">
        <f aca="false">SUM(K17:AI17)</f>
        <v>40607.686</v>
      </c>
      <c r="AM17" s="14" t="n">
        <f aca="false">'Orig ''02 Plan Net'!AK17</f>
        <v>40607.686</v>
      </c>
      <c r="AO17" s="14" t="n">
        <f aca="false">AK17-AM17</f>
        <v>0</v>
      </c>
    </row>
    <row r="18" customFormat="false" ht="12.75" hidden="false" customHeight="false" outlineLevel="0" collapsed="false">
      <c r="A18" s="12" t="s">
        <v>32</v>
      </c>
      <c r="C18" s="13" t="n">
        <f aca="false">1258.2-100.5-246.3</f>
        <v>911.4</v>
      </c>
      <c r="D18" s="0"/>
      <c r="E18" s="13" t="n">
        <f aca="false">C18/10</f>
        <v>91.14</v>
      </c>
      <c r="F18" s="0"/>
      <c r="G18" s="13" t="n">
        <v>100.5</v>
      </c>
      <c r="H18" s="13"/>
      <c r="I18" s="13" t="n">
        <v>246.259</v>
      </c>
      <c r="J18" s="13"/>
      <c r="K18" s="13" t="n">
        <v>133.29</v>
      </c>
      <c r="L18" s="13"/>
      <c r="M18" s="13" t="n">
        <v>135.337</v>
      </c>
      <c r="N18" s="13"/>
      <c r="O18" s="13" t="n">
        <v>135.337</v>
      </c>
      <c r="P18" s="13"/>
      <c r="Q18" s="13" t="n">
        <v>135.337</v>
      </c>
      <c r="R18" s="13"/>
      <c r="S18" s="13" t="n">
        <v>135.337</v>
      </c>
      <c r="T18" s="13"/>
      <c r="U18" s="13" t="n">
        <v>135.337</v>
      </c>
      <c r="V18" s="13"/>
      <c r="W18" s="13" t="n">
        <v>135.337</v>
      </c>
      <c r="X18" s="13"/>
      <c r="Y18" s="13" t="n">
        <v>135.337</v>
      </c>
      <c r="Z18" s="13"/>
      <c r="AA18" s="13" t="n">
        <v>135.337</v>
      </c>
      <c r="AB18" s="13"/>
      <c r="AC18" s="13" t="n">
        <v>135.337</v>
      </c>
      <c r="AD18" s="13"/>
      <c r="AE18" s="13" t="n">
        <v>135.337</v>
      </c>
      <c r="AF18" s="13"/>
      <c r="AG18" s="13"/>
      <c r="AH18" s="13"/>
      <c r="AI18" s="13" t="n">
        <v>135.337</v>
      </c>
      <c r="AK18" s="14" t="n">
        <f aca="false">SUM(K18:AI18)</f>
        <v>1621.997</v>
      </c>
      <c r="AM18" s="14" t="n">
        <f aca="false">'Orig ''02 Plan Net'!AK18</f>
        <v>1621.997</v>
      </c>
      <c r="AO18" s="14" t="n">
        <f aca="false">AK18-AM18</f>
        <v>0</v>
      </c>
    </row>
    <row r="19" customFormat="false" ht="12.75" hidden="false" customHeight="false" outlineLevel="0" collapsed="false">
      <c r="A19" s="12" t="s">
        <v>33</v>
      </c>
      <c r="C19" s="13"/>
      <c r="D19" s="0"/>
      <c r="E19" s="13" t="n">
        <f aca="false">C19/10</f>
        <v>0</v>
      </c>
      <c r="F19" s="0"/>
      <c r="G19" s="13" t="n">
        <v>0</v>
      </c>
      <c r="H19" s="13"/>
      <c r="I19" s="13" t="n">
        <v>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K19" s="14" t="n">
        <f aca="false">SUM(K19:AI19)</f>
        <v>0</v>
      </c>
      <c r="AM19" s="14" t="n">
        <f aca="false">'Orig ''02 Plan Net'!AK19</f>
        <v>0</v>
      </c>
      <c r="AO19" s="14" t="n">
        <f aca="false">AK19-AM19</f>
        <v>0</v>
      </c>
    </row>
    <row r="20" customFormat="false" ht="12.75" hidden="false" customHeight="false" outlineLevel="0" collapsed="false">
      <c r="A20" s="12" t="s">
        <v>34</v>
      </c>
      <c r="C20" s="13" t="n">
        <v>500.499</v>
      </c>
      <c r="D20" s="0"/>
      <c r="E20" s="13" t="n">
        <f aca="false">C20/10</f>
        <v>50.0499</v>
      </c>
      <c r="F20" s="0"/>
      <c r="G20" s="13" t="n">
        <f aca="false">19.1</f>
        <v>19.1</v>
      </c>
      <c r="H20" s="13"/>
      <c r="I20" s="13" t="n">
        <f aca="false">19.1-0.7</f>
        <v>18.4</v>
      </c>
      <c r="J20" s="13"/>
      <c r="K20" s="13" t="n">
        <v>43.119</v>
      </c>
      <c r="L20" s="13"/>
      <c r="M20" s="13" t="n">
        <v>44.078</v>
      </c>
      <c r="N20" s="13"/>
      <c r="O20" s="13" t="n">
        <v>43.119</v>
      </c>
      <c r="P20" s="13"/>
      <c r="Q20" s="13" t="n">
        <v>43.119</v>
      </c>
      <c r="R20" s="13"/>
      <c r="S20" s="13" t="n">
        <v>43.119</v>
      </c>
      <c r="T20" s="13"/>
      <c r="U20" s="13" t="n">
        <v>43.119</v>
      </c>
      <c r="V20" s="13"/>
      <c r="W20" s="13" t="n">
        <v>43.119</v>
      </c>
      <c r="X20" s="13"/>
      <c r="Y20" s="13" t="n">
        <v>43.119</v>
      </c>
      <c r="Z20" s="13"/>
      <c r="AA20" s="13" t="n">
        <v>43.119</v>
      </c>
      <c r="AB20" s="13"/>
      <c r="AC20" s="13" t="n">
        <v>43.119</v>
      </c>
      <c r="AD20" s="13"/>
      <c r="AE20" s="13" t="n">
        <v>43.119</v>
      </c>
      <c r="AF20" s="13"/>
      <c r="AG20" s="13"/>
      <c r="AH20" s="13"/>
      <c r="AI20" s="13" t="n">
        <v>43.119</v>
      </c>
      <c r="AK20" s="14" t="n">
        <f aca="false">SUM(K20:AI20)</f>
        <v>518.387</v>
      </c>
      <c r="AM20" s="14" t="n">
        <f aca="false">'Orig ''02 Plan Net'!AK20</f>
        <v>518.387</v>
      </c>
      <c r="AO20" s="14" t="n">
        <f aca="false">AK20-AM20</f>
        <v>0</v>
      </c>
    </row>
    <row r="21" customFormat="false" ht="12.75" hidden="false" customHeight="false" outlineLevel="0" collapsed="false">
      <c r="A21" s="12" t="s">
        <v>35</v>
      </c>
      <c r="C21" s="13"/>
      <c r="D21" s="13"/>
      <c r="E21" s="13" t="n">
        <f aca="false">C21/10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K21" s="14" t="n">
        <f aca="false">SUM(K21:AI21)</f>
        <v>0</v>
      </c>
      <c r="AM21" s="14" t="n">
        <f aca="false">'Orig ''02 Plan Net'!AK21</f>
        <v>0</v>
      </c>
      <c r="AO21" s="14" t="n">
        <f aca="false">AK21-AM21</f>
        <v>0</v>
      </c>
    </row>
    <row r="22" customFormat="false" ht="12.75" hidden="false" customHeight="false" outlineLevel="0" collapsed="false">
      <c r="A22" s="12" t="s">
        <v>36</v>
      </c>
      <c r="C22" s="13" t="n">
        <f aca="false">1417-99-72</f>
        <v>1246</v>
      </c>
      <c r="D22" s="13"/>
      <c r="E22" s="13" t="n">
        <f aca="false">C22/10</f>
        <v>124.6</v>
      </c>
      <c r="F22" s="13"/>
      <c r="G22" s="13" t="n">
        <v>99</v>
      </c>
      <c r="H22" s="13"/>
      <c r="I22" s="13" t="n">
        <v>72</v>
      </c>
      <c r="J22" s="13"/>
      <c r="K22" s="13" t="n">
        <f aca="false">5.433+5.204</f>
        <v>10.637</v>
      </c>
      <c r="L22" s="13"/>
      <c r="M22" s="13" t="n">
        <f aca="false">5.433+6.822</f>
        <v>12.255</v>
      </c>
      <c r="N22" s="13"/>
      <c r="O22" s="13" t="n">
        <f aca="false">5.433+5.16</f>
        <v>10.593</v>
      </c>
      <c r="P22" s="13"/>
      <c r="Q22" s="13" t="n">
        <f aca="false">5.433+5.115</f>
        <v>10.548</v>
      </c>
      <c r="R22" s="13"/>
      <c r="S22" s="13" t="n">
        <f aca="false">5.433+5.116</f>
        <v>10.549</v>
      </c>
      <c r="T22" s="13"/>
      <c r="U22" s="13" t="n">
        <f aca="false">5.433+5.154</f>
        <v>10.587</v>
      </c>
      <c r="V22" s="13"/>
      <c r="W22" s="13" t="n">
        <f aca="false">5.433+5.115</f>
        <v>10.548</v>
      </c>
      <c r="X22" s="13"/>
      <c r="Y22" s="13" t="n">
        <f aca="false">5.433+5.117</f>
        <v>10.55</v>
      </c>
      <c r="Z22" s="13"/>
      <c r="AA22" s="13" t="n">
        <f aca="false">5.433+5.133</f>
        <v>10.566</v>
      </c>
      <c r="AB22" s="13"/>
      <c r="AC22" s="13" t="n">
        <f aca="false">5.433+5.096</f>
        <v>10.529</v>
      </c>
      <c r="AD22" s="13"/>
      <c r="AE22" s="13" t="n">
        <f aca="false">5.433+4.927</f>
        <v>10.36</v>
      </c>
      <c r="AF22" s="13"/>
      <c r="AG22" s="13" t="n">
        <f aca="false">(W22-M22)/M22</f>
        <v>-0.139290085679315</v>
      </c>
      <c r="AH22" s="13"/>
      <c r="AI22" s="13" t="n">
        <f aca="false">5.433+4.946+72</f>
        <v>82.379</v>
      </c>
      <c r="AK22" s="14" t="n">
        <f aca="false">SUM(K22:AI22)</f>
        <v>199.961709914321</v>
      </c>
      <c r="AM22" s="14" t="n">
        <f aca="false">'Orig ''02 Plan Net'!AK22</f>
        <v>199.961709914321</v>
      </c>
      <c r="AO22" s="14" t="n">
        <f aca="false">AK22-AM22</f>
        <v>0</v>
      </c>
    </row>
    <row r="23" customFormat="false" ht="12.75" hidden="false" customHeight="false" outlineLevel="0" collapsed="false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6"/>
      <c r="AI23" s="13"/>
    </row>
    <row r="24" customFormat="false" ht="13.5" hidden="false" customHeight="false" outlineLevel="0" collapsed="false">
      <c r="A24" s="12" t="s">
        <v>25</v>
      </c>
      <c r="C24" s="17" t="n">
        <f aca="false">SUM(C13:C23)</f>
        <v>138846.099</v>
      </c>
      <c r="D24" s="13"/>
      <c r="E24" s="17" t="n">
        <f aca="false">SUM(E13:E23)</f>
        <v>13884.6099</v>
      </c>
      <c r="F24" s="13"/>
      <c r="G24" s="17" t="n">
        <f aca="false">SUM(G13:G23)</f>
        <v>13554.3</v>
      </c>
      <c r="H24" s="13"/>
      <c r="I24" s="17" t="n">
        <f aca="false">SUM(I13:I23)</f>
        <v>14191.159</v>
      </c>
      <c r="J24" s="13"/>
      <c r="K24" s="17" t="n">
        <f aca="false">SUM(K13:K23)</f>
        <v>16547.599</v>
      </c>
      <c r="L24" s="13"/>
      <c r="M24" s="17" t="n">
        <f aca="false">SUM(M13:M23)</f>
        <v>17339.001</v>
      </c>
      <c r="N24" s="13"/>
      <c r="O24" s="17" t="n">
        <f aca="false">SUM(O13:O23)</f>
        <v>16757.323</v>
      </c>
      <c r="P24" s="13"/>
      <c r="Q24" s="17" t="n">
        <f aca="false">SUM(Q13:Q23)</f>
        <v>16973.289</v>
      </c>
      <c r="R24" s="13"/>
      <c r="S24" s="17" t="n">
        <f aca="false">SUM(S13:S23)</f>
        <v>17014.997</v>
      </c>
      <c r="T24" s="13"/>
      <c r="U24" s="17" t="n">
        <f aca="false">SUM(U13:U23)</f>
        <v>17519.806</v>
      </c>
      <c r="V24" s="13"/>
      <c r="W24" s="17" t="n">
        <f aca="false">SUM(W13:W23)</f>
        <v>19099.968</v>
      </c>
      <c r="X24" s="13"/>
      <c r="Y24" s="17" t="n">
        <f aca="false">SUM(Y13:Y23)</f>
        <v>18135.552</v>
      </c>
      <c r="Z24" s="13"/>
      <c r="AA24" s="17" t="n">
        <f aca="false">SUM(AA13:AA23)</f>
        <v>18424.244</v>
      </c>
      <c r="AB24" s="13"/>
      <c r="AC24" s="17" t="n">
        <f aca="false">SUM(AC13:AC23)</f>
        <v>18248.964</v>
      </c>
      <c r="AD24" s="13"/>
      <c r="AE24" s="17" t="n">
        <f aca="false">SUM(AE13:AE23)</f>
        <v>17263.03</v>
      </c>
      <c r="AF24" s="13"/>
      <c r="AG24" s="18" t="n">
        <f aca="false">(W24-M24)/M24</f>
        <v>0.101561041492529</v>
      </c>
      <c r="AI24" s="17" t="n">
        <f aca="false">SUM(AI13:AI23)</f>
        <v>17795.414</v>
      </c>
      <c r="AK24" s="17" t="n">
        <f aca="false">SUM(AK13:AK23)</f>
        <v>211118.868008965</v>
      </c>
      <c r="AM24" s="17" t="n">
        <f aca="false">'Orig ''02 Plan Net'!AK24</f>
        <v>211118.868008965</v>
      </c>
      <c r="AO24" s="17" t="n">
        <f aca="false">SUM(AO13:AO23)</f>
        <v>0</v>
      </c>
    </row>
    <row r="25" customFormat="false" ht="25.5" hidden="false" customHeight="true" outlineLevel="0" collapsed="false">
      <c r="A25" s="12"/>
      <c r="G25" s="12" t="s">
        <v>37</v>
      </c>
      <c r="AE25" s="19"/>
    </row>
    <row r="26" customFormat="false" ht="12.75" hidden="false" customHeight="false" outlineLevel="0" collapsed="false">
      <c r="A26" s="12" t="s">
        <v>38</v>
      </c>
      <c r="B26" s="0"/>
      <c r="C26" s="0"/>
      <c r="D26" s="0"/>
      <c r="E26" s="0"/>
      <c r="F26" s="0"/>
      <c r="G26" s="0" t="s">
        <v>37</v>
      </c>
      <c r="H26" s="0"/>
      <c r="I26" s="0"/>
      <c r="J26" s="0"/>
      <c r="K26" s="20" t="n">
        <f aca="false">'Orig ''02 Plan Net'!K24</f>
        <v>16547.599</v>
      </c>
      <c r="L26" s="21"/>
      <c r="M26" s="20" t="n">
        <f aca="false">'Orig ''02 Plan Net'!M24</f>
        <v>17339.001</v>
      </c>
      <c r="N26" s="21"/>
      <c r="O26" s="20" t="n">
        <f aca="false">'Orig ''02 Plan Net'!O24</f>
        <v>16757.323</v>
      </c>
      <c r="P26" s="21"/>
      <c r="Q26" s="20" t="n">
        <f aca="false">'Orig ''02 Plan Net'!Q24</f>
        <v>16973.289</v>
      </c>
      <c r="R26" s="21"/>
      <c r="S26" s="20" t="n">
        <f aca="false">'Orig ''02 Plan Net'!S24</f>
        <v>17014.997</v>
      </c>
      <c r="T26" s="21"/>
      <c r="U26" s="20" t="n">
        <f aca="false">'Orig ''02 Plan Net'!U24</f>
        <v>17519.806</v>
      </c>
      <c r="V26" s="21"/>
      <c r="W26" s="20" t="n">
        <f aca="false">'Orig ''02 Plan Net'!W24</f>
        <v>19099.968</v>
      </c>
      <c r="X26" s="21"/>
      <c r="Y26" s="20" t="n">
        <f aca="false">'Orig ''02 Plan Net'!Y24</f>
        <v>18135.552</v>
      </c>
      <c r="Z26" s="21"/>
      <c r="AA26" s="20" t="n">
        <f aca="false">'Orig ''02 Plan Net'!AA24</f>
        <v>18424.244</v>
      </c>
      <c r="AB26" s="21"/>
      <c r="AC26" s="20" t="n">
        <f aca="false">'Orig ''02 Plan Net'!AC24</f>
        <v>18248.964</v>
      </c>
      <c r="AD26" s="21"/>
      <c r="AE26" s="20" t="n">
        <f aca="false">'Orig ''02 Plan Net'!AE24</f>
        <v>17263.03</v>
      </c>
      <c r="AF26" s="21"/>
      <c r="AG26" s="21"/>
      <c r="AH26" s="21"/>
      <c r="AI26" s="20" t="n">
        <f aca="false">'Orig ''02 Plan Net'!AI24</f>
        <v>17795.414</v>
      </c>
      <c r="AJ26" s="23"/>
      <c r="AK26" s="23"/>
      <c r="AL26" s="23"/>
      <c r="AM26" s="13"/>
      <c r="AP26" s="23"/>
      <c r="AQ26" s="23"/>
      <c r="AR26" s="13"/>
    </row>
    <row r="27" customFormat="false" ht="12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</row>
    <row r="28" customFormat="false" ht="12.75" hidden="false" customHeight="false" outlineLevel="0" collapsed="false">
      <c r="A28" s="0" t="s">
        <v>39</v>
      </c>
      <c r="B28" s="0"/>
      <c r="C28" s="0"/>
      <c r="D28" s="0"/>
      <c r="E28" s="0"/>
      <c r="F28" s="0"/>
      <c r="G28" s="0"/>
      <c r="H28" s="0"/>
      <c r="I28" s="0"/>
      <c r="J28" s="0"/>
      <c r="K28" s="20" t="n">
        <f aca="false">K24-K26</f>
        <v>0</v>
      </c>
      <c r="L28" s="0"/>
      <c r="M28" s="20" t="n">
        <f aca="false">M24-M26</f>
        <v>0</v>
      </c>
      <c r="N28" s="0"/>
      <c r="O28" s="20" t="n">
        <f aca="false">O24-O26</f>
        <v>0</v>
      </c>
      <c r="P28" s="0"/>
      <c r="Q28" s="20" t="n">
        <f aca="false">Q24-Q26</f>
        <v>0</v>
      </c>
      <c r="R28" s="0"/>
      <c r="S28" s="20" t="n">
        <f aca="false">S24-S26</f>
        <v>0</v>
      </c>
      <c r="T28" s="0"/>
      <c r="U28" s="20" t="n">
        <f aca="false">U24-U26</f>
        <v>0</v>
      </c>
      <c r="V28" s="0"/>
      <c r="W28" s="20" t="n">
        <f aca="false">W24-W26</f>
        <v>0</v>
      </c>
      <c r="X28" s="0"/>
      <c r="Y28" s="20" t="n">
        <f aca="false">Y24-Y26</f>
        <v>0</v>
      </c>
      <c r="Z28" s="0"/>
      <c r="AA28" s="20" t="n">
        <f aca="false">AA24-AA26</f>
        <v>0</v>
      </c>
      <c r="AB28" s="0"/>
      <c r="AC28" s="20" t="n">
        <f aca="false">AC24-AC26</f>
        <v>0</v>
      </c>
      <c r="AD28" s="0"/>
      <c r="AE28" s="20" t="n">
        <f aca="false">AE24-AE26</f>
        <v>0</v>
      </c>
      <c r="AF28" s="0"/>
      <c r="AG28" s="0"/>
      <c r="AH28" s="0"/>
      <c r="AI28" s="20" t="n">
        <f aca="false">AI24-AI26</f>
        <v>0</v>
      </c>
      <c r="AM28" s="20"/>
      <c r="AR28" s="20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</row>
    <row r="30" customFormat="false" ht="12.75" hidden="false" customHeight="false" outlineLevel="0" collapsed="false">
      <c r="A30" s="0" t="s">
        <v>40</v>
      </c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</row>
    <row r="32" customFormat="false" ht="12.75" hidden="false" customHeight="false" outlineLevel="0" collapsed="false">
      <c r="A32" s="25" t="s">
        <v>41</v>
      </c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</row>
    <row r="50" customFormat="false" ht="12.75" hidden="false" customHeight="false" outlineLevel="0" collapsed="false">
      <c r="A50" s="26" t="str">
        <f aca="true">CELL("filename")</f>
        <v>'file:///mnt/12tb/@roms/datasets/enron/EDRM Enron Email Data Set v2 XML/filtered-attachments/xls/OM_EST___OPERATIONS___2001___2002_REVISED_FORMAT.xls'#$Net</v>
      </c>
      <c r="B50" s="26"/>
      <c r="C50" s="27"/>
      <c r="D50" s="27"/>
      <c r="E50" s="27"/>
      <c r="F50" s="27"/>
      <c r="G50" s="27"/>
      <c r="H50" s="27"/>
      <c r="I50" s="27"/>
      <c r="J50" s="27"/>
      <c r="K50" s="27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customFormat="false" ht="12.75" hidden="false" customHeight="false" outlineLevel="0" collapsed="false">
      <c r="A51" s="28" t="n">
        <f aca="true">NOW()</f>
        <v>45926.883239314</v>
      </c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customFormat="false" ht="12.75" hidden="false" customHeight="false" outlineLevel="0" collapsed="false">
      <c r="A52" s="26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customFormat="false" ht="12.75" hidden="false" customHeight="false" outlineLevel="0" collapsed="false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customFormat="false" ht="12.75" hidden="false" customHeight="false" outlineLevel="0" collapsed="false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customFormat="false" ht="12.75" hidden="false" customHeight="false" outlineLevel="0" collapsed="false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customFormat="false" ht="12.75" hidden="false" customHeight="false" outlineLevel="0" collapsed="false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customFormat="false" ht="12.75" hidden="false" customHeight="false" outlineLevel="0" collapsed="false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customFormat="false" ht="12.75" hidden="false" customHeight="false" outlineLevel="0" collapsed="false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customFormat="false" ht="12.75" hidden="false" customHeight="false" outlineLevel="0" collapsed="false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customFormat="false" ht="12.75" hidden="false" customHeight="false" outlineLevel="0" collapsed="false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customFormat="false" ht="12.75" hidden="false" customHeight="false" outlineLevel="0" collapsed="false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customFormat="false" ht="12.75" hidden="false" customHeight="false" outlineLevel="0" collapsed="false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customFormat="false" ht="12.75" hidden="false" customHeight="false" outlineLevel="0" collapsed="false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customFormat="false" ht="12.75" hidden="false" customHeight="false" outlineLevel="0" collapsed="false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customFormat="false" ht="12.75" hidden="false" customHeight="false" outlineLevel="0" collapsed="false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customFormat="false" ht="12.75" hidden="false" customHeight="false" outlineLevel="0" collapsed="false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customFormat="false" ht="12.75" hidden="false" customHeight="false" outlineLevel="0" collapsed="false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customFormat="false" ht="12.75" hidden="false" customHeight="false" outlineLevel="0" collapsed="false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customFormat="false" ht="12.75" hidden="false" customHeight="false" outlineLevel="0" collapsed="false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customFormat="false" ht="12.7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customFormat="false" ht="12.75" hidden="false" customHeight="false" outlineLevel="0" collapsed="false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customFormat="false" ht="12.75" hidden="false" customHeight="false" outlineLevel="0" collapsed="false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customFormat="false" ht="12.75" hidden="false" customHeight="false" outlineLevel="0" collapsed="false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customFormat="false" ht="12.75" hidden="false" customHeight="false" outlineLevel="0" collapsed="false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customFormat="false" ht="12.7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customFormat="false" ht="12.7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customFormat="false" ht="12.7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customFormat="false" ht="12.7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customFormat="false" ht="12.7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customFormat="false" ht="12.7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customFormat="false" ht="12.7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customFormat="false" ht="12.7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customFormat="false" ht="12.7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customFormat="false" ht="12.7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customFormat="false" ht="12.7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customFormat="false" ht="12.7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customFormat="false" ht="12.7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customFormat="false" ht="12.7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customFormat="false" ht="12.7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customFormat="false" ht="12.7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customFormat="false" ht="12.7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customFormat="false" ht="12.7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customFormat="false" ht="12.7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customFormat="false" ht="12.7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customFormat="false" ht="12.7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customFormat="false" ht="12.7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customFormat="false" ht="12.7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customFormat="false" ht="12.7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customFormat="false" ht="12.7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customFormat="false" ht="12.7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customFormat="false" ht="12.7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customFormat="false" ht="12.7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customFormat="false" ht="12.7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customFormat="false" ht="12.7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customFormat="false" ht="12.7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customFormat="false" ht="12.7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customFormat="false" ht="12.7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customFormat="false" ht="12.7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customFormat="false" ht="12.7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customFormat="false" ht="12.7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customFormat="false" ht="12.7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</sheetData>
  <mergeCells count="4">
    <mergeCell ref="A1:AE1"/>
    <mergeCell ref="A2:AE2"/>
    <mergeCell ref="A3:AE3"/>
    <mergeCell ref="A4:AE4"/>
  </mergeCells>
  <printOptions headings="false" gridLines="false" gridLinesSet="true" horizontalCentered="true" verticalCentered="false"/>
  <pageMargins left="0.25" right="0" top="0.75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32" activeCellId="0" sqref="A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2.13"/>
    <col collapsed="false" customWidth="true" hidden="false" outlineLevel="0" max="3" min="3" style="29" width="6.7"/>
    <col collapsed="false" customWidth="true" hidden="false" outlineLevel="0" max="4" min="4" style="29" width="1.7"/>
    <col collapsed="false" customWidth="true" hidden="false" outlineLevel="0" max="5" min="5" style="29" width="6.7"/>
    <col collapsed="false" customWidth="true" hidden="false" outlineLevel="0" max="6" min="6" style="29" width="3.7"/>
    <col collapsed="false" customWidth="true" hidden="false" outlineLevel="0" max="7" min="7" style="29" width="6.7"/>
    <col collapsed="false" customWidth="true" hidden="false" outlineLevel="0" max="8" min="8" style="29" width="1.7"/>
    <col collapsed="false" customWidth="true" hidden="false" outlineLevel="0" max="9" min="9" style="29" width="6.7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10.71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true" outlineLevel="0" max="33" min="33" style="1" width="11.7"/>
    <col collapsed="false" customWidth="true" hidden="true" outlineLevel="0" max="34" min="34" style="1" width="1.85"/>
    <col collapsed="false" customWidth="true" hidden="false" outlineLevel="0" max="35" min="35" style="1" width="10.71"/>
    <col collapsed="false" customWidth="true" hidden="false" outlineLevel="0" max="36" min="36" style="1" width="1.7"/>
    <col collapsed="false" customWidth="true" hidden="false" outlineLevel="0" max="37" min="37" style="1" width="10.71"/>
    <col collapsed="false" customWidth="true" hidden="false" outlineLevel="0" max="42" min="38" style="0" width="9.06"/>
    <col collapsed="false" customWidth="false" hidden="false" outlineLevel="0" max="257" min="43" style="1" width="9.14"/>
  </cols>
  <sheetData>
    <row r="1" customFormat="false" ht="15.75" hidden="false" customHeight="false" outlineLevel="0" collapsed="false">
      <c r="A1" s="3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5.75" hidden="false" customHeight="false" outlineLevel="0" collapsed="false">
      <c r="A5" s="5"/>
      <c r="B5" s="6"/>
      <c r="C5" s="30"/>
      <c r="D5" s="30"/>
      <c r="E5" s="30"/>
      <c r="F5" s="30"/>
      <c r="G5" s="30"/>
      <c r="H5" s="30"/>
      <c r="I5" s="3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customFormat="false" ht="12.75" hidden="false" customHeight="false" outlineLevel="0" collapsed="false">
      <c r="A6" s="7"/>
    </row>
    <row r="8" customFormat="false" ht="12.75" hidden="false" customHeight="false" outlineLevel="0" collapsed="false">
      <c r="A8" s="2"/>
      <c r="B8" s="2"/>
      <c r="C8" s="31"/>
      <c r="D8" s="31"/>
      <c r="E8" s="31"/>
      <c r="F8" s="31"/>
      <c r="G8" s="31"/>
      <c r="H8" s="31"/>
      <c r="I8" s="31"/>
      <c r="J8" s="8"/>
      <c r="K8" s="8"/>
      <c r="L8" s="2"/>
      <c r="M8" s="8"/>
      <c r="N8" s="8"/>
      <c r="O8" s="8"/>
      <c r="P8" s="8"/>
      <c r="Q8" s="8"/>
      <c r="R8" s="8"/>
      <c r="S8" s="8"/>
      <c r="T8" s="8"/>
      <c r="U8" s="8"/>
      <c r="V8" s="2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32"/>
      <c r="O9" s="9"/>
      <c r="Y9" s="9"/>
    </row>
    <row r="10" customFormat="false" ht="12.75" hidden="false" customHeight="false" outlineLevel="0" collapsed="false">
      <c r="C10" s="32"/>
      <c r="D10" s="33"/>
      <c r="E10" s="32"/>
      <c r="F10" s="33"/>
      <c r="G10" s="32"/>
      <c r="H10" s="34"/>
      <c r="I10" s="32"/>
      <c r="J10" s="0"/>
      <c r="K10" s="9" t="s">
        <v>5</v>
      </c>
      <c r="M10" s="9" t="s">
        <v>5</v>
      </c>
      <c r="O10" s="9" t="s">
        <v>5</v>
      </c>
      <c r="P10" s="0"/>
      <c r="Q10" s="9" t="s">
        <v>5</v>
      </c>
      <c r="R10" s="10"/>
      <c r="S10" s="9" t="s">
        <v>5</v>
      </c>
      <c r="U10" s="9" t="s">
        <v>5</v>
      </c>
      <c r="W10" s="9" t="s">
        <v>5</v>
      </c>
      <c r="Y10" s="9" t="s">
        <v>5</v>
      </c>
      <c r="AA10" s="9" t="s">
        <v>5</v>
      </c>
      <c r="AB10" s="10"/>
      <c r="AC10" s="9" t="s">
        <v>5</v>
      </c>
      <c r="AE10" s="9" t="s">
        <v>5</v>
      </c>
      <c r="AG10" s="9" t="s">
        <v>6</v>
      </c>
      <c r="AI10" s="9" t="s">
        <v>5</v>
      </c>
      <c r="AK10" s="9" t="s">
        <v>5</v>
      </c>
    </row>
    <row r="11" customFormat="false" ht="12.75" hidden="false" customHeight="false" outlineLevel="0" collapsed="false">
      <c r="C11" s="32"/>
      <c r="D11" s="32"/>
      <c r="E11" s="32"/>
      <c r="F11" s="32"/>
      <c r="G11" s="32"/>
      <c r="H11" s="32"/>
      <c r="I11" s="32"/>
      <c r="J11" s="9"/>
      <c r="K11" s="9" t="n">
        <v>2002</v>
      </c>
      <c r="M11" s="9" t="n">
        <v>2002</v>
      </c>
      <c r="N11" s="9"/>
      <c r="O11" s="9" t="n">
        <v>2002</v>
      </c>
      <c r="P11" s="9"/>
      <c r="Q11" s="9" t="n">
        <v>2002</v>
      </c>
      <c r="R11" s="9"/>
      <c r="S11" s="9" t="n">
        <v>2002</v>
      </c>
      <c r="T11" s="9"/>
      <c r="U11" s="9" t="n">
        <v>2002</v>
      </c>
      <c r="W11" s="9" t="n">
        <v>2002</v>
      </c>
      <c r="Y11" s="9" t="n">
        <v>2002</v>
      </c>
      <c r="AA11" s="9" t="n">
        <v>2002</v>
      </c>
      <c r="AB11" s="9"/>
      <c r="AC11" s="9" t="n">
        <v>2002</v>
      </c>
      <c r="AD11" s="9"/>
      <c r="AE11" s="9" t="n">
        <v>2002</v>
      </c>
      <c r="AG11" s="8" t="s">
        <v>9</v>
      </c>
      <c r="AI11" s="9" t="n">
        <v>2002</v>
      </c>
      <c r="AK11" s="9" t="n">
        <v>2002</v>
      </c>
    </row>
    <row r="12" customFormat="false" ht="12.75" hidden="false" customHeight="false" outlineLevel="0" collapsed="false">
      <c r="A12" s="11" t="s">
        <v>10</v>
      </c>
      <c r="C12" s="35"/>
      <c r="D12" s="32"/>
      <c r="E12" s="35"/>
      <c r="F12" s="31"/>
      <c r="G12" s="35"/>
      <c r="H12" s="31"/>
      <c r="I12" s="35"/>
      <c r="J12" s="9"/>
      <c r="K12" s="11" t="s">
        <v>15</v>
      </c>
      <c r="M12" s="11" t="s">
        <v>16</v>
      </c>
      <c r="N12" s="9"/>
      <c r="O12" s="11" t="s">
        <v>17</v>
      </c>
      <c r="P12" s="8"/>
      <c r="Q12" s="11" t="s">
        <v>18</v>
      </c>
      <c r="R12" s="8"/>
      <c r="S12" s="11" t="s">
        <v>19</v>
      </c>
      <c r="T12" s="9"/>
      <c r="U12" s="11" t="s">
        <v>20</v>
      </c>
      <c r="W12" s="11" t="s">
        <v>21</v>
      </c>
      <c r="Y12" s="11" t="s">
        <v>22</v>
      </c>
      <c r="AA12" s="11" t="s">
        <v>23</v>
      </c>
      <c r="AB12" s="8"/>
      <c r="AC12" s="11" t="s">
        <v>7</v>
      </c>
      <c r="AD12" s="9"/>
      <c r="AE12" s="11" t="s">
        <v>13</v>
      </c>
      <c r="AF12" s="2"/>
      <c r="AG12" s="11" t="s">
        <v>24</v>
      </c>
      <c r="AH12" s="2"/>
      <c r="AI12" s="11" t="s">
        <v>14</v>
      </c>
      <c r="AJ12" s="2"/>
      <c r="AK12" s="11" t="s">
        <v>45</v>
      </c>
    </row>
    <row r="13" customFormat="false" ht="12.75" hidden="false" customHeight="false" outlineLevel="0" collapsed="false">
      <c r="A13" s="12" t="s">
        <v>27</v>
      </c>
      <c r="C13" s="13"/>
      <c r="D13" s="13"/>
      <c r="E13" s="13"/>
      <c r="F13" s="13"/>
      <c r="G13" s="13"/>
      <c r="H13" s="13"/>
      <c r="I13" s="13"/>
      <c r="J13" s="13"/>
      <c r="K13" s="13" t="n">
        <f aca="false">6920+300</f>
        <v>7220</v>
      </c>
      <c r="L13" s="13"/>
      <c r="M13" s="13" t="n">
        <f aca="false">7370+400</f>
        <v>7770</v>
      </c>
      <c r="N13" s="13"/>
      <c r="O13" s="13" t="n">
        <f aca="false">7383+300</f>
        <v>7683</v>
      </c>
      <c r="P13" s="13"/>
      <c r="Q13" s="13" t="n">
        <f aca="false">7206+300</f>
        <v>7506</v>
      </c>
      <c r="R13" s="13"/>
      <c r="S13" s="13" t="n">
        <f aca="false">7239+275</f>
        <v>7514</v>
      </c>
      <c r="T13" s="13"/>
      <c r="U13" s="13" t="n">
        <f aca="false">7685+275</f>
        <v>7960</v>
      </c>
      <c r="V13" s="13"/>
      <c r="W13" s="13" t="n">
        <f aca="false">9118+275</f>
        <v>9393</v>
      </c>
      <c r="X13" s="13"/>
      <c r="Y13" s="13" t="n">
        <f aca="false">8331+275</f>
        <v>8606</v>
      </c>
      <c r="Z13" s="13"/>
      <c r="AA13" s="13" t="n">
        <f aca="false">8633+275</f>
        <v>8908</v>
      </c>
      <c r="AB13" s="13"/>
      <c r="AC13" s="13" t="n">
        <f aca="false">8610+275</f>
        <v>8885</v>
      </c>
      <c r="AD13" s="13"/>
      <c r="AE13" s="13" t="n">
        <f aca="false">7775+275</f>
        <v>8050</v>
      </c>
      <c r="AF13" s="13"/>
      <c r="AG13" s="13" t="n">
        <f aca="false">-448.4/11017</f>
        <v>-0.0407007352273759</v>
      </c>
      <c r="AH13" s="13"/>
      <c r="AI13" s="13" t="n">
        <f aca="false">8245+275</f>
        <v>8520</v>
      </c>
      <c r="AJ13" s="13"/>
      <c r="AK13" s="14" t="n">
        <f aca="false">SUM(K13:AI13)</f>
        <v>98014.9592992648</v>
      </c>
    </row>
    <row r="14" customFormat="false" ht="12.75" hidden="false" customHeight="false" outlineLevel="0" collapsed="false">
      <c r="A14" s="12" t="s">
        <v>28</v>
      </c>
      <c r="C14" s="13"/>
      <c r="D14" s="13"/>
      <c r="E14" s="13"/>
      <c r="F14" s="13"/>
      <c r="G14" s="13"/>
      <c r="H14" s="13"/>
      <c r="I14" s="13"/>
      <c r="J14" s="13"/>
      <c r="K14" s="13" t="n">
        <f aca="false">2094.917+49.749</f>
        <v>2144.666</v>
      </c>
      <c r="L14" s="13"/>
      <c r="M14" s="13" t="n">
        <f aca="false">2115.452+56.756</f>
        <v>2172.208</v>
      </c>
      <c r="N14" s="13"/>
      <c r="O14" s="13" t="n">
        <f aca="false">2074.977+50.333</f>
        <v>2125.31</v>
      </c>
      <c r="P14" s="13"/>
      <c r="Q14" s="13" t="n">
        <f aca="false">2049.658+50.333</f>
        <v>2099.991</v>
      </c>
      <c r="R14" s="13"/>
      <c r="S14" s="13" t="n">
        <f aca="false">2080.073+50.333</f>
        <v>2130.406</v>
      </c>
      <c r="T14" s="13"/>
      <c r="U14" s="13" t="n">
        <f aca="false">2104.583+50.333</f>
        <v>2154.916</v>
      </c>
      <c r="V14" s="13"/>
      <c r="W14" s="13" t="n">
        <f aca="false">2060.29+50.333</f>
        <v>2110.623</v>
      </c>
      <c r="X14" s="13"/>
      <c r="Y14" s="13" t="n">
        <f aca="false">2093.403+50.333</f>
        <v>2143.736</v>
      </c>
      <c r="Z14" s="13"/>
      <c r="AA14" s="13" t="n">
        <f aca="false">2086.408+50.333</f>
        <v>2136.741</v>
      </c>
      <c r="AB14" s="13"/>
      <c r="AC14" s="13" t="n">
        <f aca="false">2076.273+50.333</f>
        <v>2126.606</v>
      </c>
      <c r="AD14" s="13"/>
      <c r="AE14" s="13" t="n">
        <f aca="false">2048.128+50.333</f>
        <v>2098.461</v>
      </c>
      <c r="AF14" s="13"/>
      <c r="AG14" s="13" t="n">
        <f aca="false">-102.4/1810</f>
        <v>-0.0565745856353591</v>
      </c>
      <c r="AH14" s="13"/>
      <c r="AI14" s="13" t="n">
        <f aca="false">2135.28+50.348</f>
        <v>2185.628</v>
      </c>
      <c r="AJ14" s="13"/>
      <c r="AK14" s="14" t="n">
        <f aca="false">SUM(K14:AI14)</f>
        <v>25629.2354254144</v>
      </c>
    </row>
    <row r="15" customFormat="false" ht="12.75" hidden="false" customHeight="false" outlineLevel="0" collapsed="false">
      <c r="A15" s="12" t="s">
        <v>29</v>
      </c>
      <c r="C15" s="13"/>
      <c r="D15" s="33"/>
      <c r="E15" s="13"/>
      <c r="F15" s="33"/>
      <c r="G15" s="13"/>
      <c r="H15" s="33"/>
      <c r="I15" s="13"/>
      <c r="J15" s="13"/>
      <c r="K15" s="13" t="n">
        <f aca="false">3112.833+114</f>
        <v>3226.833</v>
      </c>
      <c r="L15" s="13"/>
      <c r="M15" s="13" t="n">
        <f aca="false">2718.833+121</f>
        <v>2839.833</v>
      </c>
      <c r="N15" s="13"/>
      <c r="O15" s="13" t="n">
        <f aca="false">2680.833+115</f>
        <v>2795.833</v>
      </c>
      <c r="P15" s="13"/>
      <c r="Q15" s="13" t="n">
        <f aca="false">2883.833+115</f>
        <v>2998.833</v>
      </c>
      <c r="R15" s="13"/>
      <c r="S15" s="13" t="n">
        <f aca="false">2855.833+115</f>
        <v>2970.833</v>
      </c>
      <c r="T15" s="13"/>
      <c r="U15" s="13" t="n">
        <f aca="false">2894.833+115</f>
        <v>3009.833</v>
      </c>
      <c r="V15" s="13"/>
      <c r="W15" s="13" t="n">
        <f aca="false">2934.833+114</f>
        <v>3048.833</v>
      </c>
      <c r="X15" s="13"/>
      <c r="Y15" s="13" t="n">
        <f aca="false">2992.833+114</f>
        <v>3106.833</v>
      </c>
      <c r="Z15" s="13"/>
      <c r="AA15" s="13" t="n">
        <f aca="false">2968.833+114</f>
        <v>3082.833</v>
      </c>
      <c r="AB15" s="13"/>
      <c r="AC15" s="13" t="n">
        <f aca="false">2915.833+114</f>
        <v>3029.833</v>
      </c>
      <c r="AD15" s="13"/>
      <c r="AE15" s="13" t="n">
        <f aca="false">2886.833+114</f>
        <v>3000.833</v>
      </c>
      <c r="AF15" s="13"/>
      <c r="AG15" s="15" t="n">
        <f aca="false">-155.5/1959</f>
        <v>-0.0793772332822869</v>
      </c>
      <c r="AH15" s="13"/>
      <c r="AI15" s="13" t="n">
        <f aca="false">2860.833+115</f>
        <v>2975.833</v>
      </c>
      <c r="AJ15" s="13"/>
      <c r="AK15" s="14" t="n">
        <f aca="false">SUM(K15:AI15)</f>
        <v>36086.9166227667</v>
      </c>
    </row>
    <row r="16" customFormat="false" ht="12.75" hidden="false" customHeight="false" outlineLevel="0" collapsed="false">
      <c r="A16" s="12" t="s">
        <v>30</v>
      </c>
      <c r="C16" s="33"/>
      <c r="D16" s="33"/>
      <c r="E16" s="13"/>
      <c r="F16" s="33"/>
      <c r="G16" s="33"/>
      <c r="H16" s="33"/>
      <c r="I16" s="33"/>
      <c r="J16" s="13"/>
      <c r="K16" s="13" t="n">
        <f aca="false">935.32+33.7+208.1+8</f>
        <v>1185.12</v>
      </c>
      <c r="L16" s="13"/>
      <c r="M16" s="13" t="n">
        <f aca="false">935.32+33.7+208.1+8</f>
        <v>1185.12</v>
      </c>
      <c r="N16" s="13"/>
      <c r="O16" s="13" t="n">
        <f aca="false">935.32+33.7+208.1+8</f>
        <v>1185.12</v>
      </c>
      <c r="P16" s="13"/>
      <c r="Q16" s="13" t="n">
        <f aca="false">935.32+33.7+208.1+8</f>
        <v>1185.12</v>
      </c>
      <c r="R16" s="13"/>
      <c r="S16" s="13" t="n">
        <f aca="false">935.32+33.7+208.1+8</f>
        <v>1185.12</v>
      </c>
      <c r="T16" s="13"/>
      <c r="U16" s="13" t="n">
        <f aca="false">935.32+33.7+208.1+8</f>
        <v>1185.12</v>
      </c>
      <c r="V16" s="13"/>
      <c r="W16" s="13" t="n">
        <f aca="false">935.32+33.7+208.2+8</f>
        <v>1185.22</v>
      </c>
      <c r="X16" s="13"/>
      <c r="Y16" s="13" t="n">
        <f aca="false">935.32+33.7+208.1+8</f>
        <v>1185.12</v>
      </c>
      <c r="Z16" s="13"/>
      <c r="AA16" s="13" t="n">
        <f aca="false">935.32+33.7+208.1+8</f>
        <v>1185.12</v>
      </c>
      <c r="AB16" s="13"/>
      <c r="AC16" s="13" t="n">
        <f aca="false">935.32+33.7+208.2+8</f>
        <v>1185.22</v>
      </c>
      <c r="AD16" s="13"/>
      <c r="AE16" s="13" t="n">
        <f aca="false">935.32+33.7+208.2+8</f>
        <v>1185.22</v>
      </c>
      <c r="AF16" s="13"/>
      <c r="AG16" s="13" t="n">
        <f aca="false">(W16-M16)/M16</f>
        <v>8.43796408801717E-005</v>
      </c>
      <c r="AH16" s="13"/>
      <c r="AI16" s="13" t="n">
        <f aca="false">935.32+33.7+208.2+8</f>
        <v>1185.22</v>
      </c>
      <c r="AJ16" s="13"/>
      <c r="AK16" s="14" t="n">
        <f aca="false">SUM(K16:AI16)</f>
        <v>14221.8400843796</v>
      </c>
    </row>
    <row r="17" customFormat="false" ht="12.75" hidden="false" customHeight="false" outlineLevel="0" collapsed="false">
      <c r="A17" s="12" t="s">
        <v>31</v>
      </c>
      <c r="C17" s="33"/>
      <c r="D17" s="33"/>
      <c r="E17" s="13"/>
      <c r="F17" s="33"/>
      <c r="G17" s="33"/>
      <c r="H17" s="33"/>
      <c r="I17" s="33"/>
      <c r="J17" s="13"/>
      <c r="K17" s="13" t="n">
        <f aca="false">3074.9-92.794-39.921</f>
        <v>2942.185</v>
      </c>
      <c r="L17" s="13"/>
      <c r="M17" s="13" t="n">
        <f aca="false">3603.471-118.794-45.857</f>
        <v>3438.82</v>
      </c>
      <c r="N17" s="13"/>
      <c r="O17" s="13" t="n">
        <f aca="false">3275.955-94.794-40.477</f>
        <v>3140.684</v>
      </c>
      <c r="P17" s="13"/>
      <c r="Q17" s="13" t="n">
        <f aca="false">3468.866-98.794-40.477</f>
        <v>3329.595</v>
      </c>
      <c r="R17" s="13"/>
      <c r="S17" s="13" t="n">
        <f aca="false">3515.904-97.794-45.477</f>
        <v>3372.633</v>
      </c>
      <c r="T17" s="13"/>
      <c r="U17" s="13" t="n">
        <f aca="false">3591.606-96.794-40.477</f>
        <v>3454.335</v>
      </c>
      <c r="V17" s="13"/>
      <c r="W17" s="13" t="n">
        <f aca="false">3552.738-193.794-40.477</f>
        <v>3318.467</v>
      </c>
      <c r="X17" s="13"/>
      <c r="Y17" s="13" t="n">
        <f aca="false">3435.01-98.794-40.477</f>
        <v>3295.739</v>
      </c>
      <c r="Z17" s="13"/>
      <c r="AA17" s="13" t="n">
        <f aca="false">3424.314-97.794-45.477</f>
        <v>3281.043</v>
      </c>
      <c r="AB17" s="13"/>
      <c r="AC17" s="13" t="n">
        <f aca="false">3290.913-100.794-40.477</f>
        <v>3149.642</v>
      </c>
      <c r="AD17" s="13"/>
      <c r="AE17" s="13" t="n">
        <f aca="false">3212.154-98.794-40.477</f>
        <v>3072.883</v>
      </c>
      <c r="AF17" s="13"/>
      <c r="AG17" s="13"/>
      <c r="AH17" s="13"/>
      <c r="AI17" s="13" t="n">
        <f aca="false">3161.855-103.791-40.498</f>
        <v>3017.566</v>
      </c>
      <c r="AJ17" s="13"/>
      <c r="AK17" s="14" t="n">
        <f aca="false">SUM(K17:AI17)</f>
        <v>38813.592</v>
      </c>
    </row>
    <row r="18" customFormat="false" ht="12.75" hidden="false" customHeight="false" outlineLevel="0" collapsed="false">
      <c r="A18" s="12" t="s">
        <v>32</v>
      </c>
      <c r="C18" s="33"/>
      <c r="D18" s="33"/>
      <c r="E18" s="13"/>
      <c r="F18" s="33"/>
      <c r="G18" s="33"/>
      <c r="H18" s="33"/>
      <c r="I18" s="33"/>
      <c r="J18" s="13"/>
      <c r="K18" s="13" t="n">
        <f aca="false">83.083</f>
        <v>83.083</v>
      </c>
      <c r="L18" s="13"/>
      <c r="M18" s="13" t="n">
        <f aca="false">83.083</f>
        <v>83.083</v>
      </c>
      <c r="N18" s="13"/>
      <c r="O18" s="13" t="n">
        <f aca="false">83.083</f>
        <v>83.083</v>
      </c>
      <c r="P18" s="13"/>
      <c r="Q18" s="13" t="n">
        <f aca="false">83.083</f>
        <v>83.083</v>
      </c>
      <c r="R18" s="13"/>
      <c r="S18" s="13" t="n">
        <f aca="false">83.083</f>
        <v>83.083</v>
      </c>
      <c r="T18" s="13"/>
      <c r="U18" s="13" t="n">
        <f aca="false">83.083</f>
        <v>83.083</v>
      </c>
      <c r="V18" s="13"/>
      <c r="W18" s="13" t="n">
        <f aca="false">83.083</f>
        <v>83.083</v>
      </c>
      <c r="X18" s="13"/>
      <c r="Y18" s="13" t="n">
        <f aca="false">83.083</f>
        <v>83.083</v>
      </c>
      <c r="Z18" s="13"/>
      <c r="AA18" s="13" t="n">
        <f aca="false">83.083</f>
        <v>83.083</v>
      </c>
      <c r="AB18" s="13"/>
      <c r="AC18" s="13" t="n">
        <f aca="false">83.083</f>
        <v>83.083</v>
      </c>
      <c r="AD18" s="13"/>
      <c r="AE18" s="13" t="n">
        <f aca="false">83.083</f>
        <v>83.083</v>
      </c>
      <c r="AF18" s="13"/>
      <c r="AG18" s="13"/>
      <c r="AH18" s="13"/>
      <c r="AI18" s="13" t="n">
        <f aca="false">83.083</f>
        <v>83.083</v>
      </c>
      <c r="AK18" s="14" t="n">
        <f aca="false">SUM(K18:AI18)</f>
        <v>996.996</v>
      </c>
    </row>
    <row r="19" customFormat="false" ht="12.75" hidden="false" customHeight="false" outlineLevel="0" collapsed="false">
      <c r="A19" s="12" t="s">
        <v>33</v>
      </c>
      <c r="C19" s="33"/>
      <c r="D19" s="33"/>
      <c r="E19" s="13"/>
      <c r="F19" s="33"/>
      <c r="G19" s="33"/>
      <c r="H19" s="33"/>
      <c r="I19" s="3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 t="n">
        <v>0</v>
      </c>
      <c r="AF19" s="13"/>
      <c r="AG19" s="13"/>
      <c r="AH19" s="13"/>
      <c r="AI19" s="13"/>
      <c r="AK19" s="14" t="n">
        <f aca="false">SUM(K19:AI19)</f>
        <v>0</v>
      </c>
    </row>
    <row r="20" customFormat="false" ht="12.75" hidden="false" customHeight="false" outlineLevel="0" collapsed="false">
      <c r="A20" s="12" t="s">
        <v>34</v>
      </c>
      <c r="C20" s="33"/>
      <c r="D20" s="33"/>
      <c r="E20" s="13"/>
      <c r="F20" s="33"/>
      <c r="G20" s="33"/>
      <c r="H20" s="33"/>
      <c r="I20" s="33"/>
      <c r="J20" s="13"/>
      <c r="K20" s="13" t="n">
        <v>1545.596</v>
      </c>
      <c r="L20" s="13"/>
      <c r="M20" s="13" t="n">
        <v>2267.473</v>
      </c>
      <c r="N20" s="13"/>
      <c r="O20" s="13" t="n">
        <v>1551.393</v>
      </c>
      <c r="P20" s="13"/>
      <c r="Q20" s="13" t="n">
        <v>1561.928</v>
      </c>
      <c r="R20" s="13"/>
      <c r="S20" s="13" t="n">
        <v>1555.067</v>
      </c>
      <c r="T20" s="13"/>
      <c r="U20" s="13" t="n">
        <v>1575.965</v>
      </c>
      <c r="V20" s="13"/>
      <c r="W20" s="13" t="n">
        <v>2095.899</v>
      </c>
      <c r="X20" s="13"/>
      <c r="Y20" s="13" t="n">
        <v>1560.189</v>
      </c>
      <c r="Z20" s="13"/>
      <c r="AA20" s="13" t="n">
        <v>1564.38</v>
      </c>
      <c r="AB20" s="13"/>
      <c r="AC20" s="13" t="n">
        <v>1591.629</v>
      </c>
      <c r="AD20" s="13"/>
      <c r="AE20" s="13" t="n">
        <v>1572.472</v>
      </c>
      <c r="AF20" s="13"/>
      <c r="AG20" s="13"/>
      <c r="AH20" s="13"/>
      <c r="AI20" s="13" t="n">
        <v>1581.348</v>
      </c>
      <c r="AK20" s="14" t="n">
        <f aca="false">SUM(K20:AI20)</f>
        <v>20023.339</v>
      </c>
    </row>
    <row r="21" customFormat="false" ht="12.75" hidden="false" customHeight="false" outlineLevel="0" collapsed="false">
      <c r="A21" s="12" t="s">
        <v>35</v>
      </c>
      <c r="C21" s="13"/>
      <c r="D21" s="13"/>
      <c r="E21" s="13"/>
      <c r="F21" s="13"/>
      <c r="G21" s="13"/>
      <c r="H21" s="13"/>
      <c r="I21" s="13"/>
      <c r="J21" s="13"/>
      <c r="K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K21" s="14" t="n">
        <f aca="false">SUM(K21:AI21)</f>
        <v>0</v>
      </c>
    </row>
    <row r="22" customFormat="false" ht="12.75" hidden="false" customHeight="false" outlineLevel="0" collapsed="false">
      <c r="A22" s="12" t="s">
        <v>36</v>
      </c>
      <c r="C22" s="13"/>
      <c r="D22" s="13"/>
      <c r="E22" s="13"/>
      <c r="F22" s="13"/>
      <c r="G22" s="13"/>
      <c r="H22" s="13"/>
      <c r="I22" s="13"/>
      <c r="J22" s="13"/>
      <c r="K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G22" s="16"/>
      <c r="AK22" s="14" t="n">
        <f aca="false">SUM(K22:AI22)</f>
        <v>0</v>
      </c>
    </row>
    <row r="23" customFormat="false" ht="12.75" hidden="false" customHeight="false" outlineLevel="0" collapsed="false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6"/>
      <c r="AI23" s="13"/>
    </row>
    <row r="24" customFormat="false" ht="13.5" hidden="false" customHeight="false" outlineLevel="0" collapsed="false">
      <c r="A24" s="12" t="s">
        <v>25</v>
      </c>
      <c r="C24" s="17" t="n">
        <f aca="false">SUM(C13:C23)</f>
        <v>0</v>
      </c>
      <c r="D24" s="13"/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18347.483</v>
      </c>
      <c r="L24" s="13"/>
      <c r="M24" s="17" t="n">
        <f aca="false">SUM(M13:M23)</f>
        <v>19756.537</v>
      </c>
      <c r="N24" s="13"/>
      <c r="O24" s="17" t="n">
        <f aca="false">SUM(O13:O23)</f>
        <v>18564.423</v>
      </c>
      <c r="P24" s="13"/>
      <c r="Q24" s="17" t="n">
        <f aca="false">SUM(Q13:Q23)</f>
        <v>18764.55</v>
      </c>
      <c r="R24" s="13"/>
      <c r="S24" s="17" t="n">
        <f aca="false">SUM(S13:S23)</f>
        <v>18811.142</v>
      </c>
      <c r="T24" s="13"/>
      <c r="U24" s="17" t="n">
        <f aca="false">SUM(U13:U23)</f>
        <v>19423.252</v>
      </c>
      <c r="V24" s="13"/>
      <c r="W24" s="17" t="n">
        <f aca="false">SUM(W13:W23)</f>
        <v>21235.125</v>
      </c>
      <c r="X24" s="13"/>
      <c r="Y24" s="17" t="n">
        <f aca="false">SUM(Y13:Y23)</f>
        <v>19980.7</v>
      </c>
      <c r="Z24" s="13"/>
      <c r="AA24" s="17" t="n">
        <f aca="false">SUM(AA13:AA23)</f>
        <v>20241.2</v>
      </c>
      <c r="AB24" s="13"/>
      <c r="AC24" s="17" t="n">
        <f aca="false">SUM(AC13:AC23)</f>
        <v>20051.013</v>
      </c>
      <c r="AD24" s="13"/>
      <c r="AE24" s="17" t="n">
        <f aca="false">SUM(AE13:AE23)</f>
        <v>19062.952</v>
      </c>
      <c r="AF24" s="13"/>
      <c r="AG24" s="18" t="n">
        <f aca="false">(W24-M24)/M24</f>
        <v>0.0748404439502731</v>
      </c>
      <c r="AI24" s="17" t="n">
        <f aca="false">SUM(AI13:AI23)</f>
        <v>19548.678</v>
      </c>
      <c r="AK24" s="17" t="n">
        <f aca="false">SUM(AK13:AK23)</f>
        <v>233786.878431826</v>
      </c>
    </row>
    <row r="25" customFormat="false" ht="25.5" hidden="false" customHeight="true" outlineLevel="0" collapsed="false">
      <c r="A25" s="12"/>
      <c r="AE25" s="19"/>
    </row>
    <row r="26" customFormat="false" ht="12.75" hidden="false" customHeight="false" outlineLevel="0" collapsed="false">
      <c r="A26" s="0"/>
      <c r="B26" s="0"/>
      <c r="C26" s="33"/>
      <c r="D26" s="33"/>
      <c r="E26" s="33"/>
      <c r="F26" s="33"/>
      <c r="G26" s="33"/>
      <c r="H26" s="33"/>
      <c r="I26" s="33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</row>
    <row r="27" customFormat="false" ht="12.75" hidden="false" customHeight="false" outlineLevel="0" collapsed="false">
      <c r="A27" s="0" t="s">
        <v>40</v>
      </c>
      <c r="B27" s="0"/>
      <c r="C27" s="33"/>
      <c r="D27" s="33"/>
      <c r="E27" s="33"/>
      <c r="F27" s="33"/>
      <c r="G27" s="33"/>
      <c r="H27" s="33"/>
      <c r="I27" s="33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</row>
    <row r="28" customFormat="false" ht="12.75" hidden="false" customHeight="false" outlineLevel="0" collapsed="false">
      <c r="A28" s="0"/>
      <c r="B28" s="0"/>
      <c r="C28" s="33"/>
      <c r="D28" s="33"/>
      <c r="E28" s="33"/>
      <c r="F28" s="33"/>
      <c r="G28" s="33"/>
      <c r="H28" s="33"/>
      <c r="I28" s="33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</row>
    <row r="29" customFormat="false" ht="12.75" hidden="false" customHeight="false" outlineLevel="0" collapsed="false">
      <c r="A29" s="25"/>
      <c r="B29" s="0"/>
      <c r="C29" s="33"/>
      <c r="D29" s="33"/>
      <c r="E29" s="33"/>
      <c r="F29" s="33"/>
      <c r="G29" s="33"/>
      <c r="H29" s="33"/>
      <c r="I29" s="33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</row>
    <row r="30" customFormat="false" ht="12.75" hidden="false" customHeight="false" outlineLevel="0" collapsed="false">
      <c r="A30" s="0"/>
      <c r="B30" s="0"/>
      <c r="C30" s="33"/>
      <c r="D30" s="33"/>
      <c r="E30" s="33"/>
      <c r="F30" s="33"/>
      <c r="G30" s="33"/>
      <c r="H30" s="33"/>
      <c r="I30" s="33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</row>
    <row r="31" customFormat="false" ht="12.75" hidden="false" customHeight="false" outlineLevel="0" collapsed="false">
      <c r="A31" s="0"/>
      <c r="B31" s="0"/>
      <c r="C31" s="33"/>
      <c r="D31" s="33"/>
      <c r="E31" s="33"/>
      <c r="F31" s="33"/>
      <c r="G31" s="33"/>
      <c r="H31" s="33"/>
      <c r="I31" s="33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</row>
    <row r="32" customFormat="false" ht="12.75" hidden="false" customHeight="false" outlineLevel="0" collapsed="false">
      <c r="A32" s="0"/>
      <c r="B32" s="0"/>
      <c r="C32" s="33"/>
      <c r="D32" s="33"/>
      <c r="E32" s="33"/>
      <c r="F32" s="33"/>
      <c r="G32" s="33"/>
      <c r="H32" s="33"/>
      <c r="I32" s="33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</row>
    <row r="33" customFormat="false" ht="12.75" hidden="false" customHeight="false" outlineLevel="0" collapsed="false">
      <c r="A33" s="0"/>
      <c r="B33" s="0"/>
      <c r="C33" s="33"/>
      <c r="D33" s="33"/>
      <c r="E33" s="33"/>
      <c r="F33" s="33"/>
      <c r="G33" s="33"/>
      <c r="H33" s="33"/>
      <c r="I33" s="33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</row>
    <row r="34" customFormat="false" ht="12.75" hidden="false" customHeight="false" outlineLevel="0" collapsed="false">
      <c r="A34" s="0"/>
      <c r="B34" s="0"/>
      <c r="C34" s="33"/>
      <c r="D34" s="33"/>
      <c r="E34" s="33"/>
      <c r="F34" s="33"/>
      <c r="G34" s="33"/>
      <c r="H34" s="33"/>
      <c r="I34" s="33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</row>
    <row r="35" customFormat="false" ht="12.75" hidden="false" customHeight="false" outlineLevel="0" collapsed="false">
      <c r="A35" s="0"/>
      <c r="B35" s="0"/>
      <c r="C35" s="33"/>
      <c r="D35" s="33"/>
      <c r="E35" s="33"/>
      <c r="F35" s="33"/>
      <c r="G35" s="33"/>
      <c r="H35" s="33"/>
      <c r="I35" s="33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</row>
    <row r="36" customFormat="false" ht="12.75" hidden="false" customHeight="false" outlineLevel="0" collapsed="false">
      <c r="A36" s="0"/>
      <c r="B36" s="0"/>
      <c r="C36" s="33"/>
      <c r="D36" s="33"/>
      <c r="E36" s="33"/>
      <c r="F36" s="33"/>
      <c r="G36" s="33"/>
      <c r="H36" s="33"/>
      <c r="I36" s="33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</row>
    <row r="37" customFormat="false" ht="12.75" hidden="false" customHeight="false" outlineLevel="0" collapsed="false">
      <c r="A37" s="0"/>
      <c r="B37" s="0"/>
      <c r="C37" s="33"/>
      <c r="D37" s="33"/>
      <c r="E37" s="33"/>
      <c r="F37" s="33"/>
      <c r="G37" s="33"/>
      <c r="H37" s="33"/>
      <c r="I37" s="33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</row>
    <row r="38" customFormat="false" ht="12.75" hidden="false" customHeight="false" outlineLevel="0" collapsed="false">
      <c r="A38" s="0"/>
      <c r="B38" s="0"/>
      <c r="C38" s="33"/>
      <c r="D38" s="33"/>
      <c r="E38" s="33"/>
      <c r="F38" s="33"/>
      <c r="G38" s="33"/>
      <c r="H38" s="33"/>
      <c r="I38" s="33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</row>
    <row r="39" customFormat="false" ht="12.75" hidden="false" customHeight="false" outlineLevel="0" collapsed="false">
      <c r="A39" s="0"/>
      <c r="B39" s="0"/>
      <c r="C39" s="33"/>
      <c r="D39" s="33"/>
      <c r="E39" s="33"/>
      <c r="F39" s="33"/>
      <c r="G39" s="33"/>
      <c r="H39" s="33"/>
      <c r="I39" s="33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</row>
    <row r="40" customFormat="false" ht="12.75" hidden="false" customHeight="false" outlineLevel="0" collapsed="false">
      <c r="A40" s="0"/>
      <c r="B40" s="0"/>
      <c r="C40" s="33"/>
      <c r="D40" s="33"/>
      <c r="E40" s="33"/>
      <c r="F40" s="33"/>
      <c r="G40" s="33"/>
      <c r="H40" s="33"/>
      <c r="I40" s="33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</row>
    <row r="41" customFormat="false" ht="12.75" hidden="false" customHeight="false" outlineLevel="0" collapsed="false">
      <c r="A41" s="0"/>
      <c r="B41" s="0"/>
      <c r="C41" s="33"/>
      <c r="D41" s="33"/>
      <c r="E41" s="33"/>
      <c r="F41" s="33"/>
      <c r="G41" s="33"/>
      <c r="H41" s="33"/>
      <c r="I41" s="33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</row>
    <row r="42" customFormat="false" ht="12.75" hidden="false" customHeight="false" outlineLevel="0" collapsed="false">
      <c r="A42" s="0"/>
      <c r="B42" s="0"/>
      <c r="C42" s="33"/>
      <c r="D42" s="33"/>
      <c r="E42" s="33"/>
      <c r="F42" s="33"/>
      <c r="G42" s="33"/>
      <c r="H42" s="33"/>
      <c r="I42" s="33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</row>
    <row r="43" customFormat="false" ht="12.75" hidden="false" customHeight="false" outlineLevel="0" collapsed="false">
      <c r="A43" s="0"/>
      <c r="B43" s="0"/>
      <c r="C43" s="33"/>
      <c r="D43" s="33"/>
      <c r="E43" s="33"/>
      <c r="F43" s="33"/>
      <c r="G43" s="33"/>
      <c r="H43" s="33"/>
      <c r="I43" s="33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</row>
    <row r="44" customFormat="false" ht="12.75" hidden="false" customHeight="false" outlineLevel="0" collapsed="false">
      <c r="A44" s="0"/>
      <c r="B44" s="0"/>
      <c r="C44" s="33"/>
      <c r="D44" s="33"/>
      <c r="E44" s="33"/>
      <c r="F44" s="33"/>
      <c r="G44" s="33"/>
      <c r="H44" s="33"/>
      <c r="I44" s="33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</row>
    <row r="45" customFormat="false" ht="12.75" hidden="false" customHeight="false" outlineLevel="0" collapsed="false">
      <c r="A45" s="0"/>
      <c r="B45" s="0"/>
      <c r="C45" s="33"/>
      <c r="D45" s="33"/>
      <c r="E45" s="33"/>
      <c r="F45" s="33"/>
      <c r="G45" s="33"/>
      <c r="H45" s="33"/>
      <c r="I45" s="33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</row>
    <row r="46" customFormat="false" ht="12.75" hidden="false" customHeight="false" outlineLevel="0" collapsed="false">
      <c r="A46" s="0"/>
      <c r="B46" s="0"/>
      <c r="C46" s="33"/>
      <c r="D46" s="33"/>
      <c r="E46" s="33"/>
      <c r="F46" s="33"/>
      <c r="G46" s="33"/>
      <c r="H46" s="33"/>
      <c r="I46" s="33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</row>
    <row r="47" customFormat="false" ht="12.75" hidden="false" customHeight="false" outlineLevel="0" collapsed="false">
      <c r="A47" s="26" t="str">
        <f aca="true">CELL("filename")</f>
        <v>'file:///mnt/12tb/@roms/datasets/enron/EDRM Enron Email Data Set v2 XML/filtered-attachments/xls/OM_EST___OPERATIONS___2001___2002_REVISED_FORMAT.xls'#$Orig '02 Plan Gross</v>
      </c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customFormat="false" ht="12.75" hidden="false" customHeight="false" outlineLevel="0" collapsed="false">
      <c r="A48" s="28" t="n">
        <f aca="true">NOW()</f>
        <v>45926.8832393308</v>
      </c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customFormat="false" ht="12.75" hidden="false" customHeight="false" outlineLevel="0" collapsed="false">
      <c r="A49" s="26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customFormat="false" ht="12.75" hidden="false" customHeight="false" outlineLevel="0" collapsed="false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customFormat="false" ht="12.75" hidden="false" customHeight="false" outlineLevel="0" collapsed="false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customFormat="false" ht="12.7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customFormat="false" ht="12.75" hidden="false" customHeight="false" outlineLevel="0" collapsed="false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customFormat="false" ht="12.75" hidden="false" customHeight="false" outlineLevel="0" collapsed="false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customFormat="false" ht="12.75" hidden="false" customHeight="false" outlineLevel="0" collapsed="false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customFormat="false" ht="12.75" hidden="false" customHeight="false" outlineLevel="0" collapsed="false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customFormat="false" ht="12.75" hidden="false" customHeight="false" outlineLevel="0" collapsed="false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customFormat="false" ht="12.75" hidden="false" customHeight="false" outlineLevel="0" collapsed="false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customFormat="false" ht="12.75" hidden="false" customHeight="false" outlineLevel="0" collapsed="false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customFormat="false" ht="12.75" hidden="false" customHeight="false" outlineLevel="0" collapsed="false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customFormat="false" ht="12.75" hidden="false" customHeight="false" outlineLevel="0" collapsed="false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customFormat="false" ht="12.75" hidden="false" customHeight="false" outlineLevel="0" collapsed="false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customFormat="false" ht="12.75" hidden="false" customHeight="false" outlineLevel="0" collapsed="false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customFormat="false" ht="12.75" hidden="false" customHeight="false" outlineLevel="0" collapsed="false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customFormat="false" ht="12.75" hidden="false" customHeight="false" outlineLevel="0" collapsed="false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customFormat="false" ht="12.75" hidden="false" customHeight="false" outlineLevel="0" collapsed="false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customFormat="false" ht="12.75" hidden="false" customHeight="false" outlineLevel="0" collapsed="false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customFormat="false" ht="12.75" hidden="false" customHeight="false" outlineLevel="0" collapsed="false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customFormat="false" ht="12.75" hidden="false" customHeight="false" outlineLevel="0" collapsed="false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customFormat="false" ht="12.7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customFormat="false" ht="12.75" hidden="false" customHeight="false" outlineLevel="0" collapsed="false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customFormat="false" ht="12.75" hidden="false" customHeight="false" outlineLevel="0" collapsed="false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customFormat="false" ht="12.75" hidden="false" customHeight="false" outlineLevel="0" collapsed="false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customFormat="false" ht="12.75" hidden="false" customHeight="false" outlineLevel="0" collapsed="false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customFormat="false" ht="12.7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customFormat="false" ht="12.7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customFormat="false" ht="12.7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customFormat="false" ht="12.7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customFormat="false" ht="12.7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customFormat="false" ht="12.7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customFormat="false" ht="12.7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customFormat="false" ht="12.7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customFormat="false" ht="12.7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customFormat="false" ht="12.7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customFormat="false" ht="12.7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customFormat="false" ht="12.7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customFormat="false" ht="12.7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customFormat="false" ht="12.7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customFormat="false" ht="12.7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customFormat="false" ht="12.7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customFormat="false" ht="12.7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customFormat="false" ht="12.7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customFormat="false" ht="12.7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customFormat="false" ht="12.7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customFormat="false" ht="12.7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customFormat="false" ht="12.7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customFormat="false" ht="12.7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customFormat="false" ht="12.7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customFormat="false" ht="12.7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customFormat="false" ht="12.7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customFormat="false" ht="12.7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customFormat="false" ht="12.7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customFormat="false" ht="12.7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customFormat="false" ht="12.7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customFormat="false" ht="12.7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customFormat="false" ht="12.7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customFormat="false" ht="12.7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customFormat="false" ht="12.7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</sheetData>
  <mergeCells count="4">
    <mergeCell ref="A1:AE1"/>
    <mergeCell ref="A2:AE2"/>
    <mergeCell ref="A3:AE3"/>
    <mergeCell ref="A4:AE4"/>
  </mergeCells>
  <printOptions headings="false" gridLines="false" gridLinesSet="true" horizontalCentered="true" verticalCentered="false"/>
  <pageMargins left="0" right="0" top="0.75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2.13"/>
    <col collapsed="false" customWidth="true" hidden="false" outlineLevel="0" max="3" min="3" style="1" width="6.7"/>
    <col collapsed="false" customWidth="true" hidden="false" outlineLevel="0" max="4" min="4" style="1" width="1.7"/>
    <col collapsed="false" customWidth="true" hidden="false" outlineLevel="0" max="5" min="5" style="1" width="6.7"/>
    <col collapsed="false" customWidth="true" hidden="false" outlineLevel="0" max="6" min="6" style="1" width="3.7"/>
    <col collapsed="false" customWidth="true" hidden="false" outlineLevel="0" max="7" min="7" style="1" width="6.7"/>
    <col collapsed="false" customWidth="true" hidden="false" outlineLevel="0" max="8" min="8" style="1" width="1.7"/>
    <col collapsed="false" customWidth="true" hidden="false" outlineLevel="0" max="9" min="9" style="1" width="6.7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10.71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true" outlineLevel="0" max="33" min="33" style="1" width="11.7"/>
    <col collapsed="false" customWidth="true" hidden="true" outlineLevel="0" max="34" min="34" style="1" width="1.85"/>
    <col collapsed="false" customWidth="true" hidden="false" outlineLevel="0" max="35" min="35" style="1" width="10.71"/>
    <col collapsed="false" customWidth="true" hidden="false" outlineLevel="0" max="36" min="36" style="1" width="1.7"/>
    <col collapsed="false" customWidth="true" hidden="false" outlineLevel="0" max="37" min="37" style="1" width="10.71"/>
    <col collapsed="false" customWidth="false" hidden="false" outlineLevel="0" max="257" min="38" style="1" width="9.14"/>
  </cols>
  <sheetData>
    <row r="1" customFormat="false" ht="15.75" hidden="false" customHeight="false" outlineLevel="0" collapsed="false">
      <c r="A1" s="3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5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customFormat="false" ht="12.75" hidden="false" customHeight="false" outlineLevel="0" collapsed="false">
      <c r="A6" s="7"/>
    </row>
    <row r="8" customFormat="false" ht="12.75" hidden="false" customHeight="false" outlineLevel="0" collapsed="false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2"/>
      <c r="M8" s="8"/>
      <c r="N8" s="8"/>
      <c r="O8" s="8"/>
      <c r="P8" s="8"/>
      <c r="Q8" s="8"/>
      <c r="R8" s="8"/>
      <c r="S8" s="8"/>
      <c r="T8" s="8"/>
      <c r="U8" s="8"/>
      <c r="V8" s="2"/>
      <c r="W8" s="8"/>
      <c r="X8" s="8"/>
      <c r="Y8" s="8"/>
      <c r="Z8" s="8"/>
      <c r="AA8" s="8"/>
      <c r="AB8" s="8"/>
      <c r="AC8" s="8"/>
      <c r="AD8" s="8"/>
      <c r="AE8" s="8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E9" s="9"/>
      <c r="O9" s="9"/>
      <c r="Y9" s="9"/>
    </row>
    <row r="10" customFormat="false" ht="12.75" hidden="false" customHeight="false" outlineLevel="0" collapsed="false">
      <c r="C10" s="9"/>
      <c r="D10" s="0"/>
      <c r="E10" s="9"/>
      <c r="F10" s="0"/>
      <c r="G10" s="9"/>
      <c r="H10" s="10"/>
      <c r="I10" s="9"/>
      <c r="J10" s="0"/>
      <c r="K10" s="9" t="s">
        <v>43</v>
      </c>
      <c r="M10" s="9" t="s">
        <v>43</v>
      </c>
      <c r="O10" s="9" t="s">
        <v>43</v>
      </c>
      <c r="P10" s="0"/>
      <c r="Q10" s="9" t="s">
        <v>43</v>
      </c>
      <c r="R10" s="10"/>
      <c r="S10" s="9" t="s">
        <v>43</v>
      </c>
      <c r="U10" s="9" t="s">
        <v>43</v>
      </c>
      <c r="W10" s="9" t="s">
        <v>43</v>
      </c>
      <c r="Y10" s="9" t="s">
        <v>43</v>
      </c>
      <c r="AA10" s="9" t="s">
        <v>43</v>
      </c>
      <c r="AB10" s="10"/>
      <c r="AC10" s="9" t="s">
        <v>43</v>
      </c>
      <c r="AE10" s="9" t="s">
        <v>43</v>
      </c>
      <c r="AG10" s="9" t="s">
        <v>6</v>
      </c>
      <c r="AI10" s="9" t="s">
        <v>43</v>
      </c>
      <c r="AJ10" s="9"/>
      <c r="AK10" s="9" t="s">
        <v>43</v>
      </c>
    </row>
    <row r="11" customFormat="false" ht="12.75" hidden="false" customHeight="false" outlineLevel="0" collapsed="false">
      <c r="C11" s="9"/>
      <c r="D11" s="9"/>
      <c r="E11" s="9"/>
      <c r="F11" s="9"/>
      <c r="G11" s="9"/>
      <c r="H11" s="9"/>
      <c r="I11" s="9"/>
      <c r="J11" s="9"/>
      <c r="K11" s="9" t="n">
        <v>2002</v>
      </c>
      <c r="M11" s="9" t="n">
        <v>2002</v>
      </c>
      <c r="N11" s="9"/>
      <c r="O11" s="9" t="n">
        <v>2002</v>
      </c>
      <c r="P11" s="9"/>
      <c r="Q11" s="9" t="n">
        <v>2002</v>
      </c>
      <c r="R11" s="9"/>
      <c r="S11" s="9" t="n">
        <v>2002</v>
      </c>
      <c r="T11" s="9"/>
      <c r="U11" s="9" t="n">
        <v>2002</v>
      </c>
      <c r="W11" s="9" t="n">
        <v>2002</v>
      </c>
      <c r="Y11" s="9" t="n">
        <v>2002</v>
      </c>
      <c r="AA11" s="9" t="n">
        <v>2002</v>
      </c>
      <c r="AB11" s="9"/>
      <c r="AC11" s="9" t="n">
        <v>2002</v>
      </c>
      <c r="AD11" s="9"/>
      <c r="AE11" s="9" t="n">
        <v>2002</v>
      </c>
      <c r="AG11" s="8" t="s">
        <v>9</v>
      </c>
      <c r="AI11" s="9" t="n">
        <v>2002</v>
      </c>
      <c r="AJ11" s="9"/>
      <c r="AK11" s="9" t="n">
        <v>2002</v>
      </c>
    </row>
    <row r="12" customFormat="false" ht="12.75" hidden="false" customHeight="false" outlineLevel="0" collapsed="false">
      <c r="A12" s="11" t="s">
        <v>10</v>
      </c>
      <c r="C12" s="11"/>
      <c r="D12" s="9"/>
      <c r="E12" s="11"/>
      <c r="F12" s="8"/>
      <c r="G12" s="11"/>
      <c r="H12" s="8"/>
      <c r="I12" s="11"/>
      <c r="J12" s="9"/>
      <c r="K12" s="11" t="s">
        <v>15</v>
      </c>
      <c r="M12" s="11" t="s">
        <v>16</v>
      </c>
      <c r="N12" s="9"/>
      <c r="O12" s="11" t="s">
        <v>17</v>
      </c>
      <c r="P12" s="8"/>
      <c r="Q12" s="11" t="s">
        <v>18</v>
      </c>
      <c r="R12" s="8"/>
      <c r="S12" s="11" t="s">
        <v>19</v>
      </c>
      <c r="T12" s="9"/>
      <c r="U12" s="11" t="s">
        <v>20</v>
      </c>
      <c r="W12" s="11" t="s">
        <v>21</v>
      </c>
      <c r="Y12" s="11" t="s">
        <v>22</v>
      </c>
      <c r="AA12" s="11" t="s">
        <v>23</v>
      </c>
      <c r="AB12" s="8"/>
      <c r="AC12" s="11" t="s">
        <v>7</v>
      </c>
      <c r="AD12" s="9"/>
      <c r="AE12" s="11" t="s">
        <v>13</v>
      </c>
      <c r="AF12" s="2"/>
      <c r="AG12" s="11" t="s">
        <v>24</v>
      </c>
      <c r="AH12" s="2"/>
      <c r="AI12" s="11" t="s">
        <v>14</v>
      </c>
      <c r="AJ12" s="8"/>
      <c r="AK12" s="11" t="s">
        <v>45</v>
      </c>
    </row>
    <row r="13" customFormat="false" ht="12.75" hidden="false" customHeight="false" outlineLevel="0" collapsed="false">
      <c r="A13" s="12" t="s">
        <v>27</v>
      </c>
      <c r="C13" s="13"/>
      <c r="D13" s="13"/>
      <c r="E13" s="13"/>
      <c r="F13" s="13"/>
      <c r="G13" s="13"/>
      <c r="H13" s="13"/>
      <c r="I13" s="13"/>
      <c r="J13" s="13"/>
      <c r="K13" s="13" t="n">
        <v>6774</v>
      </c>
      <c r="L13" s="13"/>
      <c r="M13" s="13" t="n">
        <v>7368</v>
      </c>
      <c r="N13" s="13"/>
      <c r="O13" s="13" t="n">
        <v>7233</v>
      </c>
      <c r="P13" s="13"/>
      <c r="Q13" s="13" t="n">
        <v>7068</v>
      </c>
      <c r="R13" s="13"/>
      <c r="S13" s="13" t="n">
        <v>7066</v>
      </c>
      <c r="T13" s="13"/>
      <c r="U13" s="13" t="n">
        <v>7433</v>
      </c>
      <c r="V13" s="13"/>
      <c r="W13" s="13" t="n">
        <v>9008</v>
      </c>
      <c r="X13" s="13"/>
      <c r="Y13" s="13" t="n">
        <v>8115</v>
      </c>
      <c r="Z13" s="13"/>
      <c r="AA13" s="13" t="n">
        <v>8453</v>
      </c>
      <c r="AB13" s="13"/>
      <c r="AC13" s="13" t="n">
        <v>8453</v>
      </c>
      <c r="AD13" s="13"/>
      <c r="AE13" s="13" t="n">
        <v>7612</v>
      </c>
      <c r="AF13" s="13"/>
      <c r="AG13" s="13" t="n">
        <f aca="false">-448.4/11017</f>
        <v>-0.0407007352273759</v>
      </c>
      <c r="AH13" s="13"/>
      <c r="AI13" s="13" t="n">
        <v>8068</v>
      </c>
      <c r="AJ13" s="13"/>
      <c r="AK13" s="14" t="n">
        <f aca="false">SUM(K13:AI13)</f>
        <v>92650.9592992648</v>
      </c>
    </row>
    <row r="14" customFormat="false" ht="12.75" hidden="false" customHeight="false" outlineLevel="0" collapsed="false">
      <c r="A14" s="12" t="s">
        <v>28</v>
      </c>
      <c r="C14" s="13"/>
      <c r="D14" s="13"/>
      <c r="E14" s="13"/>
      <c r="F14" s="13"/>
      <c r="G14" s="13"/>
      <c r="H14" s="13"/>
      <c r="I14" s="13"/>
      <c r="J14" s="13"/>
      <c r="K14" s="13" t="n">
        <v>2166.403</v>
      </c>
      <c r="L14" s="13"/>
      <c r="M14" s="13" t="n">
        <v>2185.425</v>
      </c>
      <c r="N14" s="13"/>
      <c r="O14" s="13" t="n">
        <v>2144.461</v>
      </c>
      <c r="P14" s="13"/>
      <c r="Q14" s="13" t="n">
        <v>2122.357</v>
      </c>
      <c r="R14" s="13"/>
      <c r="S14" s="13" t="n">
        <v>2151.378</v>
      </c>
      <c r="T14" s="13"/>
      <c r="U14" s="13" t="n">
        <v>2174.504</v>
      </c>
      <c r="V14" s="13"/>
      <c r="W14" s="13" t="n">
        <v>2148.327</v>
      </c>
      <c r="X14" s="13"/>
      <c r="Y14" s="13" t="n">
        <v>2165.205</v>
      </c>
      <c r="Z14" s="13"/>
      <c r="AA14" s="13" t="n">
        <v>2156.355</v>
      </c>
      <c r="AB14" s="13"/>
      <c r="AC14" s="13" t="n">
        <v>2153.188</v>
      </c>
      <c r="AD14" s="13"/>
      <c r="AE14" s="13" t="n">
        <v>2122.55</v>
      </c>
      <c r="AF14" s="13"/>
      <c r="AG14" s="13" t="n">
        <f aca="false">-102.4/1810</f>
        <v>-0.0565745856353591</v>
      </c>
      <c r="AH14" s="13"/>
      <c r="AI14" s="13" t="n">
        <v>2204.767</v>
      </c>
      <c r="AJ14" s="13"/>
      <c r="AK14" s="14" t="n">
        <f aca="false">SUM(K14:AI14)</f>
        <v>25894.8634254144</v>
      </c>
    </row>
    <row r="15" customFormat="false" ht="12.75" hidden="false" customHeight="false" outlineLevel="0" collapsed="false">
      <c r="A15" s="12" t="s">
        <v>29</v>
      </c>
      <c r="C15" s="13"/>
      <c r="D15" s="0"/>
      <c r="E15" s="13"/>
      <c r="F15" s="0"/>
      <c r="G15" s="13"/>
      <c r="H15" s="0"/>
      <c r="I15" s="13"/>
      <c r="J15" s="13"/>
      <c r="K15" s="13" t="n">
        <f aca="false">3099.919</f>
        <v>3099.919</v>
      </c>
      <c r="L15" s="13"/>
      <c r="M15" s="13" t="n">
        <f aca="false">2741.253</f>
        <v>2741.253</v>
      </c>
      <c r="N15" s="13"/>
      <c r="O15" s="13" t="n">
        <v>2670.165</v>
      </c>
      <c r="P15" s="13"/>
      <c r="Q15" s="13" t="n">
        <v>2877.501</v>
      </c>
      <c r="R15" s="13"/>
      <c r="S15" s="13" t="n">
        <v>2846.096</v>
      </c>
      <c r="T15" s="13"/>
      <c r="U15" s="13" t="n">
        <v>2885.957</v>
      </c>
      <c r="V15" s="13"/>
      <c r="W15" s="13" t="n">
        <v>2956.525</v>
      </c>
      <c r="X15" s="13"/>
      <c r="Y15" s="13" t="n">
        <v>2984.717</v>
      </c>
      <c r="Z15" s="13"/>
      <c r="AA15" s="13" t="n">
        <v>2956.854</v>
      </c>
      <c r="AB15" s="13"/>
      <c r="AC15" s="13" t="n">
        <v>2912.51</v>
      </c>
      <c r="AD15" s="13"/>
      <c r="AE15" s="13" t="n">
        <v>2878.492</v>
      </c>
      <c r="AF15" s="13"/>
      <c r="AG15" s="15" t="n">
        <f aca="false">-155.5/1959</f>
        <v>-0.0793772332822869</v>
      </c>
      <c r="AH15" s="13"/>
      <c r="AI15" s="13" t="n">
        <v>2855.159</v>
      </c>
      <c r="AJ15" s="13"/>
      <c r="AK15" s="14" t="n">
        <f aca="false">SUM(K15:AI15)</f>
        <v>34665.0686227667</v>
      </c>
    </row>
    <row r="16" customFormat="false" ht="12.75" hidden="false" customHeight="false" outlineLevel="0" collapsed="false">
      <c r="A16" s="12" t="s">
        <v>30</v>
      </c>
      <c r="C16" s="0"/>
      <c r="D16" s="0"/>
      <c r="E16" s="13"/>
      <c r="F16" s="0"/>
      <c r="G16" s="0"/>
      <c r="H16" s="0"/>
      <c r="I16" s="0"/>
      <c r="J16" s="13"/>
      <c r="K16" s="13" t="n">
        <f aca="false">1024.995+220.336</f>
        <v>1245.331</v>
      </c>
      <c r="L16" s="13"/>
      <c r="M16" s="13" t="n">
        <f aca="false">1029.107+220.075</f>
        <v>1249.182</v>
      </c>
      <c r="N16" s="13"/>
      <c r="O16" s="13" t="n">
        <f aca="false">1025.302+219.391</f>
        <v>1244.693</v>
      </c>
      <c r="P16" s="13"/>
      <c r="Q16" s="13" t="n">
        <f aca="false">1027.547+220.014</f>
        <v>1247.561</v>
      </c>
      <c r="R16" s="13"/>
      <c r="S16" s="13" t="n">
        <f aca="false">1026.599+220.015</f>
        <v>1246.614</v>
      </c>
      <c r="T16" s="13"/>
      <c r="U16" s="13" t="n">
        <f aca="false">1025.304+220.392</f>
        <v>1245.696</v>
      </c>
      <c r="V16" s="13"/>
      <c r="W16" s="13" t="n">
        <f aca="false">1025.259+220.115</f>
        <v>1245.374</v>
      </c>
      <c r="X16" s="13"/>
      <c r="Y16" s="13" t="n">
        <f aca="false">1026.599+220.015</f>
        <v>1246.614</v>
      </c>
      <c r="Z16" s="13"/>
      <c r="AA16" s="13" t="n">
        <f aca="false">1025.307+219.392</f>
        <v>1244.699</v>
      </c>
      <c r="AB16" s="13"/>
      <c r="AC16" s="13" t="n">
        <f aca="false">1030.252+220.116</f>
        <v>1250.368</v>
      </c>
      <c r="AD16" s="13"/>
      <c r="AE16" s="13" t="n">
        <f aca="false">1028.902+220.116</f>
        <v>1249.018</v>
      </c>
      <c r="AF16" s="13"/>
      <c r="AG16" s="13" t="n">
        <f aca="false">(W16-M16)/M16</f>
        <v>-0.00304839486960266</v>
      </c>
      <c r="AH16" s="13"/>
      <c r="AI16" s="13" t="n">
        <f aca="false">1024.306+220.492</f>
        <v>1244.798</v>
      </c>
      <c r="AJ16" s="13"/>
      <c r="AK16" s="14" t="n">
        <f aca="false">SUM(K16:AI16)</f>
        <v>14959.9449516051</v>
      </c>
    </row>
    <row r="17" customFormat="false" ht="12.75" hidden="false" customHeight="false" outlineLevel="0" collapsed="false">
      <c r="A17" s="12" t="s">
        <v>31</v>
      </c>
      <c r="C17" s="0"/>
      <c r="D17" s="0"/>
      <c r="E17" s="13"/>
      <c r="F17" s="0"/>
      <c r="G17" s="0"/>
      <c r="H17" s="0"/>
      <c r="I17" s="0"/>
      <c r="J17" s="13"/>
      <c r="K17" s="13" t="n">
        <v>3074.9</v>
      </c>
      <c r="L17" s="13"/>
      <c r="M17" s="13" t="n">
        <v>3603.471</v>
      </c>
      <c r="N17" s="13"/>
      <c r="O17" s="13" t="n">
        <v>3275.955</v>
      </c>
      <c r="P17" s="13"/>
      <c r="Q17" s="13" t="n">
        <v>3468.866</v>
      </c>
      <c r="R17" s="13"/>
      <c r="S17" s="13" t="n">
        <v>3515.904</v>
      </c>
      <c r="T17" s="13"/>
      <c r="U17" s="13" t="n">
        <v>3591.606</v>
      </c>
      <c r="V17" s="13"/>
      <c r="W17" s="13" t="n">
        <v>3552.738</v>
      </c>
      <c r="X17" s="13"/>
      <c r="Y17" s="13" t="n">
        <v>3435.01</v>
      </c>
      <c r="Z17" s="13"/>
      <c r="AA17" s="13" t="n">
        <v>3424.314</v>
      </c>
      <c r="AB17" s="13"/>
      <c r="AC17" s="13" t="n">
        <v>3290.913</v>
      </c>
      <c r="AD17" s="13"/>
      <c r="AE17" s="13" t="n">
        <v>3212.154</v>
      </c>
      <c r="AF17" s="13"/>
      <c r="AG17" s="13"/>
      <c r="AH17" s="13"/>
      <c r="AI17" s="13" t="n">
        <v>3161.855</v>
      </c>
      <c r="AJ17" s="13"/>
      <c r="AK17" s="14" t="n">
        <f aca="false">SUM(K17:AI17)</f>
        <v>40607.686</v>
      </c>
    </row>
    <row r="18" customFormat="false" ht="12.75" hidden="false" customHeight="false" outlineLevel="0" collapsed="false">
      <c r="A18" s="12" t="s">
        <v>32</v>
      </c>
      <c r="C18" s="0"/>
      <c r="D18" s="0"/>
      <c r="E18" s="13"/>
      <c r="F18" s="0"/>
      <c r="G18" s="0"/>
      <c r="H18" s="0"/>
      <c r="I18" s="0"/>
      <c r="J18" s="13"/>
      <c r="K18" s="13" t="n">
        <v>133.29</v>
      </c>
      <c r="L18" s="13"/>
      <c r="M18" s="13" t="n">
        <v>135.337</v>
      </c>
      <c r="N18" s="13"/>
      <c r="O18" s="13" t="n">
        <v>135.337</v>
      </c>
      <c r="P18" s="13"/>
      <c r="Q18" s="13" t="n">
        <v>135.337</v>
      </c>
      <c r="R18" s="13"/>
      <c r="S18" s="13" t="n">
        <v>135.337</v>
      </c>
      <c r="T18" s="13"/>
      <c r="U18" s="13" t="n">
        <v>135.337</v>
      </c>
      <c r="V18" s="13"/>
      <c r="W18" s="13" t="n">
        <v>135.337</v>
      </c>
      <c r="X18" s="13"/>
      <c r="Y18" s="13" t="n">
        <v>135.337</v>
      </c>
      <c r="Z18" s="13"/>
      <c r="AA18" s="13" t="n">
        <v>135.337</v>
      </c>
      <c r="AB18" s="13"/>
      <c r="AC18" s="13" t="n">
        <v>135.337</v>
      </c>
      <c r="AD18" s="13"/>
      <c r="AE18" s="13" t="n">
        <v>135.337</v>
      </c>
      <c r="AF18" s="13"/>
      <c r="AG18" s="13"/>
      <c r="AH18" s="13"/>
      <c r="AI18" s="13" t="n">
        <v>135.337</v>
      </c>
      <c r="AJ18" s="16"/>
      <c r="AK18" s="14" t="n">
        <f aca="false">SUM(K18:AI18)</f>
        <v>1621.997</v>
      </c>
    </row>
    <row r="19" customFormat="false" ht="12.75" hidden="false" customHeight="false" outlineLevel="0" collapsed="false">
      <c r="A19" s="12" t="s">
        <v>33</v>
      </c>
      <c r="C19" s="0"/>
      <c r="D19" s="0"/>
      <c r="E19" s="13"/>
      <c r="F19" s="0"/>
      <c r="G19" s="0"/>
      <c r="H19" s="0"/>
      <c r="I19" s="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6"/>
      <c r="AK19" s="14" t="n">
        <f aca="false">SUM(K19:AI19)</f>
        <v>0</v>
      </c>
    </row>
    <row r="20" customFormat="false" ht="12.75" hidden="false" customHeight="false" outlineLevel="0" collapsed="false">
      <c r="A20" s="12" t="s">
        <v>34</v>
      </c>
      <c r="C20" s="0"/>
      <c r="D20" s="0"/>
      <c r="E20" s="13"/>
      <c r="F20" s="0"/>
      <c r="G20" s="0"/>
      <c r="H20" s="0"/>
      <c r="I20" s="0"/>
      <c r="J20" s="13"/>
      <c r="K20" s="13" t="n">
        <v>43.119</v>
      </c>
      <c r="L20" s="13"/>
      <c r="M20" s="13" t="n">
        <v>44.078</v>
      </c>
      <c r="N20" s="13"/>
      <c r="O20" s="13" t="n">
        <v>43.119</v>
      </c>
      <c r="P20" s="13"/>
      <c r="Q20" s="13" t="n">
        <v>43.119</v>
      </c>
      <c r="R20" s="13"/>
      <c r="S20" s="13" t="n">
        <v>43.119</v>
      </c>
      <c r="T20" s="13"/>
      <c r="U20" s="13" t="n">
        <v>43.119</v>
      </c>
      <c r="V20" s="13"/>
      <c r="W20" s="13" t="n">
        <v>43.119</v>
      </c>
      <c r="X20" s="13"/>
      <c r="Y20" s="13" t="n">
        <v>43.119</v>
      </c>
      <c r="Z20" s="13"/>
      <c r="AA20" s="13" t="n">
        <v>43.119</v>
      </c>
      <c r="AB20" s="13"/>
      <c r="AC20" s="13" t="n">
        <v>43.119</v>
      </c>
      <c r="AD20" s="13"/>
      <c r="AE20" s="13" t="n">
        <v>43.119</v>
      </c>
      <c r="AF20" s="13"/>
      <c r="AG20" s="13"/>
      <c r="AH20" s="13"/>
      <c r="AI20" s="13" t="n">
        <v>43.119</v>
      </c>
      <c r="AJ20" s="16"/>
      <c r="AK20" s="14" t="n">
        <f aca="false">SUM(K20:AI20)</f>
        <v>518.387</v>
      </c>
    </row>
    <row r="21" customFormat="false" ht="12.75" hidden="false" customHeight="false" outlineLevel="0" collapsed="false">
      <c r="A21" s="12" t="s">
        <v>35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K21" s="14" t="n">
        <f aca="false">SUM(K21:AI21)</f>
        <v>0</v>
      </c>
    </row>
    <row r="22" customFormat="false" ht="12.75" hidden="false" customHeight="false" outlineLevel="0" collapsed="false">
      <c r="A22" s="12" t="s">
        <v>36</v>
      </c>
      <c r="C22" s="13"/>
      <c r="D22" s="13"/>
      <c r="E22" s="13"/>
      <c r="F22" s="13"/>
      <c r="G22" s="13"/>
      <c r="H22" s="13"/>
      <c r="I22" s="13"/>
      <c r="J22" s="13"/>
      <c r="K22" s="13" t="n">
        <f aca="false">5.433+5.204</f>
        <v>10.637</v>
      </c>
      <c r="L22" s="13"/>
      <c r="M22" s="13" t="n">
        <f aca="false">5.433+6.822</f>
        <v>12.255</v>
      </c>
      <c r="N22" s="13"/>
      <c r="O22" s="13" t="n">
        <f aca="false">5.433+5.16</f>
        <v>10.593</v>
      </c>
      <c r="P22" s="13"/>
      <c r="Q22" s="13" t="n">
        <f aca="false">5.433+5.115</f>
        <v>10.548</v>
      </c>
      <c r="R22" s="13"/>
      <c r="S22" s="13" t="n">
        <f aca="false">5.433+5.116</f>
        <v>10.549</v>
      </c>
      <c r="T22" s="13"/>
      <c r="U22" s="13" t="n">
        <f aca="false">5.433+5.154</f>
        <v>10.587</v>
      </c>
      <c r="V22" s="13"/>
      <c r="W22" s="13" t="n">
        <f aca="false">5.433+5.115</f>
        <v>10.548</v>
      </c>
      <c r="X22" s="13"/>
      <c r="Y22" s="13" t="n">
        <f aca="false">5.433+5.117</f>
        <v>10.55</v>
      </c>
      <c r="Z22" s="13"/>
      <c r="AA22" s="13" t="n">
        <f aca="false">5.433+5.133</f>
        <v>10.566</v>
      </c>
      <c r="AB22" s="13"/>
      <c r="AC22" s="13" t="n">
        <f aca="false">5.433+5.096</f>
        <v>10.529</v>
      </c>
      <c r="AD22" s="13"/>
      <c r="AE22" s="13" t="n">
        <f aca="false">5.433+4.927</f>
        <v>10.36</v>
      </c>
      <c r="AF22" s="13"/>
      <c r="AG22" s="13" t="n">
        <f aca="false">(W22-M22)/M22</f>
        <v>-0.139290085679315</v>
      </c>
      <c r="AH22" s="13"/>
      <c r="AI22" s="13" t="n">
        <f aca="false">5.433+4.946+72</f>
        <v>82.379</v>
      </c>
      <c r="AK22" s="14" t="n">
        <f aca="false">SUM(K22:AI22)</f>
        <v>199.961709914321</v>
      </c>
    </row>
    <row r="23" customFormat="false" ht="12.75" hidden="false" customHeight="false" outlineLevel="0" collapsed="false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6"/>
      <c r="AI23" s="13"/>
      <c r="AJ23" s="13"/>
    </row>
    <row r="24" customFormat="false" ht="13.5" hidden="false" customHeight="false" outlineLevel="0" collapsed="false">
      <c r="A24" s="12" t="s">
        <v>25</v>
      </c>
      <c r="C24" s="17" t="n">
        <f aca="false">SUM(C13:C23)</f>
        <v>0</v>
      </c>
      <c r="D24" s="13"/>
      <c r="E24" s="17" t="n">
        <f aca="false">SUM(E13:E23)</f>
        <v>0</v>
      </c>
      <c r="F24" s="13"/>
      <c r="G24" s="17" t="n">
        <f aca="false">SUM(G13:G23)</f>
        <v>0</v>
      </c>
      <c r="H24" s="13"/>
      <c r="I24" s="17" t="n">
        <f aca="false">SUM(I13:I23)</f>
        <v>0</v>
      </c>
      <c r="J24" s="13"/>
      <c r="K24" s="17" t="n">
        <f aca="false">SUM(K13:K23)</f>
        <v>16547.599</v>
      </c>
      <c r="L24" s="13"/>
      <c r="M24" s="17" t="n">
        <f aca="false">SUM(M13:M23)</f>
        <v>17339.001</v>
      </c>
      <c r="N24" s="13"/>
      <c r="O24" s="17" t="n">
        <f aca="false">SUM(O13:O23)</f>
        <v>16757.323</v>
      </c>
      <c r="P24" s="13"/>
      <c r="Q24" s="17" t="n">
        <f aca="false">SUM(Q13:Q23)</f>
        <v>16973.289</v>
      </c>
      <c r="R24" s="13"/>
      <c r="S24" s="17" t="n">
        <f aca="false">SUM(S13:S23)</f>
        <v>17014.997</v>
      </c>
      <c r="T24" s="13"/>
      <c r="U24" s="17" t="n">
        <f aca="false">SUM(U13:U23)</f>
        <v>17519.806</v>
      </c>
      <c r="V24" s="13"/>
      <c r="W24" s="17" t="n">
        <f aca="false">SUM(W13:W23)</f>
        <v>19099.968</v>
      </c>
      <c r="X24" s="13"/>
      <c r="Y24" s="17" t="n">
        <f aca="false">SUM(Y13:Y23)</f>
        <v>18135.552</v>
      </c>
      <c r="Z24" s="13"/>
      <c r="AA24" s="17" t="n">
        <f aca="false">SUM(AA13:AA23)</f>
        <v>18424.244</v>
      </c>
      <c r="AB24" s="13"/>
      <c r="AC24" s="17" t="n">
        <f aca="false">SUM(AC13:AC23)</f>
        <v>18248.964</v>
      </c>
      <c r="AD24" s="13"/>
      <c r="AE24" s="17" t="n">
        <f aca="false">SUM(AE13:AE23)</f>
        <v>17263.03</v>
      </c>
      <c r="AF24" s="13"/>
      <c r="AG24" s="18" t="n">
        <f aca="false">(W24-M24)/M24</f>
        <v>0.101561041492529</v>
      </c>
      <c r="AI24" s="17" t="n">
        <f aca="false">SUM(AI13:AI23)</f>
        <v>17795.414</v>
      </c>
      <c r="AJ24" s="13"/>
      <c r="AK24" s="17" t="n">
        <f aca="false">SUM(AK13:AK23)</f>
        <v>211118.868008965</v>
      </c>
    </row>
    <row r="25" customFormat="false" ht="25.5" hidden="false" customHeight="true" outlineLevel="0" collapsed="false">
      <c r="A25" s="12"/>
      <c r="AE25" s="19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</row>
    <row r="27" customFormat="false" ht="12.75" hidden="false" customHeight="false" outlineLevel="0" collapsed="false">
      <c r="A27" s="0" t="s">
        <v>40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</row>
    <row r="29" customFormat="false" ht="12.75" hidden="false" customHeight="false" outlineLevel="0" collapsed="false">
      <c r="A29" s="25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</row>
    <row r="47" customFormat="false" ht="12.75" hidden="false" customHeight="false" outlineLevel="0" collapsed="false">
      <c r="A47" s="26" t="str">
        <f aca="true">CELL("filename")</f>
        <v>'file:///mnt/12tb/@roms/datasets/enron/EDRM Enron Email Data Set v2 XML/filtered-attachments/xls/OM_EST___OPERATIONS___2001___2002_REVISED_FORMAT.xls'#$Orig '02 Plan Net</v>
      </c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customFormat="false" ht="12.75" hidden="false" customHeight="false" outlineLevel="0" collapsed="false">
      <c r="A48" s="28" t="n">
        <f aca="true">NOW()</f>
        <v>45926.8832393477</v>
      </c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customFormat="false" ht="12.75" hidden="false" customHeight="false" outlineLevel="0" collapsed="false">
      <c r="A49" s="26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customFormat="false" ht="12.75" hidden="false" customHeight="false" outlineLevel="0" collapsed="false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customFormat="false" ht="12.75" hidden="false" customHeight="false" outlineLevel="0" collapsed="false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customFormat="false" ht="12.7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customFormat="false" ht="12.75" hidden="false" customHeight="false" outlineLevel="0" collapsed="false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customFormat="false" ht="12.75" hidden="false" customHeight="false" outlineLevel="0" collapsed="false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customFormat="false" ht="12.75" hidden="false" customHeight="false" outlineLevel="0" collapsed="false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customFormat="false" ht="12.75" hidden="false" customHeight="false" outlineLevel="0" collapsed="false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customFormat="false" ht="12.75" hidden="false" customHeight="false" outlineLevel="0" collapsed="false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customFormat="false" ht="12.75" hidden="false" customHeight="false" outlineLevel="0" collapsed="false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customFormat="false" ht="12.75" hidden="false" customHeight="false" outlineLevel="0" collapsed="false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customFormat="false" ht="12.75" hidden="false" customHeight="false" outlineLevel="0" collapsed="false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customFormat="false" ht="12.75" hidden="false" customHeight="false" outlineLevel="0" collapsed="false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customFormat="false" ht="12.75" hidden="false" customHeight="false" outlineLevel="0" collapsed="false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customFormat="false" ht="12.75" hidden="false" customHeight="false" outlineLevel="0" collapsed="false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customFormat="false" ht="12.75" hidden="false" customHeight="false" outlineLevel="0" collapsed="false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customFormat="false" ht="12.75" hidden="false" customHeight="false" outlineLevel="0" collapsed="false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customFormat="false" ht="12.75" hidden="false" customHeight="false" outlineLevel="0" collapsed="false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customFormat="false" ht="12.75" hidden="false" customHeight="false" outlineLevel="0" collapsed="false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customFormat="false" ht="12.75" hidden="false" customHeight="false" outlineLevel="0" collapsed="false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customFormat="false" ht="12.75" hidden="false" customHeight="false" outlineLevel="0" collapsed="false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customFormat="false" ht="12.75" hidden="false" customHeight="false" outlineLevel="0" collapsed="false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customFormat="false" ht="12.75" hidden="false" customHeight="false" outlineLevel="0" collapsed="false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customFormat="false" ht="12.75" hidden="false" customHeight="false" outlineLevel="0" collapsed="false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customFormat="false" ht="12.75" hidden="false" customHeight="false" outlineLevel="0" collapsed="false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customFormat="false" ht="12.75" hidden="false" customHeight="false" outlineLevel="0" collapsed="false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customFormat="false" ht="12.75" hidden="false" customHeight="false" outlineLevel="0" collapsed="false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customFormat="false" ht="12.7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customFormat="false" ht="12.7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customFormat="false" ht="12.7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customFormat="false" ht="12.7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customFormat="false" ht="12.7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customFormat="false" ht="12.7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customFormat="false" ht="12.7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customFormat="false" ht="12.7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customFormat="false" ht="12.7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customFormat="false" ht="12.7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customFormat="false" ht="12.7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customFormat="false" ht="12.7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customFormat="false" ht="12.7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customFormat="false" ht="12.7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customFormat="false" ht="12.7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customFormat="false" ht="12.7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customFormat="false" ht="12.7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customFormat="false" ht="12.7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customFormat="false" ht="12.7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customFormat="false" ht="12.7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customFormat="false" ht="12.7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customFormat="false" ht="12.7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customFormat="false" ht="12.7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customFormat="false" ht="12.7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customFormat="false" ht="12.7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customFormat="false" ht="12.7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customFormat="false" ht="12.7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customFormat="false" ht="12.7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customFormat="false" ht="12.7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customFormat="false" ht="12.7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customFormat="false" ht="12.7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customFormat="false" ht="12.7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customFormat="false" ht="12.7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customFormat="false" ht="12.7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</sheetData>
  <mergeCells count="4">
    <mergeCell ref="A1:AE1"/>
    <mergeCell ref="A2:AE2"/>
    <mergeCell ref="A3:AE3"/>
    <mergeCell ref="A4:AE4"/>
  </mergeCells>
  <printOptions headings="false" gridLines="false" gridLinesSet="true" horizontalCentered="true" verticalCentered="false"/>
  <pageMargins left="0.25" right="0" top="0.75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econckl</cp:lastModifiedBy>
  <cp:lastPrinted>2001-11-26T20:24:15Z</cp:lastPrinted>
  <dcterms:modified xsi:type="dcterms:W3CDTF">2001-11-26T21:14:18Z</dcterms:modified>
  <cp:revision>0</cp:revision>
  <dc:subject/>
  <dc:title/>
</cp:coreProperties>
</file>