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AT Inputs" sheetId="1" state="visible" r:id="rId3"/>
    <sheet name="OAT Cash Flow" sheetId="2" state="visible" r:id="rId4"/>
    <sheet name="OAT Income Statement" sheetId="3" state="visible" r:id="rId5"/>
    <sheet name="OAT Balance Sheet" sheetId="4" state="visible" r:id="rId6"/>
    <sheet name="OAT DCF" sheetId="5" state="visible" r:id="rId7"/>
    <sheet name="Sheet1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<sst xmlns="http://schemas.openxmlformats.org/spreadsheetml/2006/main" count="547" uniqueCount="305">
  <si>
    <t xml:space="preserve">INPUT SCREENS</t>
  </si>
  <si>
    <t xml:space="preserve">Acquirer:</t>
  </si>
  <si>
    <t xml:space="preserve">Most recent year end:</t>
  </si>
  <si>
    <t xml:space="preserve">Target:</t>
  </si>
  <si>
    <t xml:space="preserve">Quaker Oats</t>
  </si>
  <si>
    <t xml:space="preserve">Currency:</t>
  </si>
  <si>
    <t xml:space="preserve">Dollars in millions</t>
  </si>
  <si>
    <t xml:space="preserve">DISCOUNTED CASH FLOW INPUTS</t>
  </si>
  <si>
    <t xml:space="preserve">Discount rate:</t>
  </si>
  <si>
    <t xml:space="preserve">OAT stand alone effective tx rate</t>
  </si>
  <si>
    <t xml:space="preserve">Terminal value multiple (x EBITDA):</t>
  </si>
  <si>
    <t xml:space="preserve">Resultant valuation:</t>
  </si>
  <si>
    <t xml:space="preserve">     Total enterprise value ($M)</t>
  </si>
  <si>
    <t xml:space="preserve">     Value per common share</t>
  </si>
  <si>
    <t xml:space="preserve">MERGER MODEL INPUTS</t>
  </si>
  <si>
    <t xml:space="preserve">Acquirer stand alone earnings estimates:</t>
  </si>
  <si>
    <t xml:space="preserve">LTG</t>
  </si>
  <si>
    <t xml:space="preserve">Anticipated synergies / cost savings:</t>
  </si>
  <si>
    <t xml:space="preserve">% of SGA</t>
  </si>
  <si>
    <t xml:space="preserve">(enter one OR the other)</t>
  </si>
  <si>
    <t xml:space="preserve">total $ (in millions)</t>
  </si>
  <si>
    <t xml:space="preserve">Accretion</t>
  </si>
  <si>
    <t xml:space="preserve">w/ repurch</t>
  </si>
  <si>
    <t xml:space="preserve">w/o repurch</t>
  </si>
  <si>
    <t xml:space="preserve">Other inputs</t>
  </si>
  <si>
    <t xml:space="preserve">Purchase Accounting</t>
  </si>
  <si>
    <t xml:space="preserve">Allocation of purchase price / mark to market adjustments</t>
  </si>
  <si>
    <t xml:space="preserve">Primary shares, seller</t>
  </si>
  <si>
    <t xml:space="preserve">Seller shares not already owned by buyer</t>
  </si>
  <si>
    <t xml:space="preserve">million</t>
  </si>
  <si>
    <t xml:space="preserve">Primary shares, buyer</t>
  </si>
  <si>
    <t xml:space="preserve">Exchange ratio</t>
  </si>
  <si>
    <t xml:space="preserve">New shares issued</t>
  </si>
  <si>
    <t xml:space="preserve">Goodwill deductible ??</t>
  </si>
  <si>
    <t xml:space="preserve">no</t>
  </si>
  <si>
    <t xml:space="preserve">Amortization period of goodwill (yrs)</t>
  </si>
  <si>
    <t xml:space="preserve">Safeway stock price per share</t>
  </si>
  <si>
    <t xml:space="preserve">Marginal income tax rate</t>
  </si>
  <si>
    <t xml:space="preserve">Deal value for part of Vons notalready owned</t>
  </si>
  <si>
    <t xml:space="preserve">Equity in undistributed income of seller ($M)</t>
  </si>
  <si>
    <t xml:space="preserve">Current investment in Vons</t>
  </si>
  <si>
    <t xml:space="preserve">Share repurchase assumptions:</t>
  </si>
  <si>
    <t xml:space="preserve">Value of options assumed by Safeway</t>
  </si>
  <si>
    <t xml:space="preserve">     and transaction costs for the deal</t>
  </si>
  <si>
    <t xml:space="preserve">Shares repurchased (choose ONE):</t>
  </si>
  <si>
    <t xml:space="preserve">Total deal value</t>
  </si>
  <si>
    <t xml:space="preserve">     % of post transaction total</t>
  </si>
  <si>
    <t xml:space="preserve">Book value of Vons</t>
  </si>
  <si>
    <t xml:space="preserve">     number of shares to buy back (M)</t>
  </si>
  <si>
    <t xml:space="preserve">Premium to book value</t>
  </si>
  <si>
    <t xml:space="preserve">Cost of funds to repurchase shares</t>
  </si>
  <si>
    <t xml:space="preserve">Allocation of premium</t>
  </si>
  <si>
    <t xml:space="preserve">Deal summary:</t>
  </si>
  <si>
    <t xml:space="preserve">Vons share price, pre transaction</t>
  </si>
  <si>
    <t xml:space="preserve">     Inventory</t>
  </si>
  <si>
    <t xml:space="preserve">     Other assets</t>
  </si>
  <si>
    <t xml:space="preserve">DCF valuation :</t>
  </si>
  <si>
    <t xml:space="preserve">Vons per share</t>
  </si>
  <si>
    <t xml:space="preserve">     Deferred tax liability</t>
  </si>
  <si>
    <t xml:space="preserve">Total enterprise value ($M)</t>
  </si>
  <si>
    <t xml:space="preserve">     Other liabilities</t>
  </si>
  <si>
    <t xml:space="preserve">Deal value:</t>
  </si>
  <si>
    <t xml:space="preserve">Total deal value ($M)</t>
  </si>
  <si>
    <t xml:space="preserve">Goodwill</t>
  </si>
  <si>
    <t xml:space="preserve">Total OAT shares</t>
  </si>
  <si>
    <t xml:space="preserve">Deal value for previously unowned shares</t>
  </si>
  <si>
    <t xml:space="preserve">Accretion:</t>
  </si>
  <si>
    <t xml:space="preserve">Book value</t>
  </si>
  <si>
    <t xml:space="preserve">Previously unowned shares</t>
  </si>
  <si>
    <t xml:space="preserve">Earnings per share (year 1)</t>
  </si>
  <si>
    <t xml:space="preserve">THE QUAKER OATS COMPANY AND SUBSIDIARIES</t>
  </si>
  <si>
    <t xml:space="preserve">                     CONSOLIDATED STATEMENTS OF CASH FLOWS</t>
  </si>
  <si>
    <t xml:space="preserve">                                                                   YEAR ENDED DECEMBER 31</t>
  </si>
  <si>
    <t xml:space="preserve">CASH FLOWS FROM OPERATING ACTIVITIES:</t>
  </si>
  <si>
    <t xml:space="preserve">  Net income................................................</t>
  </si>
  <si>
    <t xml:space="preserve">  Adjustments to reconcile net income to net cash provided</t>
  </si>
  <si>
    <t xml:space="preserve">by operating activities:</t>
  </si>
  <si>
    <t xml:space="preserve">Depreciation and amortization........................</t>
  </si>
  <si>
    <t xml:space="preserve">Deferred income taxes................................</t>
  </si>
  <si>
    <t xml:space="preserve">Gains on divestitures -- net of tax of $(0.2), $1.7</t>
  </si>
  <si>
    <t xml:space="preserve">and $(27.4) in 2000, 1999 and 1998, respectively....</t>
  </si>
  <si>
    <t xml:space="preserve">Restructuring charges................................</t>
  </si>
  <si>
    <t xml:space="preserve">Asset impairment losses..............................</t>
  </si>
  <si>
    <t xml:space="preserve">--</t>
  </si>
  <si>
    <t xml:space="preserve">Loss on disposition of property and equipment........</t>
  </si>
  <si>
    <t xml:space="preserve">(Increase) decrease in trade accounts receivable.....</t>
  </si>
  <si>
    <t xml:space="preserve">Increase in inventories..............................</t>
  </si>
  <si>
    <t xml:space="preserve">(Increase) decrease in other current assets..........</t>
  </si>
  <si>
    <t xml:space="preserve">Increase (decrease) in trade accounts payable........</t>
  </si>
  <si>
    <t xml:space="preserve">(Decrease) increase in other current liabilities.....</t>
  </si>
  <si>
    <t xml:space="preserve">Change in deferred compensation......................</t>
  </si>
  <si>
    <t xml:space="preserve">Tax benefit from employee stock option exercises.....</t>
  </si>
  <si>
    <t xml:space="preserve">Other items..........................................</t>
  </si>
  <si>
    <t xml:space="preserve">NET CASH PROVIDED BY OPERATING ACTIVITIES</t>
  </si>
  <si>
    <t xml:space="preserve">CASH FLOWS FROM INVESTING ACTIVITIES:</t>
  </si>
  <si>
    <t xml:space="preserve">Purchases of marketable securities........................</t>
  </si>
  <si>
    <t xml:space="preserve">Proceeds from sales of marketable securities..............</t>
  </si>
  <si>
    <t xml:space="preserve">Business acquisitions</t>
  </si>
  <si>
    <t xml:space="preserve">Business divestitures (net of tax of $54.6 and $476.2 in 1996 and 1995, respectively)</t>
  </si>
  <si>
    <t xml:space="preserve">Additions to property, plant and equipment................</t>
  </si>
  <si>
    <t xml:space="preserve">Proceeds from sales of property, plant and equipment......</t>
  </si>
  <si>
    <t xml:space="preserve">Capital gains tax recovery................................</t>
  </si>
  <si>
    <t xml:space="preserve">Change in other assets</t>
  </si>
  <si>
    <t xml:space="preserve">Net Cash Provided by (Used in) Investing Activities</t>
  </si>
  <si>
    <t xml:space="preserve">CASH FLOWS FROM FINANCING ACTIVITIES:</t>
  </si>
  <si>
    <t xml:space="preserve">Cash dividends............................................</t>
  </si>
  <si>
    <t xml:space="preserve">Change in short-term debt.................................</t>
  </si>
  <si>
    <t xml:space="preserve">Proceeds from long-term debt..............................</t>
  </si>
  <si>
    <t xml:space="preserve">Reduction of long-term debt...............................</t>
  </si>
  <si>
    <t xml:space="preserve">Proceeds from short-term debt to be refinanced</t>
  </si>
  <si>
    <t xml:space="preserve">Issuance of common treasury stock.........................</t>
  </si>
  <si>
    <t xml:space="preserve">Repurchases of common stock...............................</t>
  </si>
  <si>
    <t xml:space="preserve">Repurchases of preferred stock............................</t>
  </si>
  <si>
    <t xml:space="preserve">NET CASH USED IN FINANCING ACTIVITIES.............</t>
  </si>
  <si>
    <t xml:space="preserve">Effect of Exchange Rate Changes on Cash and Cash Equivalents</t>
  </si>
  <si>
    <t xml:space="preserve">Net (Decrease) Increase in Cash and Cash Equivalents</t>
  </si>
  <si>
    <t xml:space="preserve">Cash and Cash Equivalents - Beginning of Period</t>
  </si>
  <si>
    <t xml:space="preserve">Cash and Cash Equivalents - End of Period</t>
  </si>
  <si>
    <t xml:space="preserve">DOLLARS IN MILLIONS (EXCEPT PER SHARE DATA)</t>
  </si>
  <si>
    <t xml:space="preserve">SALES FORECAST</t>
  </si>
  <si>
    <t xml:space="preserve">OAT YEAR OVER YEAR PERCENTAGE CHANGE</t>
  </si>
  <si>
    <t xml:space="preserve">forecast</t>
  </si>
  <si>
    <t xml:space="preserve">Average</t>
  </si>
  <si>
    <t xml:space="preserve">NET SALES...................................................</t>
  </si>
  <si>
    <t xml:space="preserve">Sales Growth</t>
  </si>
  <si>
    <t xml:space="preserve">Cost of goods sold..........................................</t>
  </si>
  <si>
    <t xml:space="preserve">Total Sales</t>
  </si>
  <si>
    <t xml:space="preserve">Gross profit................................................</t>
  </si>
  <si>
    <t xml:space="preserve">Selling, general and administrative expenses................</t>
  </si>
  <si>
    <t xml:space="preserve">Restructuring charges, asset impairments and (gains) losses on divestitures - Net</t>
  </si>
  <si>
    <t xml:space="preserve">Interest expense............................................</t>
  </si>
  <si>
    <t xml:space="preserve">Interest income.............................................</t>
  </si>
  <si>
    <t xml:space="preserve">Foreign exchange loss -- net................................</t>
  </si>
  <si>
    <t xml:space="preserve">INCOME BEFORE INCOME TAXES..................................</t>
  </si>
  <si>
    <t xml:space="preserve">Provision for income taxes..................................</t>
  </si>
  <si>
    <t xml:space="preserve">Net Income..................................................</t>
  </si>
  <si>
    <t xml:space="preserve">Preferred dividends -- net of tax...........................</t>
  </si>
  <si>
    <t xml:space="preserve">NET INCOME AVAILABLE FOR COMMON.............................</t>
  </si>
  <si>
    <t xml:space="preserve">PER COMMON SHARE:</t>
  </si>
  <si>
    <t xml:space="preserve">Net income................................................</t>
  </si>
  <si>
    <t xml:space="preserve">Net income -- diluted.....................................</t>
  </si>
  <si>
    <t xml:space="preserve">Dividends declared........................................</t>
  </si>
  <si>
    <t xml:space="preserve">Average Number of Common Shares Outstanding (in thousands)</t>
  </si>
  <si>
    <t xml:space="preserve">OAT COMMON-SIZE INCOME STATEMENT</t>
  </si>
  <si>
    <t xml:space="preserve">(% of total operating revenue)</t>
  </si>
  <si>
    <t xml:space="preserve">Multiples</t>
  </si>
  <si>
    <t xml:space="preserve">OAT</t>
  </si>
  <si>
    <t xml:space="preserve">Coke</t>
  </si>
  <si>
    <t xml:space="preserve">Pepsi</t>
  </si>
  <si>
    <t xml:space="preserve">Danon</t>
  </si>
  <si>
    <t xml:space="preserve">Kraft</t>
  </si>
  <si>
    <t xml:space="preserve">Kellog</t>
  </si>
  <si>
    <t xml:space="preserve">Price</t>
  </si>
  <si>
    <t xml:space="preserve">Common Shares Outstanding (millions)</t>
  </si>
  <si>
    <t xml:space="preserve">Price to Sales</t>
  </si>
  <si>
    <t xml:space="preserve">Price to EBITDA</t>
  </si>
  <si>
    <t xml:space="preserve">Price to Earnings</t>
  </si>
  <si>
    <t xml:space="preserve">Price to Earnings per share</t>
  </si>
  <si>
    <t xml:space="preserve">Price to Book Value per share</t>
  </si>
  <si>
    <t xml:space="preserve">Price to Free Cash Flow</t>
  </si>
  <si>
    <t xml:space="preserve">ASSETS</t>
  </si>
  <si>
    <t xml:space="preserve">CURRENT ASSETS:</t>
  </si>
  <si>
    <t xml:space="preserve">  Cash and cash equivalents.................................</t>
  </si>
  <si>
    <t xml:space="preserve">  Marketable securities.....................................</t>
  </si>
  <si>
    <t xml:space="preserve">  Trade accounts receivable -- net of allowances............</t>
  </si>
  <si>
    <t xml:space="preserve">  Inventories:</t>
  </si>
  <si>
    <t xml:space="preserve">Finished goods.........................................</t>
  </si>
  <si>
    <t xml:space="preserve">Raw materials..........................................</t>
  </si>
  <si>
    <t xml:space="preserve">Packaging materials and supplies.......................</t>
  </si>
  <si>
    <t xml:space="preserve">Total inventories....................................</t>
  </si>
  <si>
    <t xml:space="preserve">  Other current assets......................................</t>
  </si>
  <si>
    <t xml:space="preserve">TOTAL CURRENT ASSETS..............................</t>
  </si>
  <si>
    <t xml:space="preserve">PROPERTY, PLANT AND EQUIPMENT:</t>
  </si>
  <si>
    <t xml:space="preserve">  Land......................................................</t>
  </si>
  <si>
    <t xml:space="preserve">  Buildings and improvements................................</t>
  </si>
  <si>
    <t xml:space="preserve">  Machinery and equipment...................................</t>
  </si>
  <si>
    <t xml:space="preserve">  Property, plant and equipment.............................</t>
  </si>
  <si>
    <t xml:space="preserve">  Less: Accumulated depreciation............................</t>
  </si>
  <si>
    <t xml:space="preserve">PROPERTY -- NET........................................</t>
  </si>
  <si>
    <t xml:space="preserve">INTANGIBLE ASSETS -- NET OF AMORTIZATION....................</t>
  </si>
  <si>
    <t xml:space="preserve">OTHER ASSETS................................................</t>
  </si>
  <si>
    <t xml:space="preserve">TOTAL ASSETS......................................</t>
  </si>
  <si>
    <t xml:space="preserve">LIABILITIES AND SHAREHOLDERS' EQUITY</t>
  </si>
  <si>
    <t xml:space="preserve">CURRENT LIABILITIES:</t>
  </si>
  <si>
    <t xml:space="preserve">  Short-term debt...........................................</t>
  </si>
  <si>
    <t xml:space="preserve">  Current portion of long-term debt.........................</t>
  </si>
  <si>
    <t xml:space="preserve">  Trade accounts payable....................................</t>
  </si>
  <si>
    <t xml:space="preserve">  Accrued payroll, benefits and bonus.......................</t>
  </si>
  <si>
    <t xml:space="preserve">  Accrued advertising and merchandising.....................</t>
  </si>
  <si>
    <t xml:space="preserve">  Income taxes payable......................................</t>
  </si>
  <si>
    <t xml:space="preserve">  Other accrued liabilities.................................</t>
  </si>
  <si>
    <t xml:space="preserve">TOTAL CURRENT LIABILITIES.........................</t>
  </si>
  <si>
    <t xml:space="preserve">LONG-TERM DEBT..............................................</t>
  </si>
  <si>
    <t xml:space="preserve">OTHER LIABILITIES...........................................</t>
  </si>
  <si>
    <t xml:space="preserve">Deferred Income Taxes</t>
  </si>
  <si>
    <t xml:space="preserve">PREFERRED STOCK, SERIES B, no par value, authorized</t>
  </si>
  <si>
    <t xml:space="preserve">  1,750,000 shares; issued 1,282,051 of 5.46 cumulative</t>
  </si>
  <si>
    <t xml:space="preserve">  convertible shares (liquidating preference of 78 per share</t>
  </si>
  <si>
    <t xml:space="preserve">DEFERRED COMPENSATION.......................................</t>
  </si>
  <si>
    <t xml:space="preserve">TREASURY PREFERRED STOCK, at cost, 441,469 and 366,069</t>
  </si>
  <si>
    <t xml:space="preserve">  shares, respectively......................................</t>
  </si>
  <si>
    <t xml:space="preserve">COMMON SHAREHOLDERS' EQUITY:</t>
  </si>
  <si>
    <t xml:space="preserve">  Common stock, 5 par value, authorized 400 million</t>
  </si>
  <si>
    <t xml:space="preserve">shares.................................................</t>
  </si>
  <si>
    <t xml:space="preserve">  Additional paid-in capital................................</t>
  </si>
  <si>
    <t xml:space="preserve">  Reinvested earnings.......................................</t>
  </si>
  <si>
    <t xml:space="preserve">  Accumulated other comprehensive income (Cumulative translation adjustment)</t>
  </si>
  <si>
    <t xml:space="preserve">  Deferred compensation.....................................</t>
  </si>
  <si>
    <t xml:space="preserve">  Treasury common stock, at cost............................</t>
  </si>
  <si>
    <t xml:space="preserve">TOTAL COMMON SHAREHOLDERS' EQUITY....................</t>
  </si>
  <si>
    <t xml:space="preserve">TOTAL LIABILITIES AND SHAREHOLDERS' EQUITY........</t>
  </si>
  <si>
    <t xml:space="preserve">COMMON-SIZE BALANCE STATEMENT</t>
  </si>
  <si>
    <t xml:space="preserve">ASSUMPTIONS</t>
  </si>
  <si>
    <t xml:space="preserve">QUAKER OATS</t>
  </si>
  <si>
    <t xml:space="preserve">DISCOUNTED CASH FLOW ANALYSIS</t>
  </si>
  <si>
    <t xml:space="preserve">Actual</t>
  </si>
  <si>
    <t xml:space="preserve">Assumptions</t>
  </si>
  <si>
    <t xml:space="preserve">Forecast</t>
  </si>
  <si>
    <t xml:space="preserve">FISCAL YEAR ENDING</t>
  </si>
  <si>
    <t xml:space="preserve">Sales</t>
  </si>
  <si>
    <t xml:space="preserve">Operating expenses:</t>
  </si>
  <si>
    <t xml:space="preserve">   Cost of sales</t>
  </si>
  <si>
    <t xml:space="preserve">   Selling and administrative</t>
  </si>
  <si>
    <t xml:space="preserve">   Depreciation and amortization</t>
  </si>
  <si>
    <t xml:space="preserve">calc as % of beginning PPE</t>
  </si>
  <si>
    <t xml:space="preserve">   Goodwill amortization</t>
  </si>
  <si>
    <t xml:space="preserve">flat</t>
  </si>
  <si>
    <t xml:space="preserve">Operating income</t>
  </si>
  <si>
    <t xml:space="preserve">Interest expense</t>
  </si>
  <si>
    <t xml:space="preserve">Income before tax</t>
  </si>
  <si>
    <t xml:space="preserve">Provision for income taxes</t>
  </si>
  <si>
    <t xml:space="preserve">Net income</t>
  </si>
  <si>
    <t xml:space="preserve">Add: Int Exp (1-t)</t>
  </si>
  <si>
    <t xml:space="preserve">EBI (NOPLAT)</t>
  </si>
  <si>
    <t xml:space="preserve">Add: Depreciation</t>
  </si>
  <si>
    <t xml:space="preserve">      (Inc) Dec in other assets</t>
  </si>
  <si>
    <t xml:space="preserve">from B/S</t>
  </si>
  <si>
    <t xml:space="preserve">      Inc. (Dec.) in other liabilities</t>
  </si>
  <si>
    <t xml:space="preserve">      Inc. in deferred taxes</t>
  </si>
  <si>
    <t xml:space="preserve">WCFO (excl. int.)</t>
  </si>
  <si>
    <t xml:space="preserve">(Inc.) Dec. in A/R</t>
  </si>
  <si>
    <t xml:space="preserve">(Inc.) Dec. in Other C. Assets</t>
  </si>
  <si>
    <t xml:space="preserve">Inc. (Dec.) in A/P</t>
  </si>
  <si>
    <t xml:space="preserve">Inc. (Dec.) in Other Accruals</t>
  </si>
  <si>
    <t xml:space="preserve">CFO (excl. int.)</t>
  </si>
  <si>
    <t xml:space="preserve">Less: Capital Expenditures, net</t>
  </si>
  <si>
    <t xml:space="preserve">FCF (free cash flow)</t>
  </si>
  <si>
    <t xml:space="preserve">Terminal value (mult of EBITDA)</t>
  </si>
  <si>
    <t xml:space="preserve">Total free cash flow</t>
  </si>
  <si>
    <t xml:space="preserve">PV of total free cash flows</t>
  </si>
  <si>
    <t xml:space="preserve">Less: PV (debt)</t>
  </si>
  <si>
    <t xml:space="preserve">Plus: idle assets (liabs)</t>
  </si>
  <si>
    <t xml:space="preserve">PV of shareholders' equity (in millions)</t>
  </si>
  <si>
    <t xml:space="preserve">Shares outstanding</t>
  </si>
  <si>
    <t xml:space="preserve">Price per share</t>
  </si>
  <si>
    <t xml:space="preserve">Appendix 6</t>
  </si>
  <si>
    <t xml:space="preserve">Discounted Cash Flow Analysis</t>
  </si>
  <si>
    <t xml:space="preserve">Notes</t>
  </si>
  <si>
    <t xml:space="preserve">Cash and cash equivalents</t>
  </si>
  <si>
    <t xml:space="preserve">Receivables</t>
  </si>
  <si>
    <t xml:space="preserve">Inventories</t>
  </si>
  <si>
    <t xml:space="preserve">Deferred taxes</t>
  </si>
  <si>
    <t xml:space="preserve">Other current assets</t>
  </si>
  <si>
    <t xml:space="preserve">Total current assets</t>
  </si>
  <si>
    <t xml:space="preserve">Net PPE</t>
  </si>
  <si>
    <t xml:space="preserve">reduce by amort.</t>
  </si>
  <si>
    <t xml:space="preserve">Other assets</t>
  </si>
  <si>
    <t xml:space="preserve">TOTAL ASSETS</t>
  </si>
  <si>
    <t xml:space="preserve">Accounts payable</t>
  </si>
  <si>
    <t xml:space="preserve">Accrued liabilities</t>
  </si>
  <si>
    <t xml:space="preserve">Total Cur Liab (excl L/T Debt)</t>
  </si>
  <si>
    <t xml:space="preserve">Deferred income taxes</t>
  </si>
  <si>
    <t xml:space="preserve">Other noncurrent liabilities</t>
  </si>
  <si>
    <t xml:space="preserve">Capital lease obligations</t>
  </si>
  <si>
    <t xml:space="preserve">reduce bal by amort of 3 per pd.</t>
  </si>
  <si>
    <t xml:space="preserve">Debt (including S/T debt)</t>
  </si>
  <si>
    <t xml:space="preserve">% of total assets</t>
  </si>
  <si>
    <t xml:space="preserve">Total liabilities</t>
  </si>
  <si>
    <t xml:space="preserve">Shareholders' equity</t>
  </si>
  <si>
    <t xml:space="preserve">PLUG</t>
  </si>
  <si>
    <t xml:space="preserve">TOT LIAB &amp; NET WORTH</t>
  </si>
  <si>
    <t xml:space="preserve">Tax Rate</t>
  </si>
  <si>
    <t xml:space="preserve">Unreconciled Difference</t>
  </si>
  <si>
    <t xml:space="preserve">Free Cash Flow</t>
  </si>
  <si>
    <t xml:space="preserve">Deduct: Int. expense (net of tax)</t>
  </si>
  <si>
    <t xml:space="preserve">Debt*cost of debt*(1-t)</t>
  </si>
  <si>
    <t xml:space="preserve">Add: Increase in L/T debt</t>
  </si>
  <si>
    <t xml:space="preserve">Subtotal (net cash to Shrholdrs)</t>
  </si>
  <si>
    <t xml:space="preserve">(Dividend) or New Equity</t>
  </si>
  <si>
    <t xml:space="preserve">¯Cash per SCF</t>
  </si>
  <si>
    <t xml:space="preserve">¯Cash per B/S</t>
  </si>
  <si>
    <t xml:space="preserve">Net Income</t>
  </si>
  <si>
    <t xml:space="preserve">(EBI- Int. after tax)</t>
  </si>
  <si>
    <t xml:space="preserve">EBI</t>
  </si>
  <si>
    <t xml:space="preserve">Return on Beg. Equity</t>
  </si>
  <si>
    <t xml:space="preserve">(NI / Beg Sh. Eq)</t>
  </si>
  <si>
    <t xml:space="preserve">Profit Margin</t>
  </si>
  <si>
    <t xml:space="preserve">(EBI / Sales)</t>
  </si>
  <si>
    <t xml:space="preserve">Asset Turnover</t>
  </si>
  <si>
    <t xml:space="preserve">(Sales / Avg. TA)</t>
  </si>
  <si>
    <t xml:space="preserve">Leverage</t>
  </si>
  <si>
    <t xml:space="preserve">(Avg. TA / Avg. SE) x (NI / EBI)</t>
  </si>
  <si>
    <t xml:space="preserve">Return on Average Equity</t>
  </si>
  <si>
    <t xml:space="preserve">Return on Assets</t>
  </si>
  <si>
    <t xml:space="preserve">(EBI / Avg TA)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</si>
</sst>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[$-409]mmm\-yy"/>
    <numFmt numFmtId="166" formatCode="0%"/>
    <numFmt numFmtId="167" formatCode="0.0%"/>
    <numFmt numFmtId="168" formatCode="#,##0.0_);\(#,##0.0\)"/>
    <numFmt numFmtId="169" formatCode="[$-409]#,##0_);\(#,##0\)"/>
    <numFmt numFmtId="170" formatCode="\$#,##0.00_);&quot;($&quot;#,##0.00\)"/>
    <numFmt numFmtId="171" formatCode="#,##0"/>
    <numFmt numFmtId="172" formatCode="#,##0.000_);\(#,##0.000\)"/>
    <numFmt numFmtId="173" formatCode="\$#,##0.00_);[RED]&quot;($&quot;#,##0.00\)"/>
    <numFmt numFmtId="174" formatCode="#,##0.00"/>
    <numFmt numFmtId="175" formatCode="_(* #,##0.00_);_(* \(#,##0.00\);_(* \-??_);_(@_)"/>
    <numFmt numFmtId="176" formatCode="0.00%"/>
    <numFmt numFmtId="177" formatCode="[$-409]m/d/yyyy"/>
    <numFmt numFmtId="178" formatCode="0"/>
    <numFmt numFmtId="179" formatCode="\$#,##0_);[RED]&quot;($&quot;#,##0\)"/>
    <numFmt numFmtId="180" formatCode="_(* #,##0_);_(* \(#,##0\);_(* \-??_);_(@_)"/>
    <numFmt numFmtId="181" formatCode="#,##0.0000_);\(#,##0.0000\)"/>
    <numFmt numFmtId="182" formatCode="0.00"/>
    <numFmt numFmtId="183" formatCode="[$-409]#,##0.00_);\(#,##0.00\)"/>
    <numFmt numFmtId="184" formatCode="0_);\(0\)"/>
    <numFmt numFmtId="185" formatCode="_(\$* #,##0.00_);_(\$* \(#,##0.00\);_(\$* \-??_);_(@_)"/>
    <numFmt numFmtId="186" formatCode="_(\$* #,##0_);_(\$* \(#,##0\);_(\$* \-??_);_(@_)"/>
  </numFmts>
  <fonts count="18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u val="single"/>
      <sz val="10"/>
      <name val="Times New Roman"/>
      <family val="1"/>
    </font>
    <font>
      <sz val="8"/>
      <name val="Times New Roman"/>
      <family val="1"/>
    </font>
    <font>
      <sz val="10"/>
      <color rgb="FF000000"/>
      <name val="Times New Roman"/>
      <family val="1"/>
    </font>
    <font>
      <u val="single"/>
      <sz val="10"/>
      <color rgb="FF0000FF"/>
      <name val="Times New Roman"/>
      <family val="1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u val="single"/>
      <sz val="10"/>
      <name val="Times New Roman"/>
      <family val="1"/>
    </font>
    <font>
      <b val="true"/>
      <sz val="8"/>
      <name val="Times New Roman"/>
      <family val="1"/>
    </font>
    <font>
      <b val="true"/>
      <sz val="8"/>
      <name val="Times New Roman"/>
      <family val="0"/>
    </font>
    <font>
      <b val="true"/>
      <u val="single"/>
      <sz val="8"/>
      <name val="Times New Roman"/>
      <family val="1"/>
    </font>
    <font>
      <b val="true"/>
      <u val="single"/>
      <sz val="8"/>
      <name val="Times New Roman"/>
      <family val="0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6" fillId="3" borderId="6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6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5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4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4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4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8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4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4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4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4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4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4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5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2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7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7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nts%20and%20Settings/jdasovic/My%20Documents/MBA--Financial%20Information%20Analysis/Vons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Safeway"/>
      <sheetName val="Vons"/>
      <sheetName val="Cmn-Sized"/>
      <sheetName val="Additional Calculations"/>
      <sheetName val="DCF"/>
      <sheetName val="Trading Comps"/>
      <sheetName val="Deal Comps"/>
      <sheetName val="Purchase"/>
      <sheetName val="EPS Accretion"/>
    </sheetNames>
    <sheetDataSet>
      <sheetData sheetId="0"/>
      <sheetData sheetId="1"/>
      <sheetData sheetId="2">
        <row r="30">
          <cell r="B30">
            <v>738.4</v>
          </cell>
        </row>
      </sheetData>
      <sheetData sheetId="3"/>
      <sheetData sheetId="4"/>
      <sheetData sheetId="5"/>
      <sheetData sheetId="6"/>
      <sheetData sheetId="7"/>
      <sheetData sheetId="8">
        <row r="38">
          <cell r="N38">
            <v>0.362896570559708</v>
          </cell>
        </row>
      </sheetData>
      <sheetData sheetId="9"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5" min="5" style="0" width="11.99"/>
    <col collapsed="false" customWidth="true" hidden="false" outlineLevel="0" max="6" min="6" style="0" width="9.82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2.75" hidden="false" customHeight="false" outlineLevel="0" collapsed="false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customFormat="false" ht="12.75" hidden="false" customHeight="false" outlineLevel="0" collapsed="false">
      <c r="A3" s="5" t="s">
        <v>1</v>
      </c>
      <c r="B3" s="6"/>
      <c r="C3" s="6"/>
      <c r="D3" s="6"/>
      <c r="E3" s="6"/>
      <c r="F3" s="6"/>
      <c r="G3" s="6"/>
      <c r="H3" s="6" t="s">
        <v>2</v>
      </c>
      <c r="I3" s="6"/>
      <c r="J3" s="6"/>
      <c r="K3" s="7" t="n">
        <v>36861</v>
      </c>
      <c r="L3" s="8" t="n">
        <v>2000</v>
      </c>
    </row>
    <row r="4" customFormat="false" ht="12.75" hidden="false" customHeight="false" outlineLevel="0" collapsed="false">
      <c r="A4" s="5" t="s">
        <v>3</v>
      </c>
      <c r="B4" s="6"/>
      <c r="C4" s="6"/>
      <c r="D4" s="6"/>
      <c r="E4" s="6" t="s">
        <v>4</v>
      </c>
      <c r="F4" s="6"/>
      <c r="G4" s="6"/>
      <c r="H4" s="6" t="s">
        <v>5</v>
      </c>
      <c r="I4" s="6"/>
      <c r="J4" s="6"/>
      <c r="K4" s="8" t="s">
        <v>6</v>
      </c>
      <c r="L4" s="8"/>
    </row>
    <row r="5" customFormat="false" ht="12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9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9"/>
    </row>
    <row r="7" customFormat="false" ht="12.75" hidden="false" customHeight="false" outlineLevel="0" collapsed="false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</row>
    <row r="8" customFormat="false" ht="12.75" hidden="false" customHeight="false" outlineLevel="0" collapsed="false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customFormat="false" ht="12.75" hidden="false" customHeight="false" outlineLevel="0" collapsed="false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4"/>
    </row>
    <row r="10" customFormat="false" ht="12.75" hidden="false" customHeight="false" outlineLevel="0" collapsed="false">
      <c r="A10" s="5" t="s">
        <v>8</v>
      </c>
      <c r="B10" s="6"/>
      <c r="C10" s="6"/>
      <c r="D10" s="6"/>
      <c r="E10" s="13" t="n">
        <v>0.12</v>
      </c>
      <c r="F10" s="6"/>
      <c r="G10" s="6"/>
      <c r="H10" s="6" t="s">
        <v>9</v>
      </c>
      <c r="I10" s="6"/>
      <c r="J10" s="6"/>
      <c r="K10" s="6"/>
      <c r="L10" s="14" t="n">
        <f aca="false">'OAT DCF'!D17</f>
        <v>0.345672291780076</v>
      </c>
    </row>
    <row r="11" customFormat="false" ht="12.75" hidden="false" customHeight="false" outlineLevel="0" collapsed="false">
      <c r="A11" s="5" t="s">
        <v>10</v>
      </c>
      <c r="B11" s="6"/>
      <c r="C11" s="6"/>
      <c r="D11" s="6"/>
      <c r="E11" s="15" t="n">
        <v>7</v>
      </c>
      <c r="F11" s="6"/>
      <c r="G11" s="6"/>
      <c r="H11" s="6"/>
      <c r="I11" s="6"/>
      <c r="J11" s="6"/>
      <c r="K11" s="6"/>
      <c r="L11" s="9"/>
    </row>
    <row r="12" customFormat="false" ht="12.75" hidden="false" customHeight="false" outlineLevel="0" collapsed="false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9"/>
    </row>
    <row r="13" customFormat="false" ht="12.75" hidden="false" customHeight="false" outlineLevel="0" collapsed="false">
      <c r="A13" s="16" t="s">
        <v>11</v>
      </c>
      <c r="B13" s="17"/>
      <c r="C13" s="17"/>
      <c r="D13" s="17"/>
      <c r="E13" s="18"/>
      <c r="F13" s="6"/>
      <c r="G13" s="6"/>
      <c r="H13" s="6"/>
      <c r="I13" s="6"/>
      <c r="J13" s="6"/>
      <c r="K13" s="6"/>
      <c r="L13" s="9"/>
    </row>
    <row r="14" customFormat="false" ht="12.75" hidden="false" customHeight="false" outlineLevel="0" collapsed="false">
      <c r="A14" s="19" t="s">
        <v>12</v>
      </c>
      <c r="B14" s="20"/>
      <c r="C14" s="20"/>
      <c r="D14" s="20"/>
      <c r="E14" s="21" t="n">
        <f aca="false">'OAT DCF'!E36</f>
        <v>5774.57883192448</v>
      </c>
      <c r="F14" s="6"/>
      <c r="G14" s="6"/>
      <c r="H14" s="6"/>
      <c r="I14" s="6"/>
      <c r="J14" s="6"/>
      <c r="K14" s="6"/>
      <c r="L14" s="9"/>
    </row>
    <row r="15" customFormat="false" ht="12.75" hidden="false" customHeight="false" outlineLevel="0" collapsed="false">
      <c r="A15" s="22" t="s">
        <v>13</v>
      </c>
      <c r="B15" s="23"/>
      <c r="C15" s="23"/>
      <c r="D15" s="23"/>
      <c r="E15" s="24" t="n">
        <f aca="false">'OAT DCF'!E41</f>
        <v>37.7530930997133</v>
      </c>
      <c r="F15" s="11"/>
      <c r="G15" s="11"/>
      <c r="H15" s="11"/>
      <c r="I15" s="11"/>
      <c r="J15" s="11"/>
      <c r="K15" s="11"/>
      <c r="L15" s="12"/>
    </row>
    <row r="16" customFormat="false" ht="12.75" hidden="false" customHeight="false" outlineLevel="0" collapsed="false">
      <c r="A16" s="1" t="s">
        <v>14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customFormat="false" ht="12.75" hidden="false" customHeight="false" outlineLevel="0" collapsed="false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4"/>
    </row>
    <row r="18" customFormat="false" ht="12.75" hidden="false" customHeight="false" outlineLevel="0" collapsed="false">
      <c r="A18" s="25" t="s">
        <v>15</v>
      </c>
      <c r="B18" s="6"/>
      <c r="C18" s="6"/>
      <c r="D18" s="6"/>
      <c r="E18" s="6"/>
      <c r="F18" s="6"/>
      <c r="G18" s="26" t="n">
        <f aca="false">+K3+365</f>
        <v>37226</v>
      </c>
      <c r="H18" s="26" t="n">
        <f aca="false">+G18+365</f>
        <v>37591</v>
      </c>
      <c r="I18" s="26" t="n">
        <f aca="false">+H18+365</f>
        <v>37956</v>
      </c>
      <c r="J18" s="26" t="n">
        <f aca="false">+I18+370</f>
        <v>38326</v>
      </c>
      <c r="K18" s="26" t="n">
        <f aca="false">+J18+365</f>
        <v>38691</v>
      </c>
      <c r="L18" s="27" t="s">
        <v>16</v>
      </c>
    </row>
    <row r="19" customFormat="false" ht="12.75" hidden="false" customHeight="false" outlineLevel="0" collapsed="false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28"/>
    </row>
    <row r="20" customFormat="false" ht="12.75" hidden="false" customHeight="false" outlineLevel="0" collapsed="false">
      <c r="A20" s="5"/>
      <c r="B20" s="6"/>
      <c r="C20" s="6"/>
      <c r="D20" s="6"/>
      <c r="E20" s="6" t="n">
        <f aca="false">+E3</f>
        <v>0</v>
      </c>
      <c r="F20" s="6"/>
      <c r="G20" s="29" t="n">
        <v>0</v>
      </c>
      <c r="H20" s="29" t="n">
        <v>0</v>
      </c>
      <c r="I20" s="30"/>
      <c r="J20" s="30"/>
      <c r="K20" s="30"/>
      <c r="L20" s="31" t="n">
        <v>0</v>
      </c>
    </row>
    <row r="21" customFormat="false" ht="12.75" hidden="false" customHeight="false" outlineLevel="0" collapsed="false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9"/>
    </row>
    <row r="22" customFormat="false" ht="12.75" hidden="false" customHeight="false" outlineLevel="0" collapsed="false">
      <c r="A22" s="25" t="s">
        <v>17</v>
      </c>
      <c r="B22" s="6"/>
      <c r="C22" s="6"/>
      <c r="D22" s="6"/>
      <c r="E22" s="6" t="s">
        <v>18</v>
      </c>
      <c r="F22" s="6"/>
      <c r="G22" s="13" t="n">
        <v>0</v>
      </c>
      <c r="H22" s="13" t="n">
        <v>0</v>
      </c>
      <c r="I22" s="13" t="n">
        <v>0</v>
      </c>
      <c r="J22" s="13" t="n">
        <v>0</v>
      </c>
      <c r="K22" s="13" t="n">
        <v>0</v>
      </c>
      <c r="L22" s="9"/>
    </row>
    <row r="23" customFormat="false" ht="12.75" hidden="false" customHeight="false" outlineLevel="0" collapsed="false">
      <c r="A23" s="32" t="s">
        <v>19</v>
      </c>
      <c r="B23" s="6"/>
      <c r="C23" s="6"/>
      <c r="D23" s="6"/>
      <c r="E23" s="6" t="s">
        <v>20</v>
      </c>
      <c r="F23" s="6"/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9"/>
    </row>
    <row r="24" customFormat="false" ht="12.75" hidden="false" customHeight="false" outlineLevel="0" collapsed="false">
      <c r="A24" s="32"/>
      <c r="B24" s="6"/>
      <c r="C24" s="6"/>
      <c r="D24" s="6"/>
      <c r="E24" s="6"/>
      <c r="F24" s="6"/>
      <c r="G24" s="33"/>
      <c r="H24" s="33"/>
      <c r="I24" s="33"/>
      <c r="J24" s="33"/>
      <c r="K24" s="33"/>
      <c r="L24" s="9"/>
    </row>
    <row r="25" customFormat="false" ht="12.75" hidden="false" customHeight="false" outlineLevel="0" collapsed="false">
      <c r="A25" s="32"/>
      <c r="B25" s="6"/>
      <c r="C25" s="6"/>
      <c r="D25" s="6"/>
      <c r="E25" s="6" t="s">
        <v>21</v>
      </c>
      <c r="F25" s="34" t="s">
        <v>22</v>
      </c>
      <c r="G25" s="35" t="n">
        <f aca="false">+'[1]EPS Accretion'!G60</f>
        <v>0</v>
      </c>
      <c r="H25" s="36" t="n">
        <f aca="false">+'[1]EPS Accretion'!H60</f>
        <v>0</v>
      </c>
      <c r="I25" s="36" t="n">
        <f aca="false">+'[1]EPS Accretion'!I60</f>
        <v>0</v>
      </c>
      <c r="J25" s="36" t="n">
        <f aca="false">+'[1]EPS Accretion'!J60</f>
        <v>0</v>
      </c>
      <c r="K25" s="37" t="n">
        <f aca="false">+'[1]EPS Accretion'!K60</f>
        <v>0</v>
      </c>
      <c r="L25" s="9"/>
    </row>
    <row r="26" customFormat="false" ht="12.75" hidden="false" customHeight="false" outlineLevel="0" collapsed="false">
      <c r="A26" s="5"/>
      <c r="B26" s="6"/>
      <c r="C26" s="6"/>
      <c r="D26" s="6"/>
      <c r="E26" s="6"/>
      <c r="F26" s="34" t="s">
        <v>23</v>
      </c>
      <c r="G26" s="35" t="n">
        <f aca="false">+'[1]EPS Accretion'!G29</f>
        <v>0</v>
      </c>
      <c r="H26" s="36" t="n">
        <f aca="false">+'[1]EPS Accretion'!H29</f>
        <v>0</v>
      </c>
      <c r="I26" s="36" t="n">
        <f aca="false">+'[1]EPS Accretion'!I29</f>
        <v>0</v>
      </c>
      <c r="J26" s="36" t="n">
        <f aca="false">+'[1]EPS Accretion'!J29</f>
        <v>0</v>
      </c>
      <c r="K26" s="37" t="n">
        <f aca="false">+'[1]EPS Accretion'!K29</f>
        <v>0</v>
      </c>
      <c r="L26" s="9"/>
    </row>
    <row r="27" customFormat="false" ht="12.75" hidden="false" customHeight="false" outlineLevel="0" collapsed="false">
      <c r="A27" s="25" t="s">
        <v>24</v>
      </c>
      <c r="B27" s="6"/>
      <c r="C27" s="6"/>
      <c r="D27" s="6"/>
      <c r="E27" s="6"/>
      <c r="F27" s="6"/>
      <c r="G27" s="2" t="s">
        <v>25</v>
      </c>
      <c r="H27" s="3"/>
      <c r="I27" s="3"/>
      <c r="J27" s="3"/>
      <c r="K27" s="38"/>
      <c r="L27" s="4"/>
    </row>
    <row r="28" customFormat="false" ht="12.75" hidden="false" customHeight="false" outlineLevel="0" collapsed="false">
      <c r="A28" s="5"/>
      <c r="B28" s="6"/>
      <c r="C28" s="6"/>
      <c r="D28" s="6"/>
      <c r="E28" s="6"/>
      <c r="F28" s="6"/>
      <c r="G28" s="25" t="s">
        <v>26</v>
      </c>
      <c r="H28" s="6"/>
      <c r="I28" s="6"/>
      <c r="J28" s="6"/>
      <c r="K28" s="6"/>
      <c r="L28" s="9"/>
    </row>
    <row r="29" customFormat="false" ht="12.75" hidden="false" customHeight="false" outlineLevel="0" collapsed="false">
      <c r="A29" s="5"/>
      <c r="B29" s="6"/>
      <c r="C29" s="6"/>
      <c r="D29" s="6"/>
      <c r="E29" s="6"/>
      <c r="F29" s="6"/>
      <c r="G29" s="5"/>
      <c r="H29" s="6"/>
      <c r="I29" s="6"/>
      <c r="J29" s="6"/>
      <c r="K29" s="6"/>
      <c r="L29" s="9"/>
    </row>
    <row r="30" customFormat="false" ht="12.75" hidden="false" customHeight="false" outlineLevel="0" collapsed="false">
      <c r="A30" s="5" t="s">
        <v>27</v>
      </c>
      <c r="B30" s="6"/>
      <c r="C30" s="6"/>
      <c r="D30" s="6"/>
      <c r="E30" s="39" t="n">
        <v>131933000</v>
      </c>
      <c r="F30" s="6"/>
      <c r="G30" s="5" t="s">
        <v>28</v>
      </c>
      <c r="H30" s="6"/>
      <c r="I30" s="6"/>
      <c r="J30" s="6"/>
      <c r="K30" s="40" t="n">
        <v>28.8</v>
      </c>
      <c r="L30" s="9" t="s">
        <v>29</v>
      </c>
    </row>
    <row r="31" customFormat="false" ht="12.75" hidden="false" customHeight="false" outlineLevel="0" collapsed="false">
      <c r="A31" s="5" t="s">
        <v>30</v>
      </c>
      <c r="B31" s="6"/>
      <c r="C31" s="6"/>
      <c r="D31" s="6"/>
      <c r="E31" s="41" t="n">
        <v>232200000</v>
      </c>
      <c r="F31" s="6"/>
      <c r="G31" s="5" t="s">
        <v>31</v>
      </c>
      <c r="H31" s="6"/>
      <c r="I31" s="6"/>
      <c r="J31" s="6"/>
      <c r="K31" s="42" t="n">
        <v>0</v>
      </c>
      <c r="L31" s="9"/>
    </row>
    <row r="32" customFormat="false" ht="12.75" hidden="false" customHeight="false" outlineLevel="0" collapsed="false">
      <c r="A32" s="5"/>
      <c r="B32" s="6"/>
      <c r="C32" s="6"/>
      <c r="D32" s="6"/>
      <c r="E32" s="6"/>
      <c r="F32" s="6"/>
      <c r="G32" s="5" t="s">
        <v>32</v>
      </c>
      <c r="H32" s="6"/>
      <c r="I32" s="6"/>
      <c r="J32" s="6"/>
      <c r="K32" s="40" t="n">
        <f aca="false">+K30*K31</f>
        <v>0</v>
      </c>
      <c r="L32" s="9" t="s">
        <v>29</v>
      </c>
    </row>
    <row r="33" customFormat="false" ht="12.75" hidden="false" customHeight="false" outlineLevel="0" collapsed="false">
      <c r="A33" s="5" t="s">
        <v>33</v>
      </c>
      <c r="B33" s="6"/>
      <c r="C33" s="6"/>
      <c r="D33" s="6"/>
      <c r="E33" s="43" t="s">
        <v>34</v>
      </c>
      <c r="F33" s="6"/>
      <c r="G33" s="5"/>
      <c r="H33" s="6"/>
      <c r="I33" s="6"/>
      <c r="J33" s="6"/>
      <c r="K33" s="6"/>
      <c r="L33" s="9"/>
    </row>
    <row r="34" customFormat="false" ht="12.75" hidden="false" customHeight="false" outlineLevel="0" collapsed="false">
      <c r="A34" s="5" t="s">
        <v>35</v>
      </c>
      <c r="B34" s="6"/>
      <c r="C34" s="6"/>
      <c r="D34" s="6"/>
      <c r="E34" s="44" t="n">
        <v>0</v>
      </c>
      <c r="F34" s="6"/>
      <c r="G34" s="5" t="s">
        <v>36</v>
      </c>
      <c r="H34" s="6"/>
      <c r="I34" s="6"/>
      <c r="J34" s="6"/>
      <c r="K34" s="29" t="n">
        <v>0</v>
      </c>
      <c r="L34" s="9"/>
    </row>
    <row r="35" customFormat="false" ht="12.75" hidden="false" customHeight="false" outlineLevel="0" collapsed="false">
      <c r="A35" s="5"/>
      <c r="B35" s="6"/>
      <c r="C35" s="6"/>
      <c r="D35" s="6"/>
      <c r="E35" s="6"/>
      <c r="F35" s="6"/>
      <c r="G35" s="5"/>
      <c r="H35" s="6"/>
      <c r="I35" s="6"/>
      <c r="J35" s="6"/>
      <c r="K35" s="6"/>
      <c r="L35" s="9"/>
    </row>
    <row r="36" customFormat="false" ht="12.75" hidden="false" customHeight="false" outlineLevel="0" collapsed="false">
      <c r="A36" s="5" t="s">
        <v>37</v>
      </c>
      <c r="B36" s="6"/>
      <c r="C36" s="6"/>
      <c r="D36" s="6"/>
      <c r="E36" s="13" t="n">
        <v>0</v>
      </c>
      <c r="F36" s="6"/>
      <c r="G36" s="5" t="s">
        <v>38</v>
      </c>
      <c r="H36" s="6"/>
      <c r="I36" s="6"/>
      <c r="J36" s="6"/>
      <c r="K36" s="45" t="n">
        <f aca="false">+K32*K34</f>
        <v>0</v>
      </c>
      <c r="L36" s="9"/>
    </row>
    <row r="37" customFormat="false" ht="12.75" hidden="false" customHeight="false" outlineLevel="0" collapsed="false">
      <c r="A37" s="5" t="s">
        <v>39</v>
      </c>
      <c r="B37" s="6"/>
      <c r="C37" s="6"/>
      <c r="D37" s="6"/>
      <c r="E37" s="40" t="n">
        <v>34</v>
      </c>
      <c r="F37" s="6"/>
      <c r="G37" s="5" t="s">
        <v>40</v>
      </c>
      <c r="H37" s="6"/>
      <c r="I37" s="6"/>
      <c r="J37" s="6"/>
      <c r="K37" s="40" t="n">
        <f aca="false">IF(K36=0,0,286.4)</f>
        <v>0</v>
      </c>
      <c r="L37" s="9"/>
    </row>
    <row r="38" customFormat="false" ht="12.75" hidden="false" customHeight="false" outlineLevel="0" collapsed="false">
      <c r="A38" s="46" t="s">
        <v>41</v>
      </c>
      <c r="B38" s="3"/>
      <c r="C38" s="3"/>
      <c r="D38" s="47"/>
      <c r="E38" s="3"/>
      <c r="F38" s="4"/>
      <c r="G38" s="5" t="s">
        <v>42</v>
      </c>
      <c r="H38" s="6"/>
      <c r="I38" s="6"/>
      <c r="J38" s="6"/>
      <c r="K38" s="6"/>
      <c r="L38" s="9"/>
    </row>
    <row r="39" customFormat="false" ht="12.75" hidden="false" customHeight="false" outlineLevel="0" collapsed="false">
      <c r="A39" s="5" t="s">
        <v>36</v>
      </c>
      <c r="B39" s="6"/>
      <c r="C39" s="6"/>
      <c r="D39" s="48"/>
      <c r="E39" s="29" t="n">
        <v>0</v>
      </c>
      <c r="F39" s="9"/>
      <c r="G39" s="5" t="s">
        <v>43</v>
      </c>
      <c r="H39" s="6"/>
      <c r="I39" s="6"/>
      <c r="J39" s="6"/>
      <c r="K39" s="49" t="n">
        <f aca="false">IF(K36=0,0,102.9)</f>
        <v>0</v>
      </c>
      <c r="L39" s="9"/>
    </row>
    <row r="40" customFormat="false" ht="12.75" hidden="false" customHeight="false" outlineLevel="0" collapsed="false">
      <c r="A40" s="5" t="s">
        <v>44</v>
      </c>
      <c r="B40" s="6"/>
      <c r="C40" s="6"/>
      <c r="D40" s="48"/>
      <c r="E40" s="6"/>
      <c r="F40" s="9"/>
      <c r="G40" s="5" t="s">
        <v>45</v>
      </c>
      <c r="H40" s="6"/>
      <c r="I40" s="6"/>
      <c r="J40" s="6"/>
      <c r="K40" s="40" t="n">
        <f aca="false">SUM(K36:K39)</f>
        <v>0</v>
      </c>
      <c r="L40" s="9"/>
    </row>
    <row r="41" customFormat="false" ht="12.75" hidden="false" customHeight="false" outlineLevel="0" collapsed="false">
      <c r="A41" s="5" t="s">
        <v>46</v>
      </c>
      <c r="B41" s="6"/>
      <c r="C41" s="6"/>
      <c r="D41" s="48"/>
      <c r="E41" s="13" t="n">
        <v>0</v>
      </c>
      <c r="F41" s="9"/>
      <c r="G41" s="5" t="s">
        <v>47</v>
      </c>
      <c r="H41" s="6"/>
      <c r="I41" s="6"/>
      <c r="J41" s="6"/>
      <c r="K41" s="49" t="n">
        <f aca="false">IF(K36=0,0,+[1]Vons!B30)</f>
        <v>0</v>
      </c>
      <c r="L41" s="9"/>
    </row>
    <row r="42" customFormat="false" ht="12.75" hidden="false" customHeight="false" outlineLevel="0" collapsed="false">
      <c r="A42" s="5" t="s">
        <v>48</v>
      </c>
      <c r="B42" s="6"/>
      <c r="C42" s="6"/>
      <c r="D42" s="48"/>
      <c r="E42" s="15" t="n">
        <v>0</v>
      </c>
      <c r="F42" s="9"/>
      <c r="G42" s="5" t="s">
        <v>49</v>
      </c>
      <c r="H42" s="6"/>
      <c r="I42" s="6"/>
      <c r="J42" s="6"/>
      <c r="K42" s="40" t="n">
        <f aca="false">+K40-K41</f>
        <v>0</v>
      </c>
      <c r="L42" s="9"/>
    </row>
    <row r="43" customFormat="false" ht="12.75" hidden="false" customHeight="false" outlineLevel="0" collapsed="false">
      <c r="A43" s="5"/>
      <c r="B43" s="6"/>
      <c r="C43" s="6"/>
      <c r="D43" s="48"/>
      <c r="E43" s="6"/>
      <c r="F43" s="9"/>
      <c r="G43" s="5"/>
      <c r="H43" s="6"/>
      <c r="I43" s="6"/>
      <c r="J43" s="6"/>
      <c r="K43" s="6"/>
      <c r="L43" s="9"/>
    </row>
    <row r="44" customFormat="false" ht="12.75" hidden="false" customHeight="false" outlineLevel="0" collapsed="false">
      <c r="A44" s="10" t="s">
        <v>50</v>
      </c>
      <c r="B44" s="11"/>
      <c r="C44" s="11"/>
      <c r="D44" s="50"/>
      <c r="E44" s="51" t="n">
        <v>0</v>
      </c>
      <c r="F44" s="12"/>
      <c r="G44" s="5" t="s">
        <v>51</v>
      </c>
      <c r="H44" s="6"/>
      <c r="I44" s="6"/>
      <c r="J44" s="6"/>
      <c r="K44" s="6"/>
      <c r="L44" s="9"/>
    </row>
    <row r="45" customFormat="false" ht="12.75" hidden="false" customHeight="false" outlineLevel="0" collapsed="false">
      <c r="A45" s="52" t="s">
        <v>52</v>
      </c>
      <c r="B45" s="20"/>
      <c r="C45" s="53" t="s">
        <v>53</v>
      </c>
      <c r="D45" s="20"/>
      <c r="E45" s="20"/>
      <c r="F45" s="54" t="n">
        <v>43</v>
      </c>
      <c r="G45" s="5" t="s">
        <v>54</v>
      </c>
      <c r="H45" s="6"/>
      <c r="I45" s="6"/>
      <c r="J45" s="6"/>
      <c r="K45" s="40" t="n">
        <f aca="false">IF(K36=0,0,24.3)</f>
        <v>0</v>
      </c>
      <c r="L45" s="9"/>
    </row>
    <row r="46" customFormat="false" ht="12.75" hidden="false" customHeight="false" outlineLevel="0" collapsed="false">
      <c r="A46" s="19"/>
      <c r="B46" s="20"/>
      <c r="C46" s="53"/>
      <c r="D46" s="20"/>
      <c r="E46" s="20"/>
      <c r="F46" s="20"/>
      <c r="G46" s="5" t="s">
        <v>55</v>
      </c>
      <c r="H46" s="6"/>
      <c r="I46" s="6"/>
      <c r="J46" s="6"/>
      <c r="K46" s="40" t="n">
        <f aca="false">IF(K36=0,0,-9.8)</f>
        <v>0</v>
      </c>
      <c r="L46" s="9"/>
    </row>
    <row r="47" customFormat="false" ht="12.75" hidden="false" customHeight="false" outlineLevel="0" collapsed="false">
      <c r="A47" s="52" t="s">
        <v>56</v>
      </c>
      <c r="B47" s="20"/>
      <c r="C47" s="53" t="s">
        <v>57</v>
      </c>
      <c r="D47" s="20"/>
      <c r="E47" s="20"/>
      <c r="F47" s="54" t="n">
        <f aca="false">'OAT DCF'!E41</f>
        <v>37.7530930997133</v>
      </c>
      <c r="G47" s="5" t="s">
        <v>58</v>
      </c>
      <c r="H47" s="6"/>
      <c r="I47" s="6"/>
      <c r="J47" s="6"/>
      <c r="K47" s="40" t="n">
        <f aca="false">IF(K36=0,0,18.6)</f>
        <v>0</v>
      </c>
      <c r="L47" s="9"/>
    </row>
    <row r="48" customFormat="false" ht="12.75" hidden="false" customHeight="false" outlineLevel="0" collapsed="false">
      <c r="A48" s="19"/>
      <c r="B48" s="20"/>
      <c r="C48" s="53" t="s">
        <v>59</v>
      </c>
      <c r="D48" s="20"/>
      <c r="E48" s="20"/>
      <c r="F48" s="55" t="n">
        <f aca="false">'OAT DCF'!E36</f>
        <v>5774.57883192448</v>
      </c>
      <c r="G48" s="5" t="s">
        <v>60</v>
      </c>
      <c r="H48" s="6"/>
      <c r="I48" s="6"/>
      <c r="J48" s="6"/>
      <c r="K48" s="49" t="n">
        <f aca="false">IF(K36=0,0,20.1)</f>
        <v>0</v>
      </c>
      <c r="L48" s="9"/>
    </row>
    <row r="49" customFormat="false" ht="12.75" hidden="false" customHeight="false" outlineLevel="0" collapsed="false">
      <c r="A49" s="19"/>
      <c r="B49" s="20"/>
      <c r="C49" s="20"/>
      <c r="D49" s="20"/>
      <c r="E49" s="20"/>
      <c r="F49" s="20"/>
      <c r="G49" s="5"/>
      <c r="H49" s="6"/>
      <c r="I49" s="6"/>
      <c r="J49" s="6"/>
      <c r="K49" s="6"/>
      <c r="L49" s="9"/>
    </row>
    <row r="50" customFormat="false" ht="12.75" hidden="false" customHeight="false" outlineLevel="0" collapsed="false">
      <c r="A50" s="52" t="s">
        <v>61</v>
      </c>
      <c r="B50" s="20"/>
      <c r="C50" s="53" t="s">
        <v>62</v>
      </c>
      <c r="D50" s="20"/>
      <c r="E50" s="20"/>
      <c r="F50" s="55" t="n">
        <f aca="false">+K40</f>
        <v>0</v>
      </c>
      <c r="G50" s="5" t="s">
        <v>63</v>
      </c>
      <c r="H50" s="6"/>
      <c r="I50" s="6"/>
      <c r="J50" s="6"/>
      <c r="K50" s="40" t="n">
        <f aca="false">+K42-SUM(K45:K48)</f>
        <v>0</v>
      </c>
      <c r="L50" s="9"/>
    </row>
    <row r="51" customFormat="false" ht="12.75" hidden="false" customHeight="false" outlineLevel="0" collapsed="false">
      <c r="A51" s="19"/>
      <c r="B51" s="20"/>
      <c r="C51" s="53" t="s">
        <v>64</v>
      </c>
      <c r="D51" s="20"/>
      <c r="E51" s="20"/>
      <c r="F51" s="56" t="n">
        <f aca="false">+E30/1000000</f>
        <v>131.933</v>
      </c>
      <c r="G51" s="10"/>
      <c r="H51" s="6"/>
      <c r="I51" s="6"/>
      <c r="J51" s="6"/>
      <c r="K51" s="6"/>
      <c r="L51" s="9"/>
    </row>
    <row r="52" customFormat="false" ht="12.75" hidden="false" customHeight="false" outlineLevel="0" collapsed="false">
      <c r="A52" s="19"/>
      <c r="B52" s="20"/>
      <c r="C52" s="20"/>
      <c r="D52" s="20"/>
      <c r="E52" s="20"/>
      <c r="F52" s="54" t="n">
        <f aca="false">+F50/F51</f>
        <v>0</v>
      </c>
      <c r="G52" s="57"/>
      <c r="H52" s="58"/>
      <c r="I52" s="58"/>
      <c r="J52" s="58"/>
      <c r="K52" s="58"/>
      <c r="L52" s="59"/>
    </row>
    <row r="53" customFormat="false" ht="12.75" hidden="false" customHeight="false" outlineLevel="0" collapsed="false">
      <c r="A53" s="19"/>
      <c r="B53" s="20"/>
      <c r="C53" s="20"/>
      <c r="D53" s="20"/>
      <c r="E53" s="20"/>
      <c r="F53" s="20"/>
      <c r="G53" s="60"/>
      <c r="H53" s="20"/>
      <c r="I53" s="61"/>
      <c r="J53" s="61"/>
      <c r="K53" s="61"/>
      <c r="L53" s="62"/>
    </row>
    <row r="54" customFormat="false" ht="12.75" hidden="false" customHeight="false" outlineLevel="0" collapsed="false">
      <c r="A54" s="19"/>
      <c r="B54" s="53" t="s">
        <v>65</v>
      </c>
      <c r="C54" s="20"/>
      <c r="D54" s="20"/>
      <c r="E54" s="20"/>
      <c r="F54" s="56" t="n">
        <f aca="false">+K40-K37</f>
        <v>0</v>
      </c>
      <c r="G54" s="63" t="s">
        <v>66</v>
      </c>
      <c r="H54" s="20"/>
      <c r="I54" s="53" t="s">
        <v>67</v>
      </c>
      <c r="J54" s="20"/>
      <c r="K54" s="64"/>
      <c r="L54" s="65" t="n">
        <f aca="false">+[1]Purchase!N38</f>
        <v>0.362896570559708</v>
      </c>
    </row>
    <row r="55" customFormat="false" ht="12.75" hidden="false" customHeight="false" outlineLevel="0" collapsed="false">
      <c r="A55" s="52"/>
      <c r="B55" s="53" t="s">
        <v>68</v>
      </c>
      <c r="C55" s="53"/>
      <c r="D55" s="20"/>
      <c r="E55" s="20"/>
      <c r="F55" s="56" t="n">
        <f aca="false">+K30</f>
        <v>28.8</v>
      </c>
      <c r="G55" s="57"/>
      <c r="H55" s="64"/>
      <c r="I55" s="53" t="s">
        <v>69</v>
      </c>
      <c r="J55" s="20"/>
      <c r="K55" s="64"/>
      <c r="L55" s="65" t="n">
        <f aca="false">+'[1]EPS Accretion'!G60</f>
        <v>0</v>
      </c>
    </row>
    <row r="56" customFormat="false" ht="12.75" hidden="false" customHeight="false" outlineLevel="0" collapsed="false">
      <c r="A56" s="19"/>
      <c r="B56" s="20"/>
      <c r="C56" s="53"/>
      <c r="D56" s="20"/>
      <c r="E56" s="20"/>
      <c r="F56" s="54" t="n">
        <f aca="false">+F54/F55</f>
        <v>0</v>
      </c>
      <c r="G56" s="57"/>
      <c r="H56" s="64"/>
      <c r="I56" s="64"/>
      <c r="J56" s="64"/>
      <c r="K56" s="64"/>
      <c r="L56" s="66"/>
    </row>
    <row r="57" customFormat="false" ht="12.75" hidden="false" customHeight="false" outlineLevel="0" collapsed="false">
      <c r="A57" s="22"/>
      <c r="B57" s="23"/>
      <c r="C57" s="23"/>
      <c r="D57" s="23"/>
      <c r="E57" s="23"/>
      <c r="F57" s="23"/>
      <c r="G57" s="67"/>
      <c r="H57" s="68"/>
      <c r="I57" s="68"/>
      <c r="J57" s="68"/>
      <c r="K57" s="68"/>
      <c r="L57" s="69"/>
    </row>
  </sheetData>
  <mergeCells count="4">
    <mergeCell ref="A1:L1"/>
    <mergeCell ref="K4:L4"/>
    <mergeCell ref="A8:L8"/>
    <mergeCell ref="A16:L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2" min="2" style="0" width="56.16"/>
    <col collapsed="false" customWidth="true" hidden="false" outlineLevel="0" max="5" min="3" style="0" width="10.65"/>
    <col collapsed="false" customWidth="true" hidden="false" outlineLevel="0" max="6" min="6" style="0" width="11.49"/>
    <col collapsed="false" customWidth="true" hidden="false" outlineLevel="0" max="7" min="7" style="0" width="10.99"/>
    <col collapsed="false" customWidth="true" hidden="false" outlineLevel="0" max="8" min="8" style="0" width="11.49"/>
  </cols>
  <sheetData>
    <row r="1" customFormat="false" ht="12.75" hidden="false" customHeight="false" outlineLevel="0" collapsed="false">
      <c r="A1" s="70" t="s">
        <v>70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customFormat="false" ht="12.75" hidden="false" customHeight="false" outlineLevel="0" collapsed="false">
      <c r="A2" s="70" t="s">
        <v>71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customFormat="false" ht="12.75" hidden="false" customHeight="false" outlineLevel="0" collapsed="false">
      <c r="A3" s="70" t="s">
        <v>72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customFormat="false" ht="12.75" hidden="false" customHeight="false" outlineLevel="0" collapsed="false">
      <c r="A4" s="70"/>
      <c r="B4" s="70"/>
      <c r="C4" s="11" t="n">
        <v>2000</v>
      </c>
      <c r="D4" s="11" t="n">
        <v>1999</v>
      </c>
      <c r="E4" s="11" t="n">
        <v>1998</v>
      </c>
      <c r="F4" s="11" t="n">
        <v>1997</v>
      </c>
      <c r="G4" s="11" t="n">
        <v>1996</v>
      </c>
      <c r="H4" s="11" t="n">
        <v>1995</v>
      </c>
      <c r="I4" s="70"/>
      <c r="J4" s="70"/>
      <c r="K4" s="70"/>
      <c r="L4" s="70"/>
      <c r="M4" s="70"/>
      <c r="N4" s="70"/>
      <c r="O4" s="70"/>
    </row>
    <row r="5" customFormat="false" ht="12.75" hidden="false" customHeight="false" outlineLevel="0" collapsed="false">
      <c r="A5" s="70" t="s">
        <v>73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customFormat="false" ht="12.75" hidden="false" customHeight="false" outlineLevel="0" collapsed="false">
      <c r="A6" s="70" t="s">
        <v>74</v>
      </c>
      <c r="B6" s="70"/>
      <c r="C6" s="71" t="n">
        <v>360.6</v>
      </c>
      <c r="D6" s="71" t="n">
        <v>455</v>
      </c>
      <c r="E6" s="71" t="n">
        <v>284.5</v>
      </c>
      <c r="F6" s="71" t="n">
        <v>-930.9</v>
      </c>
      <c r="G6" s="71" t="n">
        <v>247.9</v>
      </c>
      <c r="H6" s="71" t="n">
        <v>724</v>
      </c>
      <c r="I6" s="70"/>
      <c r="J6" s="70"/>
      <c r="K6" s="70"/>
      <c r="L6" s="70"/>
      <c r="M6" s="70"/>
      <c r="N6" s="70"/>
      <c r="O6" s="70"/>
    </row>
    <row r="7" customFormat="false" ht="12.75" hidden="false" customHeight="false" outlineLevel="0" collapsed="false">
      <c r="A7" s="70" t="s">
        <v>75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customFormat="false" ht="12.75" hidden="false" customHeight="false" outlineLevel="0" collapsed="false">
      <c r="A8" s="70"/>
      <c r="B8" s="70" t="s">
        <v>76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customFormat="false" ht="12.75" hidden="false" customHeight="false" outlineLevel="0" collapsed="false">
      <c r="A9" s="70"/>
      <c r="B9" s="70" t="s">
        <v>77</v>
      </c>
      <c r="C9" s="70" t="n">
        <v>133</v>
      </c>
      <c r="D9" s="70" t="n">
        <v>123.8</v>
      </c>
      <c r="E9" s="70" t="n">
        <v>132.5</v>
      </c>
      <c r="F9" s="70" t="n">
        <v>161.4</v>
      </c>
      <c r="G9" s="70" t="n">
        <v>200.6</v>
      </c>
      <c r="H9" s="70" t="n">
        <v>204</v>
      </c>
      <c r="I9" s="70"/>
      <c r="J9" s="70"/>
      <c r="K9" s="70"/>
      <c r="L9" s="70"/>
      <c r="M9" s="70"/>
      <c r="N9" s="70"/>
      <c r="O9" s="70"/>
    </row>
    <row r="10" customFormat="false" ht="12.75" hidden="false" customHeight="false" outlineLevel="0" collapsed="false">
      <c r="A10" s="70"/>
      <c r="B10" s="70" t="s">
        <v>78</v>
      </c>
      <c r="C10" s="70" t="n">
        <v>19.8</v>
      </c>
      <c r="D10" s="70" t="n">
        <v>14.2</v>
      </c>
      <c r="E10" s="70" t="n">
        <v>-31.1</v>
      </c>
      <c r="F10" s="70" t="n">
        <v>-12</v>
      </c>
      <c r="G10" s="70" t="n">
        <v>14.3</v>
      </c>
      <c r="H10" s="70" t="n">
        <v>22.5</v>
      </c>
      <c r="I10" s="70"/>
      <c r="J10" s="70"/>
      <c r="K10" s="70"/>
      <c r="L10" s="70"/>
      <c r="M10" s="70"/>
      <c r="N10" s="70"/>
      <c r="O10" s="70"/>
    </row>
    <row r="11" customFormat="false" ht="12.75" hidden="false" customHeight="false" outlineLevel="0" collapsed="false">
      <c r="A11" s="70"/>
      <c r="B11" s="70" t="s">
        <v>79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customFormat="false" ht="12.75" hidden="false" customHeight="false" outlineLevel="0" collapsed="false">
      <c r="A12" s="70" t="s">
        <v>80</v>
      </c>
      <c r="B12" s="70"/>
      <c r="C12" s="70" t="n">
        <v>-3</v>
      </c>
      <c r="D12" s="70" t="n">
        <v>-4.5</v>
      </c>
      <c r="E12" s="70" t="n">
        <v>-26.7</v>
      </c>
      <c r="F12" s="72" t="n">
        <v>1151.4</v>
      </c>
      <c r="G12" s="70" t="n">
        <v>-81.8</v>
      </c>
      <c r="H12" s="70" t="n">
        <v>-694.6</v>
      </c>
      <c r="I12" s="70"/>
      <c r="J12" s="70"/>
      <c r="K12" s="70"/>
      <c r="L12" s="70"/>
      <c r="M12" s="70"/>
      <c r="N12" s="70"/>
      <c r="O12" s="70"/>
    </row>
    <row r="13" customFormat="false" ht="12.75" hidden="false" customHeight="false" outlineLevel="0" collapsed="false">
      <c r="A13" s="70"/>
      <c r="B13" s="70" t="s">
        <v>81</v>
      </c>
      <c r="C13" s="70" t="n">
        <v>65.2</v>
      </c>
      <c r="D13" s="70" t="n">
        <v>3.9</v>
      </c>
      <c r="E13" s="70" t="n">
        <v>89.7</v>
      </c>
      <c r="F13" s="70" t="n">
        <v>65.9</v>
      </c>
      <c r="G13" s="70" t="n">
        <v>23</v>
      </c>
      <c r="H13" s="70" t="n">
        <v>117.3</v>
      </c>
      <c r="I13" s="70"/>
      <c r="J13" s="70"/>
      <c r="K13" s="70"/>
      <c r="L13" s="70"/>
      <c r="M13" s="70"/>
      <c r="N13" s="70"/>
      <c r="O13" s="70"/>
    </row>
    <row r="14" customFormat="false" ht="12.75" hidden="false" customHeight="false" outlineLevel="0" collapsed="false">
      <c r="A14" s="70"/>
      <c r="B14" s="70" t="s">
        <v>82</v>
      </c>
      <c r="C14" s="70" t="n">
        <v>120.1</v>
      </c>
      <c r="D14" s="70" t="s">
        <v>83</v>
      </c>
      <c r="E14" s="70" t="n">
        <v>38.1</v>
      </c>
      <c r="F14" s="70" t="n">
        <v>39.8</v>
      </c>
      <c r="G14" s="70" t="s">
        <v>83</v>
      </c>
      <c r="H14" s="70" t="s">
        <v>83</v>
      </c>
      <c r="I14" s="70"/>
      <c r="J14" s="70"/>
      <c r="K14" s="70"/>
      <c r="L14" s="70"/>
      <c r="M14" s="70"/>
      <c r="N14" s="70"/>
      <c r="O14" s="70"/>
    </row>
    <row r="15" customFormat="false" ht="12.75" hidden="false" customHeight="false" outlineLevel="0" collapsed="false">
      <c r="A15" s="70"/>
      <c r="B15" s="70" t="s">
        <v>84</v>
      </c>
      <c r="C15" s="70" t="n">
        <v>6.9</v>
      </c>
      <c r="D15" s="70" t="n">
        <v>12.9</v>
      </c>
      <c r="E15" s="70" t="n">
        <v>11.9</v>
      </c>
      <c r="F15" s="70" t="n">
        <v>41.6</v>
      </c>
      <c r="G15" s="70" t="n">
        <v>29</v>
      </c>
      <c r="H15" s="70" t="n">
        <v>27.4</v>
      </c>
      <c r="I15" s="70"/>
      <c r="J15" s="70"/>
      <c r="K15" s="70"/>
      <c r="L15" s="70"/>
      <c r="M15" s="70"/>
      <c r="N15" s="70"/>
      <c r="O15" s="70"/>
    </row>
    <row r="16" customFormat="false" ht="12.75" hidden="false" customHeight="false" outlineLevel="0" collapsed="false">
      <c r="A16" s="70"/>
      <c r="B16" s="70" t="s">
        <v>85</v>
      </c>
      <c r="C16" s="70" t="n">
        <v>-50</v>
      </c>
      <c r="D16" s="70" t="n">
        <v>14.8</v>
      </c>
      <c r="E16" s="70" t="n">
        <v>5.6</v>
      </c>
      <c r="F16" s="70" t="n">
        <v>-61</v>
      </c>
      <c r="G16" s="70" t="n">
        <v>62.6</v>
      </c>
      <c r="H16" s="70" t="n">
        <v>43.7</v>
      </c>
      <c r="I16" s="70"/>
      <c r="J16" s="70"/>
      <c r="K16" s="70"/>
      <c r="L16" s="70"/>
      <c r="M16" s="70"/>
      <c r="N16" s="70"/>
      <c r="O16" s="70"/>
    </row>
    <row r="17" customFormat="false" ht="12.75" hidden="false" customHeight="false" outlineLevel="0" collapsed="false">
      <c r="A17" s="70"/>
      <c r="B17" s="70" t="s">
        <v>86</v>
      </c>
      <c r="C17" s="70" t="n">
        <v>-24.8</v>
      </c>
      <c r="D17" s="70" t="n">
        <v>-15.3</v>
      </c>
      <c r="E17" s="70" t="n">
        <v>-32.8</v>
      </c>
      <c r="F17" s="70" t="n">
        <v>-24.5</v>
      </c>
      <c r="G17" s="70" t="n">
        <v>19.6</v>
      </c>
      <c r="H17" s="70" t="n">
        <v>44.8</v>
      </c>
      <c r="I17" s="70"/>
      <c r="J17" s="70"/>
      <c r="K17" s="70"/>
      <c r="L17" s="70"/>
      <c r="M17" s="70"/>
      <c r="N17" s="70"/>
      <c r="O17" s="70"/>
    </row>
    <row r="18" customFormat="false" ht="12.75" hidden="false" customHeight="false" outlineLevel="0" collapsed="false">
      <c r="A18" s="70"/>
      <c r="B18" s="70" t="s">
        <v>87</v>
      </c>
      <c r="C18" s="70" t="n">
        <v>-63.2</v>
      </c>
      <c r="D18" s="70" t="n">
        <v>20.3</v>
      </c>
      <c r="E18" s="70" t="n">
        <v>-15.1</v>
      </c>
      <c r="F18" s="70" t="n">
        <v>-11.6</v>
      </c>
      <c r="G18" s="70" t="n">
        <v>65.1</v>
      </c>
      <c r="H18" s="70" t="n">
        <v>-76</v>
      </c>
      <c r="I18" s="70"/>
      <c r="J18" s="70"/>
      <c r="K18" s="70"/>
      <c r="L18" s="70"/>
      <c r="M18" s="70"/>
      <c r="N18" s="70"/>
      <c r="O18" s="70"/>
    </row>
    <row r="19" customFormat="false" ht="12.75" hidden="false" customHeight="false" outlineLevel="0" collapsed="false">
      <c r="A19" s="70"/>
      <c r="B19" s="70" t="s">
        <v>88</v>
      </c>
      <c r="C19" s="70" t="n">
        <v>2</v>
      </c>
      <c r="D19" s="70" t="n">
        <v>49.7</v>
      </c>
      <c r="E19" s="70" t="n">
        <v>-20</v>
      </c>
      <c r="F19" s="70" t="n">
        <v>-3.2</v>
      </c>
      <c r="G19" s="70" t="n">
        <v>-53.7</v>
      </c>
      <c r="H19" s="70" t="n">
        <v>49.8</v>
      </c>
      <c r="I19" s="70"/>
      <c r="J19" s="70"/>
      <c r="K19" s="70"/>
      <c r="L19" s="70"/>
      <c r="M19" s="70"/>
      <c r="N19" s="70"/>
      <c r="O19" s="70"/>
    </row>
    <row r="20" customFormat="false" ht="12.75" hidden="false" customHeight="false" outlineLevel="0" collapsed="false">
      <c r="A20" s="70"/>
      <c r="B20" s="70" t="s">
        <v>89</v>
      </c>
      <c r="C20" s="70" t="n">
        <v>-102.9</v>
      </c>
      <c r="D20" s="70" t="n">
        <v>-107.1</v>
      </c>
      <c r="E20" s="70" t="n">
        <v>21.3</v>
      </c>
      <c r="F20" s="70" t="n">
        <v>9.8</v>
      </c>
      <c r="G20" s="70" t="n">
        <v>-164.2</v>
      </c>
      <c r="H20" s="70" t="n">
        <v>-117</v>
      </c>
      <c r="I20" s="70"/>
      <c r="J20" s="70"/>
      <c r="K20" s="70"/>
      <c r="L20" s="70"/>
      <c r="M20" s="70"/>
      <c r="N20" s="70"/>
      <c r="O20" s="70"/>
    </row>
    <row r="21" customFormat="false" ht="12.75" hidden="false" customHeight="false" outlineLevel="0" collapsed="false">
      <c r="A21" s="70"/>
      <c r="B21" s="70" t="s">
        <v>90</v>
      </c>
      <c r="C21" s="70" t="n">
        <v>35.6</v>
      </c>
      <c r="D21" s="70" t="n">
        <v>32</v>
      </c>
      <c r="E21" s="70" t="n">
        <v>32.2</v>
      </c>
      <c r="F21" s="70" t="n">
        <v>20.1</v>
      </c>
      <c r="G21" s="70" t="n">
        <v>21.5</v>
      </c>
      <c r="H21" s="70" t="n">
        <v>21.4</v>
      </c>
      <c r="I21" s="70"/>
      <c r="J21" s="70"/>
      <c r="K21" s="70"/>
      <c r="L21" s="70"/>
      <c r="M21" s="70"/>
      <c r="N21" s="70"/>
      <c r="O21" s="70"/>
    </row>
    <row r="22" customFormat="false" ht="12.75" hidden="false" customHeight="false" outlineLevel="0" collapsed="false">
      <c r="A22" s="70"/>
      <c r="B22" s="70" t="s">
        <v>91</v>
      </c>
      <c r="C22" s="70" t="n">
        <v>45</v>
      </c>
      <c r="D22" s="70" t="n">
        <v>22.8</v>
      </c>
      <c r="E22" s="70" t="n">
        <v>34.2</v>
      </c>
      <c r="F22" s="70"/>
      <c r="G22" s="70"/>
      <c r="H22" s="70"/>
      <c r="I22" s="70"/>
      <c r="J22" s="70"/>
      <c r="K22" s="70"/>
      <c r="L22" s="70"/>
      <c r="M22" s="70"/>
      <c r="N22" s="70"/>
      <c r="O22" s="70"/>
    </row>
    <row r="23" customFormat="false" ht="12.75" hidden="false" customHeight="false" outlineLevel="0" collapsed="false">
      <c r="A23" s="70"/>
      <c r="B23" s="70" t="s">
        <v>92</v>
      </c>
      <c r="C23" s="70" t="n">
        <v>-21.8</v>
      </c>
      <c r="D23" s="70" t="n">
        <v>8.6</v>
      </c>
      <c r="E23" s="70" t="n">
        <v>-10.8</v>
      </c>
      <c r="F23" s="70" t="n">
        <v>43.2</v>
      </c>
      <c r="G23" s="70" t="n">
        <v>26.5</v>
      </c>
      <c r="H23" s="70" t="n">
        <v>39.8</v>
      </c>
      <c r="I23" s="70"/>
      <c r="J23" s="70"/>
      <c r="K23" s="70"/>
      <c r="L23" s="70"/>
      <c r="M23" s="70"/>
      <c r="N23" s="70"/>
      <c r="O23" s="70"/>
    </row>
    <row r="24" customFormat="false" ht="12.75" hidden="false" customHeight="false" outlineLevel="0" collapsed="false">
      <c r="A24" s="70" t="s">
        <v>93</v>
      </c>
      <c r="B24" s="70"/>
      <c r="C24" s="70" t="n">
        <v>522.5</v>
      </c>
      <c r="D24" s="70" t="n">
        <v>631.1</v>
      </c>
      <c r="E24" s="70" t="n">
        <v>513.5</v>
      </c>
      <c r="F24" s="70" t="n">
        <v>490</v>
      </c>
      <c r="G24" s="70" t="n">
        <v>410.4</v>
      </c>
      <c r="H24" s="70" t="n">
        <v>407.1</v>
      </c>
      <c r="I24" s="70"/>
      <c r="J24" s="70"/>
      <c r="K24" s="70"/>
      <c r="L24" s="70"/>
      <c r="M24" s="70"/>
      <c r="N24" s="70"/>
      <c r="O24" s="70"/>
    </row>
    <row r="25" customFormat="false" ht="12.75" hidden="false" customHeight="false" outlineLevel="0" collapsed="false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</row>
    <row r="26" customFormat="false" ht="12.75" hidden="false" customHeight="false" outlineLevel="0" collapsed="false">
      <c r="A26" s="70" t="s">
        <v>94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</row>
    <row r="27" customFormat="false" ht="12.75" hidden="false" customHeight="false" outlineLevel="0" collapsed="false">
      <c r="A27" s="70"/>
      <c r="B27" s="70" t="s">
        <v>95</v>
      </c>
      <c r="C27" s="70" t="n">
        <v>-414.1</v>
      </c>
      <c r="D27" s="70" t="n">
        <v>-185.1</v>
      </c>
      <c r="E27" s="70" t="n">
        <v>-165.5</v>
      </c>
      <c r="F27" s="70"/>
      <c r="G27" s="70"/>
      <c r="H27" s="70"/>
      <c r="I27" s="70"/>
      <c r="J27" s="70"/>
      <c r="K27" s="70"/>
      <c r="L27" s="70"/>
      <c r="M27" s="70"/>
      <c r="N27" s="70"/>
      <c r="O27" s="70"/>
    </row>
    <row r="28" customFormat="false" ht="12.75" hidden="false" customHeight="false" outlineLevel="0" collapsed="false">
      <c r="A28" s="70"/>
      <c r="B28" s="70" t="s">
        <v>96</v>
      </c>
      <c r="C28" s="70" t="n">
        <v>418.8</v>
      </c>
      <c r="D28" s="70" t="n">
        <v>219</v>
      </c>
      <c r="E28" s="70" t="n">
        <v>143.1</v>
      </c>
      <c r="F28" s="70"/>
      <c r="G28" s="70"/>
      <c r="H28" s="70"/>
      <c r="I28" s="70"/>
      <c r="J28" s="70"/>
      <c r="K28" s="70"/>
      <c r="L28" s="70"/>
      <c r="M28" s="70"/>
      <c r="N28" s="70"/>
      <c r="O28" s="70"/>
    </row>
    <row r="29" customFormat="false" ht="12.75" hidden="false" customHeight="false" outlineLevel="0" collapsed="false">
      <c r="A29" s="70"/>
      <c r="B29" s="70" t="s">
        <v>97</v>
      </c>
      <c r="C29" s="70"/>
      <c r="D29" s="70"/>
      <c r="E29" s="70"/>
      <c r="F29" s="70" t="s">
        <v>83</v>
      </c>
      <c r="G29" s="70" t="s">
        <v>83</v>
      </c>
      <c r="H29" s="70" t="n">
        <v>-57.3</v>
      </c>
      <c r="I29" s="70"/>
      <c r="J29" s="70"/>
      <c r="K29" s="70"/>
      <c r="L29" s="70"/>
      <c r="M29" s="70"/>
      <c r="N29" s="70"/>
      <c r="O29" s="70"/>
    </row>
    <row r="30" customFormat="false" ht="12.75" hidden="false" customHeight="false" outlineLevel="0" collapsed="false">
      <c r="A30" s="70"/>
      <c r="B30" s="70" t="s">
        <v>98</v>
      </c>
      <c r="C30" s="70" t="s">
        <v>83</v>
      </c>
      <c r="D30" s="70" t="n">
        <v>14.3</v>
      </c>
      <c r="E30" s="70" t="n">
        <v>265.9</v>
      </c>
      <c r="F30" s="70" t="n">
        <v>300</v>
      </c>
      <c r="G30" s="70" t="n">
        <v>174.4</v>
      </c>
      <c r="H30" s="72" t="n">
        <v>1278.7</v>
      </c>
      <c r="I30" s="70"/>
      <c r="J30" s="70"/>
      <c r="K30" s="70"/>
      <c r="L30" s="70"/>
      <c r="M30" s="70"/>
      <c r="N30" s="70"/>
      <c r="O30" s="70"/>
    </row>
    <row r="31" customFormat="false" ht="12.75" hidden="false" customHeight="false" outlineLevel="0" collapsed="false">
      <c r="A31" s="70"/>
      <c r="B31" s="70" t="s">
        <v>99</v>
      </c>
      <c r="C31" s="70" t="n">
        <v>-285.6</v>
      </c>
      <c r="D31" s="70" t="n">
        <v>-222.4</v>
      </c>
      <c r="E31" s="70" t="n">
        <v>-204.7</v>
      </c>
      <c r="F31" s="70" t="n">
        <v>-215.7</v>
      </c>
      <c r="G31" s="70" t="n">
        <v>-242.7</v>
      </c>
      <c r="H31" s="70" t="n">
        <v>-301.2</v>
      </c>
      <c r="I31" s="70"/>
      <c r="J31" s="70"/>
      <c r="K31" s="70"/>
      <c r="L31" s="70"/>
      <c r="M31" s="70"/>
      <c r="N31" s="70"/>
      <c r="O31" s="70"/>
    </row>
    <row r="32" customFormat="false" ht="12.75" hidden="false" customHeight="false" outlineLevel="0" collapsed="false">
      <c r="A32" s="70"/>
      <c r="B32" s="70" t="s">
        <v>100</v>
      </c>
      <c r="C32" s="70" t="n">
        <v>6.4</v>
      </c>
      <c r="D32" s="70" t="n">
        <v>13.8</v>
      </c>
      <c r="E32" s="70" t="n">
        <v>7.7</v>
      </c>
      <c r="F32" s="70"/>
      <c r="G32" s="70"/>
      <c r="H32" s="70"/>
      <c r="I32" s="70"/>
      <c r="J32" s="70"/>
      <c r="K32" s="70"/>
      <c r="L32" s="70"/>
      <c r="M32" s="70"/>
      <c r="N32" s="70"/>
      <c r="O32" s="70"/>
    </row>
    <row r="33" customFormat="false" ht="12.75" hidden="false" customHeight="false" outlineLevel="0" collapsed="false">
      <c r="A33" s="70"/>
      <c r="B33" s="70" t="s">
        <v>101</v>
      </c>
      <c r="C33" s="70" t="s">
        <v>83</v>
      </c>
      <c r="D33" s="70" t="s">
        <v>83</v>
      </c>
      <c r="E33" s="70" t="n">
        <v>240</v>
      </c>
      <c r="F33" s="70"/>
      <c r="G33" s="70"/>
      <c r="H33" s="70"/>
      <c r="I33" s="70"/>
      <c r="J33" s="70"/>
      <c r="K33" s="70"/>
      <c r="L33" s="70"/>
      <c r="M33" s="70"/>
      <c r="N33" s="70"/>
      <c r="O33" s="70"/>
    </row>
    <row r="34" customFormat="false" ht="12.75" hidden="false" customHeight="false" outlineLevel="0" collapsed="false">
      <c r="A34" s="70"/>
      <c r="B34" s="70" t="s">
        <v>102</v>
      </c>
      <c r="C34" s="70"/>
      <c r="D34" s="70"/>
      <c r="E34" s="70"/>
      <c r="F34" s="70" t="s">
        <v>83</v>
      </c>
      <c r="G34" s="70" t="n">
        <v>0.2</v>
      </c>
      <c r="H34" s="70" t="n">
        <v>4.2</v>
      </c>
      <c r="I34" s="70"/>
      <c r="J34" s="70"/>
      <c r="K34" s="70"/>
      <c r="L34" s="70"/>
      <c r="M34" s="70"/>
      <c r="N34" s="70"/>
      <c r="O34" s="70"/>
    </row>
    <row r="35" customFormat="false" ht="12.75" hidden="false" customHeight="false" outlineLevel="0" collapsed="false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</row>
    <row r="36" customFormat="false" ht="12.75" hidden="false" customHeight="false" outlineLevel="0" collapsed="false">
      <c r="A36" s="70" t="s">
        <v>103</v>
      </c>
      <c r="B36" s="70"/>
      <c r="C36" s="70" t="n">
        <v>-274.5</v>
      </c>
      <c r="D36" s="70" t="n">
        <v>-160.4</v>
      </c>
      <c r="E36" s="70" t="n">
        <v>286.5</v>
      </c>
      <c r="F36" s="70" t="n">
        <v>84.3</v>
      </c>
      <c r="G36" s="70" t="n">
        <v>-68.1</v>
      </c>
      <c r="H36" s="70" t="n">
        <v>924.4</v>
      </c>
      <c r="I36" s="70"/>
      <c r="J36" s="70"/>
      <c r="K36" s="70"/>
      <c r="L36" s="70"/>
      <c r="M36" s="70"/>
      <c r="N36" s="70"/>
      <c r="O36" s="70"/>
    </row>
    <row r="37" customFormat="false" ht="12.75" hidden="false" customHeight="false" outlineLevel="0" collapsed="false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</row>
    <row r="38" customFormat="false" ht="12.75" hidden="false" customHeight="false" outlineLevel="0" collapsed="false">
      <c r="A38" s="70" t="s">
        <v>104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</row>
    <row r="39" customFormat="false" ht="12.75" hidden="false" customHeight="false" outlineLevel="0" collapsed="false">
      <c r="A39" s="70"/>
      <c r="B39" s="70" t="s">
        <v>105</v>
      </c>
      <c r="C39" s="70" t="n">
        <v>-153.5</v>
      </c>
      <c r="D39" s="70" t="n">
        <v>-156.2</v>
      </c>
      <c r="E39" s="70" t="n">
        <v>-159.7</v>
      </c>
      <c r="F39" s="70" t="n">
        <v>-159.4</v>
      </c>
      <c r="G39" s="70" t="n">
        <v>-157</v>
      </c>
      <c r="H39" s="70" t="n">
        <v>-154.8</v>
      </c>
      <c r="I39" s="70"/>
      <c r="J39" s="70"/>
      <c r="K39" s="70"/>
      <c r="L39" s="70"/>
      <c r="M39" s="70"/>
      <c r="N39" s="70"/>
      <c r="O39" s="70"/>
    </row>
    <row r="40" customFormat="false" ht="12.75" hidden="false" customHeight="false" outlineLevel="0" collapsed="false">
      <c r="A40" s="70"/>
      <c r="B40" s="70" t="s">
        <v>106</v>
      </c>
      <c r="C40" s="70" t="n">
        <v>10.1</v>
      </c>
      <c r="D40" s="70" t="n">
        <v>34.2</v>
      </c>
      <c r="E40" s="70" t="n">
        <v>-17.2</v>
      </c>
      <c r="F40" s="70" t="n">
        <v>-452.9</v>
      </c>
      <c r="G40" s="70" t="n">
        <v>-124.5</v>
      </c>
      <c r="H40" s="72" t="n">
        <v>-1243.5</v>
      </c>
      <c r="I40" s="70"/>
      <c r="J40" s="70"/>
      <c r="K40" s="70"/>
      <c r="L40" s="70"/>
      <c r="M40" s="70"/>
      <c r="N40" s="70"/>
      <c r="O40" s="70"/>
    </row>
    <row r="41" customFormat="false" ht="12.75" hidden="false" customHeight="false" outlineLevel="0" collapsed="false">
      <c r="A41" s="70"/>
      <c r="B41" s="70" t="s">
        <v>107</v>
      </c>
      <c r="C41" s="70" t="n">
        <v>1.5</v>
      </c>
      <c r="D41" s="70" t="n">
        <v>1.2</v>
      </c>
      <c r="E41" s="70" t="n">
        <v>1.9</v>
      </c>
      <c r="F41" s="70" t="n">
        <v>8.3</v>
      </c>
      <c r="G41" s="70" t="n">
        <v>2.4</v>
      </c>
      <c r="H41" s="70" t="n">
        <v>212.6</v>
      </c>
      <c r="I41" s="70"/>
      <c r="J41" s="70"/>
      <c r="K41" s="70"/>
      <c r="L41" s="70"/>
      <c r="M41" s="70"/>
      <c r="N41" s="70"/>
      <c r="O41" s="70"/>
    </row>
    <row r="42" customFormat="false" ht="12.75" hidden="false" customHeight="false" outlineLevel="0" collapsed="false">
      <c r="A42" s="70"/>
      <c r="B42" s="70" t="s">
        <v>108</v>
      </c>
      <c r="C42" s="70" t="n">
        <v>-86.6</v>
      </c>
      <c r="D42" s="70" t="n">
        <v>-95.8</v>
      </c>
      <c r="E42" s="70" t="n">
        <v>-108.7</v>
      </c>
      <c r="F42" s="70" t="n">
        <v>-54.4</v>
      </c>
      <c r="G42" s="70" t="n">
        <v>-77.7</v>
      </c>
      <c r="H42" s="70" t="n">
        <v>-60</v>
      </c>
      <c r="I42" s="70"/>
      <c r="J42" s="70"/>
      <c r="K42" s="70"/>
      <c r="L42" s="70"/>
      <c r="M42" s="70"/>
      <c r="N42" s="70"/>
      <c r="O42" s="70"/>
    </row>
    <row r="43" customFormat="false" ht="12.75" hidden="false" customHeight="false" outlineLevel="0" collapsed="false">
      <c r="A43" s="70"/>
      <c r="B43" s="70" t="s">
        <v>109</v>
      </c>
      <c r="C43" s="70"/>
      <c r="D43" s="70"/>
      <c r="E43" s="70"/>
      <c r="F43" s="70" t="s">
        <v>83</v>
      </c>
      <c r="G43" s="70" t="s">
        <v>83</v>
      </c>
      <c r="H43" s="70" t="n">
        <v>-112</v>
      </c>
      <c r="I43" s="70"/>
      <c r="J43" s="70"/>
      <c r="K43" s="70"/>
      <c r="L43" s="70"/>
      <c r="M43" s="70"/>
      <c r="N43" s="70"/>
      <c r="O43" s="70"/>
    </row>
    <row r="44" customFormat="false" ht="12.75" hidden="false" customHeight="false" outlineLevel="0" collapsed="false">
      <c r="A44" s="70"/>
      <c r="B44" s="70" t="s">
        <v>110</v>
      </c>
      <c r="C44" s="70" t="n">
        <v>131.1</v>
      </c>
      <c r="D44" s="70" t="n">
        <v>82.6</v>
      </c>
      <c r="E44" s="70" t="n">
        <v>112</v>
      </c>
      <c r="F44" s="70" t="n">
        <v>121.2</v>
      </c>
      <c r="G44" s="70" t="n">
        <v>31</v>
      </c>
      <c r="H44" s="70" t="n">
        <v>20.4</v>
      </c>
      <c r="I44" s="70"/>
      <c r="J44" s="70"/>
      <c r="K44" s="70"/>
      <c r="L44" s="70"/>
      <c r="M44" s="70"/>
      <c r="N44" s="70"/>
      <c r="O44" s="70"/>
    </row>
    <row r="45" customFormat="false" ht="12.75" hidden="false" customHeight="false" outlineLevel="0" collapsed="false">
      <c r="A45" s="70"/>
      <c r="B45" s="70" t="s">
        <v>111</v>
      </c>
      <c r="C45" s="70" t="n">
        <v>-242</v>
      </c>
      <c r="D45" s="70" t="n">
        <v>-373.2</v>
      </c>
      <c r="E45" s="70" t="n">
        <v>-377.3</v>
      </c>
      <c r="F45" s="70" t="n">
        <v>-50</v>
      </c>
      <c r="G45" s="70" t="s">
        <v>83</v>
      </c>
      <c r="H45" s="70" t="s">
        <v>83</v>
      </c>
      <c r="I45" s="70"/>
      <c r="J45" s="70"/>
      <c r="K45" s="70"/>
      <c r="L45" s="70"/>
      <c r="M45" s="70"/>
      <c r="N45" s="70"/>
      <c r="O45" s="70"/>
    </row>
    <row r="46" customFormat="false" ht="12.75" hidden="false" customHeight="false" outlineLevel="0" collapsed="false">
      <c r="A46" s="70"/>
      <c r="B46" s="70" t="s">
        <v>112</v>
      </c>
      <c r="C46" s="70" t="n">
        <v>-12.2</v>
      </c>
      <c r="D46" s="70" t="n">
        <v>-9.1</v>
      </c>
      <c r="E46" s="70" t="n">
        <v>-7.6</v>
      </c>
      <c r="F46" s="70" t="n">
        <v>-6.2</v>
      </c>
      <c r="G46" s="70" t="n">
        <v>-5.5</v>
      </c>
      <c r="H46" s="70" t="n">
        <v>-5.7</v>
      </c>
      <c r="I46" s="70"/>
      <c r="J46" s="70"/>
      <c r="K46" s="70"/>
      <c r="L46" s="70"/>
      <c r="M46" s="70"/>
      <c r="N46" s="70"/>
      <c r="O46" s="70"/>
    </row>
    <row r="47" customFormat="false" ht="12.75" hidden="false" customHeight="false" outlineLevel="0" collapsed="false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</row>
    <row r="48" customFormat="false" ht="12.75" hidden="false" customHeight="false" outlineLevel="0" collapsed="false">
      <c r="A48" s="70" t="s">
        <v>113</v>
      </c>
      <c r="B48" s="70"/>
      <c r="C48" s="70" t="n">
        <v>-351.6</v>
      </c>
      <c r="D48" s="70" t="n">
        <v>-516.3</v>
      </c>
      <c r="E48" s="70" t="n">
        <v>-556.6</v>
      </c>
      <c r="F48" s="70" t="n">
        <v>-593.4</v>
      </c>
      <c r="G48" s="70" t="n">
        <v>-331.3</v>
      </c>
      <c r="H48" s="72" t="n">
        <v>-1343</v>
      </c>
      <c r="I48" s="70"/>
      <c r="J48" s="70"/>
      <c r="K48" s="70"/>
      <c r="L48" s="70"/>
      <c r="M48" s="70"/>
      <c r="N48" s="70"/>
      <c r="O48" s="70"/>
    </row>
    <row r="49" customFormat="false" ht="12.75" hidden="false" customHeight="false" outlineLevel="0" collapsed="false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</row>
    <row r="50" customFormat="false" ht="12.75" hidden="false" customHeight="false" outlineLevel="0" collapsed="false">
      <c r="A50" s="70" t="s">
        <v>114</v>
      </c>
      <c r="B50" s="70"/>
      <c r="C50" s="70" t="n">
        <v>-5</v>
      </c>
      <c r="D50" s="70" t="n">
        <v>1.9</v>
      </c>
      <c r="E50" s="70" t="n">
        <v>-1</v>
      </c>
      <c r="F50" s="70" t="n">
        <v>-7.2</v>
      </c>
      <c r="G50" s="70" t="n">
        <v>6.3</v>
      </c>
      <c r="H50" s="70" t="n">
        <v>1.7</v>
      </c>
      <c r="I50" s="70"/>
      <c r="J50" s="70"/>
      <c r="K50" s="70"/>
      <c r="L50" s="70"/>
      <c r="M50" s="70"/>
      <c r="N50" s="70"/>
      <c r="O50" s="70"/>
    </row>
    <row r="51" customFormat="false" ht="12.75" hidden="false" customHeight="false" outlineLevel="0" collapsed="false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customFormat="false" ht="12.75" hidden="false" customHeight="false" outlineLevel="0" collapsed="false">
      <c r="A52" s="70" t="s">
        <v>115</v>
      </c>
      <c r="B52" s="70"/>
      <c r="C52" s="70" t="n">
        <v>-108.6</v>
      </c>
      <c r="D52" s="70" t="n">
        <v>-43.7</v>
      </c>
      <c r="E52" s="70" t="n">
        <v>242.4</v>
      </c>
      <c r="F52" s="70" t="n">
        <v>-26.3</v>
      </c>
      <c r="G52" s="70" t="n">
        <v>17.3</v>
      </c>
      <c r="H52" s="70" t="n">
        <v>-9.8</v>
      </c>
      <c r="I52" s="70"/>
      <c r="J52" s="70"/>
      <c r="K52" s="70"/>
      <c r="L52" s="70"/>
      <c r="M52" s="70"/>
      <c r="N52" s="70"/>
      <c r="O52" s="70"/>
    </row>
    <row r="53" customFormat="false" ht="12.75" hidden="false" customHeight="false" outlineLevel="0" collapsed="false">
      <c r="A53" s="70" t="s">
        <v>116</v>
      </c>
      <c r="B53" s="70"/>
      <c r="C53" s="70" t="n">
        <v>282.9</v>
      </c>
      <c r="D53" s="70" t="n">
        <v>326.6</v>
      </c>
      <c r="E53" s="70" t="n">
        <v>84.2</v>
      </c>
      <c r="F53" s="70" t="n">
        <v>110.5</v>
      </c>
      <c r="G53" s="70" t="n">
        <v>93.2</v>
      </c>
      <c r="H53" s="70" t="n">
        <v>103</v>
      </c>
      <c r="I53" s="70"/>
      <c r="J53" s="70"/>
      <c r="K53" s="70"/>
      <c r="L53" s="70"/>
      <c r="M53" s="70"/>
      <c r="N53" s="70"/>
      <c r="O53" s="70"/>
    </row>
    <row r="54" customFormat="false" ht="12.75" hidden="false" customHeight="false" outlineLevel="0" collapsed="false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customFormat="false" ht="12.75" hidden="false" customHeight="false" outlineLevel="0" collapsed="false">
      <c r="A55" s="70" t="s">
        <v>117</v>
      </c>
      <c r="B55" s="70"/>
      <c r="C55" s="73" t="n">
        <v>174.3</v>
      </c>
      <c r="D55" s="73" t="n">
        <v>282.9</v>
      </c>
      <c r="E55" s="73" t="n">
        <v>326.6</v>
      </c>
      <c r="F55" s="70" t="n">
        <v>84.2</v>
      </c>
      <c r="G55" s="70" t="n">
        <v>110.5</v>
      </c>
      <c r="H55" s="70" t="n">
        <v>93.2</v>
      </c>
      <c r="I55" s="70"/>
      <c r="J55" s="70"/>
      <c r="K55" s="70"/>
      <c r="L55" s="70"/>
      <c r="M55" s="70"/>
      <c r="N55" s="70"/>
      <c r="O55" s="70"/>
    </row>
    <row r="56" customFormat="false" ht="12.75" hidden="false" customHeight="false" outlineLevel="0" collapsed="false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customFormat="false" ht="12.75" hidden="false" customHeight="false" outlineLevel="0" collapsed="false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customFormat="false" ht="12.75" hidden="false" customHeight="false" outlineLevel="0" collapsed="false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customFormat="false" ht="12.75" hidden="false" customHeight="false" outlineLevel="0" collapsed="false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customFormat="false" ht="12.75" hidden="false" customHeight="false" outlineLevel="0" collapsed="false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customFormat="false" ht="12.75" hidden="false" customHeight="false" outlineLevel="0" collapsed="false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customFormat="false" ht="12.75" hidden="false" customHeight="false" outlineLevel="0" collapsed="false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customFormat="false" ht="12.75" hidden="false" customHeight="false" outlineLevel="0" collapsed="false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customFormat="false" ht="12.75" hidden="false" customHeight="false" outlineLevel="0" collapsed="false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customFormat="false" ht="12.75" hidden="false" customHeight="false" outlineLevel="0" collapsed="false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customFormat="false" ht="12.75" hidden="false" customHeight="false" outlineLevel="0" collapsed="false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7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H2" activeCellId="0" sqref="H2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78.65"/>
    <col collapsed="false" customWidth="true" hidden="false" outlineLevel="0" max="2" min="2" style="0" width="14.33"/>
    <col collapsed="false" customWidth="true" hidden="false" outlineLevel="0" max="5" min="3" style="0" width="12.82"/>
    <col collapsed="false" customWidth="true" hidden="false" outlineLevel="0" max="6" min="6" style="0" width="14.16"/>
    <col collapsed="false" customWidth="true" hidden="false" outlineLevel="0" max="7" min="7" style="0" width="12.33"/>
    <col collapsed="false" customWidth="true" hidden="false" outlineLevel="0" max="8" min="8" style="0" width="10.65"/>
    <col collapsed="false" customWidth="true" hidden="false" outlineLevel="0" max="9" min="9" style="0" width="12.65"/>
    <col collapsed="false" customWidth="true" hidden="false" outlineLevel="0" max="10" min="10" style="0" width="10.16"/>
    <col collapsed="false" customWidth="true" hidden="false" outlineLevel="0" max="11" min="11" style="0" width="10.49"/>
    <col collapsed="false" customWidth="true" hidden="false" outlineLevel="0" max="12" min="12" style="0" width="11.65"/>
    <col collapsed="false" customWidth="true" hidden="false" outlineLevel="0" max="13" min="13" style="0" width="10.16"/>
    <col collapsed="false" customWidth="true" hidden="false" outlineLevel="0" max="14" min="14" style="0" width="9.82"/>
    <col collapsed="false" customWidth="true" hidden="false" outlineLevel="0" max="15" min="15" style="0" width="11.49"/>
    <col collapsed="false" customWidth="true" hidden="false" outlineLevel="0" max="16" min="16" style="0" width="9.65"/>
    <col collapsed="false" customWidth="true" hidden="false" outlineLevel="0" max="17" min="17" style="0" width="9.82"/>
    <col collapsed="false" customWidth="true" hidden="false" outlineLevel="0" max="18" min="18" style="0" width="9.65"/>
    <col collapsed="false" customWidth="true" hidden="false" outlineLevel="0" max="20" min="19" style="0" width="9.82"/>
    <col collapsed="false" customWidth="true" hidden="false" outlineLevel="0" max="22" min="21" style="0" width="10.16"/>
    <col collapsed="false" customWidth="true" hidden="false" outlineLevel="0" max="23" min="23" style="0" width="10.33"/>
    <col collapsed="false" customWidth="true" hidden="false" outlineLevel="0" max="24" min="24" style="0" width="10.65"/>
    <col collapsed="false" customWidth="true" hidden="false" outlineLevel="0" max="25" min="25" style="0" width="10.49"/>
    <col collapsed="false" customWidth="true" hidden="false" outlineLevel="0" max="26" min="26" style="0" width="11.16"/>
    <col collapsed="false" customWidth="true" hidden="false" outlineLevel="0" max="27" min="27" style="0" width="9.99"/>
    <col collapsed="false" customWidth="true" hidden="false" outlineLevel="0" max="28" min="28" style="0" width="10.33"/>
  </cols>
  <sheetData>
    <row r="1" customFormat="false" ht="12.75" hidden="false" customHeight="false" outlineLevel="0" collapsed="false">
      <c r="A1" s="70" t="s">
        <v>118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S1" s="74"/>
      <c r="W1" s="75" t="s">
        <v>119</v>
      </c>
      <c r="X1" s="50"/>
    </row>
    <row r="2" customFormat="false" ht="12.75" hidden="false" customHeight="false" outlineLevel="0" collapsed="false">
      <c r="A2" s="70" t="s">
        <v>72</v>
      </c>
      <c r="B2" s="74"/>
      <c r="C2" s="74"/>
      <c r="D2" s="74"/>
      <c r="E2" s="74"/>
      <c r="F2" s="74"/>
      <c r="G2" s="74"/>
      <c r="H2" s="74"/>
      <c r="I2" s="74"/>
      <c r="J2" s="76" t="s">
        <v>120</v>
      </c>
      <c r="K2" s="74"/>
      <c r="M2" s="74"/>
      <c r="N2" s="74"/>
      <c r="O2" s="74"/>
      <c r="P2" s="74"/>
      <c r="V2" s="77" t="s">
        <v>121</v>
      </c>
      <c r="W2" s="77" t="s">
        <v>121</v>
      </c>
      <c r="X2" s="77" t="s">
        <v>121</v>
      </c>
      <c r="Y2" s="77" t="s">
        <v>121</v>
      </c>
      <c r="Z2" s="77" t="s">
        <v>121</v>
      </c>
      <c r="AA2" s="77" t="s">
        <v>121</v>
      </c>
      <c r="AB2" s="77" t="s">
        <v>121</v>
      </c>
      <c r="AC2" s="77" t="s">
        <v>121</v>
      </c>
      <c r="AD2" s="77" t="s">
        <v>121</v>
      </c>
      <c r="AE2" s="77" t="s">
        <v>121</v>
      </c>
    </row>
    <row r="3" customFormat="false" ht="12.75" hidden="false" customHeight="false" outlineLevel="0" collapsed="false">
      <c r="A3" s="70"/>
      <c r="B3" s="11" t="n">
        <v>2000</v>
      </c>
      <c r="C3" s="11" t="n">
        <v>1999</v>
      </c>
      <c r="D3" s="11" t="n">
        <v>1998</v>
      </c>
      <c r="E3" s="11" t="n">
        <v>1997</v>
      </c>
      <c r="F3" s="11" t="n">
        <v>1996</v>
      </c>
      <c r="G3" s="11" t="n">
        <v>1995</v>
      </c>
      <c r="H3" s="78"/>
      <c r="I3" s="79" t="n">
        <v>2000</v>
      </c>
      <c r="J3" s="79" t="n">
        <v>1999</v>
      </c>
      <c r="K3" s="79" t="n">
        <v>1998</v>
      </c>
      <c r="L3" s="79" t="n">
        <v>1997</v>
      </c>
      <c r="M3" s="79" t="n">
        <v>1996</v>
      </c>
      <c r="N3" s="79" t="n">
        <v>1995</v>
      </c>
      <c r="O3" s="79" t="s">
        <v>122</v>
      </c>
      <c r="P3" s="6"/>
      <c r="V3" s="79" t="n">
        <v>2001</v>
      </c>
      <c r="W3" s="11" t="n">
        <f aca="false">V3+1</f>
        <v>2002</v>
      </c>
      <c r="X3" s="11" t="n">
        <f aca="false">W3+1</f>
        <v>2003</v>
      </c>
      <c r="Y3" s="11" t="n">
        <f aca="false">X3+1</f>
        <v>2004</v>
      </c>
      <c r="Z3" s="11" t="n">
        <f aca="false">Y3+1</f>
        <v>2005</v>
      </c>
      <c r="AA3" s="11" t="n">
        <f aca="false">Z3+1</f>
        <v>2006</v>
      </c>
      <c r="AB3" s="11" t="n">
        <f aca="false">AA3+1</f>
        <v>2007</v>
      </c>
      <c r="AC3" s="11" t="n">
        <f aca="false">AB3+1</f>
        <v>2008</v>
      </c>
      <c r="AD3" s="11" t="n">
        <f aca="false">AC3+1</f>
        <v>2009</v>
      </c>
      <c r="AE3" s="11" t="n">
        <f aca="false">AD3+1</f>
        <v>2010</v>
      </c>
    </row>
    <row r="4" customFormat="false" ht="12.75" hidden="false" customHeight="false" outlineLevel="0" collapsed="false">
      <c r="A4" s="76" t="s">
        <v>123</v>
      </c>
      <c r="B4" s="71" t="n">
        <v>5041</v>
      </c>
      <c r="C4" s="71" t="n">
        <v>4725.2</v>
      </c>
      <c r="D4" s="71" t="n">
        <v>4842.5</v>
      </c>
      <c r="E4" s="71" t="n">
        <v>5015.7</v>
      </c>
      <c r="F4" s="71" t="n">
        <v>5199</v>
      </c>
      <c r="G4" s="71" t="n">
        <v>5954</v>
      </c>
      <c r="H4" s="74"/>
      <c r="I4" s="80" t="n">
        <f aca="false">(B4-C4)/C4</f>
        <v>0.0668331499195802</v>
      </c>
      <c r="J4" s="80" t="n">
        <f aca="false">(C4-D4)/D4</f>
        <v>-0.0242230252968508</v>
      </c>
      <c r="K4" s="80" t="n">
        <f aca="false">(D4-E4)/E4</f>
        <v>-0.0345315708674761</v>
      </c>
      <c r="L4" s="80" t="n">
        <f aca="false">(E4-F4)/F4</f>
        <v>-0.0352567801500289</v>
      </c>
      <c r="M4" s="80" t="n">
        <f aca="false">(F4-G4)/G4</f>
        <v>-0.126805508901579</v>
      </c>
      <c r="N4" s="81"/>
      <c r="O4" s="80" t="n">
        <f aca="false">SUM(I4:M4)/5</f>
        <v>-0.0307967470592709</v>
      </c>
      <c r="P4" s="74"/>
      <c r="T4" s="70" t="s">
        <v>124</v>
      </c>
      <c r="V4" s="80" t="n">
        <v>0.0668331499195802</v>
      </c>
      <c r="W4" s="80" t="n">
        <v>0.0668331499195802</v>
      </c>
      <c r="X4" s="80" t="n">
        <v>0.0668331499195802</v>
      </c>
      <c r="Y4" s="80" t="n">
        <v>0.0668331499195802</v>
      </c>
      <c r="Z4" s="80" t="n">
        <v>0.0668331499195802</v>
      </c>
      <c r="AA4" s="80" t="n">
        <v>0.0668331499195802</v>
      </c>
      <c r="AB4" s="80" t="n">
        <v>0.0668331499195802</v>
      </c>
      <c r="AC4" s="80" t="n">
        <v>0.0668331499195802</v>
      </c>
      <c r="AD4" s="80" t="n">
        <v>0.0668331499195802</v>
      </c>
      <c r="AE4" s="80" t="n">
        <v>0.0668331499195802</v>
      </c>
    </row>
    <row r="5" customFormat="false" ht="12.75" hidden="false" customHeight="false" outlineLevel="0" collapsed="false">
      <c r="A5" s="76" t="s">
        <v>125</v>
      </c>
      <c r="B5" s="72" t="n">
        <v>2288.3</v>
      </c>
      <c r="C5" s="72" t="n">
        <v>2136.8</v>
      </c>
      <c r="D5" s="72" t="n">
        <v>2374.4</v>
      </c>
      <c r="E5" s="72" t="n">
        <v>2564.9</v>
      </c>
      <c r="F5" s="72" t="n">
        <v>2807.5</v>
      </c>
      <c r="G5" s="72" t="n">
        <v>3294.4</v>
      </c>
      <c r="H5" s="74"/>
      <c r="I5" s="80" t="n">
        <f aca="false">(B5-C5)/C5</f>
        <v>0.070900411830775</v>
      </c>
      <c r="J5" s="80" t="n">
        <f aca="false">(C5-D5)/D5</f>
        <v>-0.100067385444744</v>
      </c>
      <c r="K5" s="80" t="n">
        <f aca="false">(D5-E5)/E5</f>
        <v>-0.0742719014386526</v>
      </c>
      <c r="L5" s="80" t="n">
        <f aca="false">(E5-F5)/F5</f>
        <v>-0.0864113980409617</v>
      </c>
      <c r="M5" s="80" t="n">
        <f aca="false">(F5-G5)/G5</f>
        <v>-0.147796260320544</v>
      </c>
      <c r="N5" s="81"/>
      <c r="O5" s="80" t="n">
        <f aca="false">SUM(I5:M5)/5</f>
        <v>-0.0675293066828254</v>
      </c>
      <c r="P5" s="74"/>
      <c r="T5" s="70" t="s">
        <v>126</v>
      </c>
      <c r="V5" s="82" t="n">
        <f aca="false">(V4+1)*B4</f>
        <v>5377.9059087446</v>
      </c>
      <c r="W5" s="82" t="n">
        <f aca="false">(W4+1)*V5</f>
        <v>5737.32830059713</v>
      </c>
      <c r="X5" s="82" t="n">
        <f aca="false">(X4+1)*W5</f>
        <v>6120.77202304879</v>
      </c>
      <c r="Y5" s="82" t="n">
        <f aca="false">(Y4+1)*X5</f>
        <v>6529.84249728878</v>
      </c>
      <c r="Z5" s="82" t="n">
        <f aca="false">(Z4+1)*Y5</f>
        <v>6966.25243986133</v>
      </c>
      <c r="AA5" s="82" t="n">
        <f aca="false">(AA4+1)*Z5</f>
        <v>7431.82903355222</v>
      </c>
      <c r="AB5" s="82" t="n">
        <f aca="false">(AB4+1)*AA5</f>
        <v>7928.5215775283</v>
      </c>
      <c r="AC5" s="82" t="n">
        <f aca="false">(AC4+1)*AB5</f>
        <v>8458.40964875988</v>
      </c>
      <c r="AD5" s="82" t="n">
        <f aca="false">(AD4+1)*AC5</f>
        <v>9023.71180889667</v>
      </c>
      <c r="AE5" s="82" t="n">
        <f aca="false">(AE4+1)*AD5</f>
        <v>9626.79489305175</v>
      </c>
    </row>
    <row r="6" customFormat="false" ht="12.75" hidden="false" customHeight="false" outlineLevel="0" collapsed="false">
      <c r="A6" s="76"/>
      <c r="B6" s="74"/>
      <c r="C6" s="74"/>
      <c r="D6" s="74"/>
      <c r="E6" s="70"/>
      <c r="F6" s="74"/>
      <c r="G6" s="74"/>
      <c r="H6" s="74"/>
      <c r="I6" s="80"/>
      <c r="J6" s="80"/>
      <c r="K6" s="80"/>
      <c r="L6" s="80"/>
      <c r="M6" s="80"/>
      <c r="N6" s="80"/>
      <c r="O6" s="70"/>
      <c r="P6" s="74"/>
      <c r="Q6" s="74"/>
    </row>
    <row r="7" customFormat="false" ht="12.75" hidden="false" customHeight="false" outlineLevel="0" collapsed="false">
      <c r="A7" s="76" t="s">
        <v>127</v>
      </c>
      <c r="B7" s="72" t="n">
        <v>2752.7</v>
      </c>
      <c r="C7" s="72" t="n">
        <v>2588.4</v>
      </c>
      <c r="D7" s="72" t="n">
        <v>2468.1</v>
      </c>
      <c r="E7" s="72" t="n">
        <v>2450.8</v>
      </c>
      <c r="F7" s="72" t="n">
        <v>2391.5</v>
      </c>
      <c r="G7" s="72" t="n">
        <v>2659.6</v>
      </c>
      <c r="H7" s="74"/>
      <c r="I7" s="80" t="n">
        <f aca="false">(B7-C7)/C7</f>
        <v>0.0634755061041569</v>
      </c>
      <c r="J7" s="80" t="n">
        <f aca="false">(C7-D7)/D7</f>
        <v>0.0487419472468701</v>
      </c>
      <c r="K7" s="80" t="n">
        <f aca="false">(D7-E7)/E7</f>
        <v>0.00705891953647777</v>
      </c>
      <c r="L7" s="80" t="n">
        <f aca="false">(E7-F7)/F7</f>
        <v>0.0247961530420239</v>
      </c>
      <c r="M7" s="80" t="n">
        <f aca="false">(F7-G7)/G7</f>
        <v>-0.10080463227553</v>
      </c>
      <c r="N7" s="81"/>
      <c r="O7" s="80" t="n">
        <f aca="false">SUM(I7:M7)/5</f>
        <v>0.00865357873079973</v>
      </c>
      <c r="P7" s="74"/>
      <c r="Q7" s="74"/>
      <c r="S7" s="82"/>
    </row>
    <row r="8" customFormat="false" ht="12.75" hidden="false" customHeight="false" outlineLevel="0" collapsed="false">
      <c r="A8" s="76" t="s">
        <v>128</v>
      </c>
      <c r="B8" s="72" t="n">
        <v>1968.8</v>
      </c>
      <c r="C8" s="72" t="n">
        <v>1904.1</v>
      </c>
      <c r="D8" s="72" t="n">
        <v>1872.5</v>
      </c>
      <c r="E8" s="72" t="n">
        <v>1938.9</v>
      </c>
      <c r="F8" s="72" t="n">
        <v>1981</v>
      </c>
      <c r="G8" s="72" t="n">
        <v>2358.8</v>
      </c>
      <c r="H8" s="74"/>
      <c r="I8" s="80" t="n">
        <f aca="false">(B8-C8)/C8</f>
        <v>0.0339793078094638</v>
      </c>
      <c r="J8" s="80" t="n">
        <f aca="false">(C8-D8)/D8</f>
        <v>0.0168758344459279</v>
      </c>
      <c r="K8" s="80" t="n">
        <f aca="false">(D8-E8)/E8</f>
        <v>-0.0342462220846872</v>
      </c>
      <c r="L8" s="80" t="n">
        <f aca="false">(E8-F8)/F8</f>
        <v>-0.0212518929833417</v>
      </c>
      <c r="M8" s="80" t="n">
        <f aca="false">(F8-G8)/G8</f>
        <v>-0.160166186196371</v>
      </c>
      <c r="N8" s="81"/>
      <c r="O8" s="80" t="n">
        <f aca="false">SUM(I8:M8)/5</f>
        <v>-0.0329618318018017</v>
      </c>
      <c r="P8" s="74"/>
      <c r="Q8" s="74"/>
    </row>
    <row r="9" customFormat="false" ht="12.75" hidden="false" customHeight="false" outlineLevel="0" collapsed="false">
      <c r="A9" s="83"/>
      <c r="B9" s="74"/>
      <c r="C9" s="74"/>
      <c r="D9" s="74"/>
      <c r="E9" s="74"/>
      <c r="F9" s="74"/>
      <c r="G9" s="74"/>
      <c r="H9" s="74"/>
      <c r="I9" s="80"/>
      <c r="J9" s="80"/>
      <c r="K9" s="80"/>
      <c r="L9" s="80"/>
      <c r="M9" s="80"/>
      <c r="N9" s="80"/>
      <c r="O9" s="70"/>
      <c r="P9" s="74"/>
      <c r="Q9" s="74"/>
    </row>
    <row r="10" customFormat="false" ht="12.75" hidden="false" customHeight="false" outlineLevel="0" collapsed="false">
      <c r="A10" s="83"/>
      <c r="B10" s="74"/>
      <c r="C10" s="74"/>
      <c r="D10" s="74"/>
      <c r="E10" s="74"/>
      <c r="F10" s="74"/>
      <c r="G10" s="74"/>
      <c r="H10" s="74"/>
      <c r="I10" s="80"/>
      <c r="J10" s="80"/>
      <c r="K10" s="80"/>
      <c r="L10" s="80"/>
      <c r="M10" s="80"/>
      <c r="N10" s="80"/>
      <c r="O10" s="70"/>
      <c r="P10" s="74"/>
      <c r="Q10" s="74"/>
    </row>
    <row r="11" customFormat="false" ht="12.75" hidden="false" customHeight="false" outlineLevel="0" collapsed="false">
      <c r="A11" s="83"/>
      <c r="B11" s="74"/>
      <c r="C11" s="74"/>
      <c r="D11" s="74"/>
      <c r="E11" s="74"/>
      <c r="F11" s="74"/>
      <c r="G11" s="74"/>
      <c r="H11" s="74"/>
      <c r="I11" s="80"/>
      <c r="J11" s="80"/>
      <c r="K11" s="80"/>
      <c r="L11" s="80"/>
      <c r="M11" s="80"/>
      <c r="N11" s="80"/>
      <c r="O11" s="70"/>
      <c r="P11" s="74"/>
      <c r="Q11" s="74"/>
    </row>
    <row r="12" customFormat="false" ht="12.75" hidden="false" customHeight="false" outlineLevel="0" collapsed="false">
      <c r="A12" s="76" t="s">
        <v>129</v>
      </c>
      <c r="B12" s="70" t="n">
        <v>182.5</v>
      </c>
      <c r="C12" s="70" t="n">
        <v>-2.3</v>
      </c>
      <c r="D12" s="70" t="n">
        <v>128.5</v>
      </c>
      <c r="E12" s="72" t="n">
        <v>1486.3</v>
      </c>
      <c r="F12" s="70" t="n">
        <v>-113.4</v>
      </c>
      <c r="G12" s="72" t="n">
        <v>-1053.5</v>
      </c>
      <c r="H12" s="74"/>
      <c r="I12" s="80" t="n">
        <f aca="false">(B12-C12)/C12</f>
        <v>-80.3478260869565</v>
      </c>
      <c r="J12" s="80" t="n">
        <f aca="false">(C12-D12)/D12</f>
        <v>-1.01789883268483</v>
      </c>
      <c r="K12" s="80" t="n">
        <f aca="false">(D12-E12)/E12</f>
        <v>-0.913543699118617</v>
      </c>
      <c r="L12" s="80" t="n">
        <f aca="false">(E12-F12)/F12</f>
        <v>-14.1067019400353</v>
      </c>
      <c r="M12" s="80" t="n">
        <f aca="false">(F12-G12)/G12</f>
        <v>-0.892358803986711</v>
      </c>
      <c r="N12" s="81"/>
      <c r="O12" s="80" t="n">
        <f aca="false">SUM(I12:M12)/5</f>
        <v>-19.4556658725564</v>
      </c>
      <c r="P12" s="74"/>
      <c r="Q12" s="74"/>
    </row>
    <row r="13" customFormat="false" ht="12.75" hidden="false" customHeight="false" outlineLevel="0" collapsed="false">
      <c r="A13" s="76" t="s">
        <v>130</v>
      </c>
      <c r="B13" s="70" t="n">
        <v>54</v>
      </c>
      <c r="C13" s="70" t="n">
        <v>61.9</v>
      </c>
      <c r="D13" s="70" t="n">
        <v>69.6</v>
      </c>
      <c r="E13" s="70" t="n">
        <v>85.8</v>
      </c>
      <c r="F13" s="70" t="n">
        <v>106.8</v>
      </c>
      <c r="G13" s="70" t="n">
        <v>131.6</v>
      </c>
      <c r="H13" s="74"/>
      <c r="I13" s="80" t="n">
        <f aca="false">(B13-C13)/C13</f>
        <v>-0.127625201938611</v>
      </c>
      <c r="J13" s="80" t="n">
        <f aca="false">(C13-D13)/D13</f>
        <v>-0.110632183908046</v>
      </c>
      <c r="K13" s="80" t="n">
        <f aca="false">(D13-E13)/E13</f>
        <v>-0.188811188811189</v>
      </c>
      <c r="L13" s="80" t="n">
        <f aca="false">(E13-F13)/F13</f>
        <v>-0.196629213483146</v>
      </c>
      <c r="M13" s="80" t="n">
        <f aca="false">(F13-G13)/G13</f>
        <v>-0.188449848024316</v>
      </c>
      <c r="N13" s="81"/>
      <c r="O13" s="80" t="n">
        <f aca="false">SUM(I13:M13)/5</f>
        <v>-0.162429527233062</v>
      </c>
      <c r="P13" s="74"/>
      <c r="Q13" s="74"/>
    </row>
    <row r="14" customFormat="false" ht="12.75" hidden="false" customHeight="false" outlineLevel="0" collapsed="false">
      <c r="A14" s="76" t="s">
        <v>131</v>
      </c>
      <c r="B14" s="70" t="n">
        <v>-9</v>
      </c>
      <c r="C14" s="70" t="n">
        <v>-11.7</v>
      </c>
      <c r="D14" s="70" t="n">
        <v>-10.7</v>
      </c>
      <c r="E14" s="70" t="n">
        <v>-6.7</v>
      </c>
      <c r="F14" s="70" t="n">
        <v>-7.4</v>
      </c>
      <c r="G14" s="70" t="n">
        <v>-6.2</v>
      </c>
      <c r="H14" s="74"/>
      <c r="I14" s="80" t="n">
        <f aca="false">(B14-C14)/C14</f>
        <v>-0.230769230769231</v>
      </c>
      <c r="J14" s="80" t="n">
        <f aca="false">(C14-D14)/D14</f>
        <v>0.0934579439252337</v>
      </c>
      <c r="K14" s="80" t="n">
        <f aca="false">(D14-E14)/E14</f>
        <v>0.597014925373134</v>
      </c>
      <c r="L14" s="80" t="n">
        <f aca="false">(E14-F14)/F14</f>
        <v>-0.0945945945945946</v>
      </c>
      <c r="M14" s="80" t="n">
        <f aca="false">(F14-G14)/G14</f>
        <v>0.193548387096774</v>
      </c>
      <c r="N14" s="81"/>
      <c r="O14" s="80" t="n">
        <f aca="false">SUM(I14:M14)/5</f>
        <v>0.111731486206263</v>
      </c>
      <c r="P14" s="74"/>
      <c r="Q14" s="74"/>
    </row>
    <row r="15" customFormat="false" ht="12.75" hidden="false" customHeight="false" outlineLevel="0" collapsed="false">
      <c r="A15" s="76" t="s">
        <v>132</v>
      </c>
      <c r="B15" s="70" t="n">
        <v>5.3</v>
      </c>
      <c r="C15" s="70" t="n">
        <v>18.1</v>
      </c>
      <c r="D15" s="70" t="n">
        <v>11.6</v>
      </c>
      <c r="E15" s="70" t="n">
        <v>10.8</v>
      </c>
      <c r="F15" s="70" t="n">
        <v>8.9</v>
      </c>
      <c r="G15" s="70" t="n">
        <v>8.4</v>
      </c>
      <c r="H15" s="74"/>
      <c r="I15" s="80" t="n">
        <f aca="false">(B15-C15)/C15</f>
        <v>-0.707182320441989</v>
      </c>
      <c r="J15" s="80" t="n">
        <f aca="false">(C15-D15)/D15</f>
        <v>0.560344827586207</v>
      </c>
      <c r="K15" s="80" t="n">
        <f aca="false">(D15-E15)/E15</f>
        <v>0.074074074074074</v>
      </c>
      <c r="L15" s="80" t="n">
        <f aca="false">(E15-F15)/F15</f>
        <v>0.213483146067416</v>
      </c>
      <c r="M15" s="80" t="n">
        <f aca="false">(F15-G15)/G15</f>
        <v>0.0595238095238095</v>
      </c>
      <c r="N15" s="81"/>
      <c r="O15" s="80" t="n">
        <f aca="false">SUM(I15:M15)/5</f>
        <v>0.0400487073619035</v>
      </c>
      <c r="P15" s="74"/>
      <c r="Q15" s="74"/>
    </row>
    <row r="16" customFormat="false" ht="12.75" hidden="false" customHeight="false" outlineLevel="0" collapsed="false">
      <c r="A16" s="76"/>
      <c r="B16" s="74"/>
      <c r="C16" s="74"/>
      <c r="D16" s="74"/>
      <c r="E16" s="74"/>
      <c r="F16" s="70"/>
      <c r="G16" s="74"/>
      <c r="H16" s="74"/>
      <c r="I16" s="80"/>
      <c r="J16" s="80"/>
      <c r="K16" s="80"/>
      <c r="L16" s="80"/>
      <c r="M16" s="80"/>
      <c r="N16" s="80"/>
      <c r="O16" s="70"/>
      <c r="P16" s="74"/>
      <c r="Q16" s="74"/>
    </row>
    <row r="17" customFormat="false" ht="12.75" hidden="false" customHeight="false" outlineLevel="0" collapsed="false">
      <c r="A17" s="76" t="s">
        <v>133</v>
      </c>
      <c r="B17" s="70" t="n">
        <v>551.1</v>
      </c>
      <c r="C17" s="70" t="n">
        <v>618.3</v>
      </c>
      <c r="D17" s="70" t="n">
        <v>396.6</v>
      </c>
      <c r="E17" s="72" t="n">
        <v>-1064.3</v>
      </c>
      <c r="F17" s="70" t="n">
        <v>415.6</v>
      </c>
      <c r="G17" s="72" t="n">
        <v>1220.5</v>
      </c>
      <c r="H17" s="74"/>
      <c r="I17" s="80" t="n">
        <f aca="false">(B17-C17)/C17</f>
        <v>-0.108685104318292</v>
      </c>
      <c r="J17" s="80" t="n">
        <f aca="false">(C17-D17)/D17</f>
        <v>0.559001512859304</v>
      </c>
      <c r="K17" s="80" t="n">
        <f aca="false">(D17-E17)/E17</f>
        <v>-1.3726392934323</v>
      </c>
      <c r="L17" s="80" t="n">
        <f aca="false">(E17-F17)/F17</f>
        <v>-3.56087584215592</v>
      </c>
      <c r="M17" s="80" t="n">
        <f aca="false">(F17-G17)/G17</f>
        <v>-0.659483818107333</v>
      </c>
      <c r="N17" s="81"/>
      <c r="O17" s="80" t="n">
        <f aca="false">SUM(I17:M17)/5</f>
        <v>-1.02853650903091</v>
      </c>
      <c r="P17" s="74"/>
      <c r="Q17" s="74"/>
    </row>
    <row r="18" customFormat="false" ht="12.75" hidden="false" customHeight="false" outlineLevel="0" collapsed="false">
      <c r="A18" s="76" t="s">
        <v>134</v>
      </c>
      <c r="B18" s="70" t="n">
        <v>190.5</v>
      </c>
      <c r="C18" s="70" t="n">
        <v>163.3</v>
      </c>
      <c r="D18" s="70" t="n">
        <v>112.1</v>
      </c>
      <c r="E18" s="70" t="n">
        <v>-133.4</v>
      </c>
      <c r="F18" s="70" t="n">
        <v>167.7</v>
      </c>
      <c r="G18" s="70" t="n">
        <v>496.5</v>
      </c>
      <c r="H18" s="74"/>
      <c r="I18" s="80" t="n">
        <f aca="false">(B18-C18)/C18</f>
        <v>0.166564605021433</v>
      </c>
      <c r="J18" s="80" t="n">
        <f aca="false">(C18-D18)/D18</f>
        <v>0.456735057983943</v>
      </c>
      <c r="K18" s="80" t="n">
        <f aca="false">(D18-E18)/E18</f>
        <v>-1.84032983508246</v>
      </c>
      <c r="L18" s="80" t="n">
        <f aca="false">(E18-F18)/F18</f>
        <v>-1.79546809779368</v>
      </c>
      <c r="M18" s="80" t="n">
        <f aca="false">(F18-G18)/G18</f>
        <v>-0.662235649546828</v>
      </c>
      <c r="N18" s="81"/>
      <c r="O18" s="80" t="n">
        <f aca="false">SUM(I18:M18)/5</f>
        <v>-0.734946783883518</v>
      </c>
      <c r="P18" s="74"/>
      <c r="Q18" s="74"/>
    </row>
    <row r="19" customFormat="false" ht="12.75" hidden="false" customHeight="false" outlineLevel="0" collapsed="false">
      <c r="A19" s="76"/>
      <c r="B19" s="74"/>
      <c r="C19" s="74"/>
      <c r="D19" s="74"/>
      <c r="E19" s="74"/>
      <c r="F19" s="70"/>
      <c r="G19" s="74"/>
      <c r="H19" s="74"/>
      <c r="I19" s="80"/>
      <c r="J19" s="80"/>
      <c r="K19" s="80"/>
      <c r="L19" s="80"/>
      <c r="M19" s="80"/>
      <c r="N19" s="80"/>
      <c r="O19" s="70"/>
      <c r="P19" s="74"/>
      <c r="Q19" s="74"/>
    </row>
    <row r="20" customFormat="false" ht="12.75" hidden="false" customHeight="false" outlineLevel="0" collapsed="false">
      <c r="A20" s="76" t="s">
        <v>135</v>
      </c>
      <c r="B20" s="70" t="n">
        <v>360.6</v>
      </c>
      <c r="C20" s="70" t="n">
        <v>455</v>
      </c>
      <c r="D20" s="70" t="n">
        <v>284.5</v>
      </c>
      <c r="E20" s="70" t="n">
        <v>-930.9</v>
      </c>
      <c r="F20" s="70" t="n">
        <v>247.9</v>
      </c>
      <c r="G20" s="70" t="n">
        <v>724</v>
      </c>
      <c r="H20" s="74"/>
      <c r="I20" s="80" t="n">
        <f aca="false">(B20-C20)/C20</f>
        <v>-0.207472527472527</v>
      </c>
      <c r="J20" s="80" t="n">
        <f aca="false">(C20-D20)/D20</f>
        <v>0.599297012302285</v>
      </c>
      <c r="K20" s="80" t="n">
        <f aca="false">(D20-E20)/E20</f>
        <v>-1.30561821892792</v>
      </c>
      <c r="L20" s="80" t="n">
        <f aca="false">(E20-F20)/F20</f>
        <v>-4.7551432029044</v>
      </c>
      <c r="M20" s="80" t="n">
        <f aca="false">(F20-G20)/G20</f>
        <v>-0.657596685082873</v>
      </c>
      <c r="N20" s="81"/>
      <c r="O20" s="80" t="n">
        <f aca="false">SUM(I20:M20)/5</f>
        <v>-1.26530672441709</v>
      </c>
      <c r="P20" s="74"/>
      <c r="Q20" s="74"/>
    </row>
    <row r="21" customFormat="false" ht="12.75" hidden="false" customHeight="false" outlineLevel="0" collapsed="false">
      <c r="A21" s="76" t="s">
        <v>136</v>
      </c>
      <c r="B21" s="70" t="n">
        <v>4.2</v>
      </c>
      <c r="C21" s="70" t="n">
        <v>4.4</v>
      </c>
      <c r="D21" s="70" t="n">
        <v>4.5</v>
      </c>
      <c r="E21" s="70" t="n">
        <v>3.5</v>
      </c>
      <c r="F21" s="70" t="n">
        <v>3.7</v>
      </c>
      <c r="G21" s="70" t="n">
        <v>4</v>
      </c>
      <c r="H21" s="74"/>
      <c r="I21" s="80" t="n">
        <f aca="false">(B21-C21)/C21</f>
        <v>-0.0454545454545455</v>
      </c>
      <c r="J21" s="80" t="n">
        <f aca="false">(C21-D21)/D21</f>
        <v>-0.0222222222222221</v>
      </c>
      <c r="K21" s="80" t="n">
        <f aca="false">(D21-E21)/E21</f>
        <v>0.285714285714286</v>
      </c>
      <c r="L21" s="80" t="n">
        <f aca="false">(E21-F21)/F21</f>
        <v>-0.0540540540540541</v>
      </c>
      <c r="M21" s="80" t="n">
        <f aca="false">(F21-G21)/G21</f>
        <v>-0.075</v>
      </c>
      <c r="N21" s="81"/>
      <c r="O21" s="80" t="n">
        <f aca="false">SUM(I21:M21)/5</f>
        <v>0.0177966927966928</v>
      </c>
      <c r="P21" s="74"/>
      <c r="Q21" s="74"/>
    </row>
    <row r="22" customFormat="false" ht="12.75" hidden="false" customHeight="false" outlineLevel="0" collapsed="false">
      <c r="A22" s="76"/>
      <c r="B22" s="74"/>
      <c r="C22" s="74"/>
      <c r="D22" s="74"/>
      <c r="E22" s="74"/>
      <c r="F22" s="70"/>
      <c r="G22" s="74"/>
      <c r="H22" s="74"/>
      <c r="I22" s="80"/>
      <c r="J22" s="80"/>
      <c r="K22" s="80"/>
      <c r="L22" s="80"/>
      <c r="M22" s="80"/>
      <c r="N22" s="80"/>
      <c r="O22" s="70"/>
      <c r="P22" s="74"/>
      <c r="Q22" s="74"/>
    </row>
    <row r="23" customFormat="false" ht="12.75" hidden="false" customHeight="false" outlineLevel="0" collapsed="false">
      <c r="A23" s="76" t="s">
        <v>137</v>
      </c>
      <c r="B23" s="70" t="n">
        <v>356.4</v>
      </c>
      <c r="C23" s="70" t="n">
        <v>450.6</v>
      </c>
      <c r="D23" s="70" t="n">
        <v>280</v>
      </c>
      <c r="E23" s="70" t="n">
        <v>-934.4</v>
      </c>
      <c r="F23" s="70" t="n">
        <v>244.2</v>
      </c>
      <c r="G23" s="70" t="n">
        <v>720</v>
      </c>
      <c r="H23" s="74"/>
      <c r="I23" s="80" t="n">
        <f aca="false">(B23-C23)/C23</f>
        <v>-0.209054593874834</v>
      </c>
      <c r="J23" s="80" t="n">
        <f aca="false">(C23-D23)/D23</f>
        <v>0.609285714285714</v>
      </c>
      <c r="K23" s="80" t="n">
        <f aca="false">(D23-E23)/E23</f>
        <v>-1.29965753424658</v>
      </c>
      <c r="L23" s="80" t="n">
        <f aca="false">(E23-F23)/F23</f>
        <v>-4.82637182637183</v>
      </c>
      <c r="M23" s="80" t="n">
        <f aca="false">(F23-G23)/G23</f>
        <v>-0.660833333333333</v>
      </c>
      <c r="N23" s="81"/>
      <c r="O23" s="80" t="n">
        <f aca="false">SUM(I23:M23)/5</f>
        <v>-1.27732631470817</v>
      </c>
      <c r="P23" s="74"/>
      <c r="Q23" s="74"/>
    </row>
    <row r="24" customFormat="false" ht="12.75" hidden="false" customHeight="false" outlineLevel="0" collapsed="false">
      <c r="A24" s="76"/>
      <c r="B24" s="74"/>
      <c r="C24" s="74"/>
      <c r="D24" s="74"/>
      <c r="E24" s="74"/>
      <c r="F24" s="70"/>
      <c r="G24" s="74"/>
      <c r="H24" s="74"/>
      <c r="I24" s="80"/>
      <c r="J24" s="80"/>
      <c r="K24" s="80"/>
      <c r="L24" s="80"/>
      <c r="M24" s="80"/>
      <c r="N24" s="80"/>
      <c r="O24" s="70"/>
      <c r="P24" s="74"/>
      <c r="Q24" s="74"/>
    </row>
    <row r="25" customFormat="false" ht="12.75" hidden="false" customHeight="false" outlineLevel="0" collapsed="false">
      <c r="A25" s="76" t="s">
        <v>138</v>
      </c>
      <c r="B25" s="74"/>
      <c r="C25" s="74"/>
      <c r="D25" s="74"/>
      <c r="E25" s="74"/>
      <c r="F25" s="70"/>
      <c r="G25" s="74"/>
      <c r="H25" s="74"/>
      <c r="I25" s="80"/>
      <c r="J25" s="80"/>
      <c r="K25" s="80"/>
      <c r="L25" s="80"/>
      <c r="M25" s="80"/>
      <c r="N25" s="80"/>
      <c r="O25" s="70"/>
      <c r="P25" s="74"/>
      <c r="Q25" s="74"/>
    </row>
    <row r="26" customFormat="false" ht="12.75" hidden="false" customHeight="false" outlineLevel="0" collapsed="false">
      <c r="A26" s="76" t="s">
        <v>139</v>
      </c>
      <c r="B26" s="70" t="n">
        <v>2.71</v>
      </c>
      <c r="C26" s="70" t="n">
        <v>3.36</v>
      </c>
      <c r="D26" s="70" t="n">
        <v>2.04</v>
      </c>
      <c r="E26" s="70" t="n">
        <v>-6.8</v>
      </c>
      <c r="F26" s="70" t="n">
        <v>1.8</v>
      </c>
      <c r="G26" s="70" t="n">
        <v>5.39</v>
      </c>
      <c r="H26" s="74"/>
      <c r="I26" s="80"/>
      <c r="J26" s="80"/>
      <c r="K26" s="80"/>
      <c r="L26" s="80"/>
      <c r="M26" s="80"/>
      <c r="N26" s="80"/>
      <c r="O26" s="70"/>
      <c r="P26" s="74"/>
      <c r="Q26" s="74"/>
    </row>
    <row r="27" customFormat="false" ht="12.75" hidden="false" customHeight="false" outlineLevel="0" collapsed="false">
      <c r="A27" s="76" t="s">
        <v>140</v>
      </c>
      <c r="B27" s="70" t="n">
        <v>2.61</v>
      </c>
      <c r="C27" s="70" t="n">
        <v>3.23</v>
      </c>
      <c r="D27" s="70" t="n">
        <v>1.97</v>
      </c>
      <c r="E27" s="70" t="n">
        <v>-6.8</v>
      </c>
      <c r="F27" s="70" t="n">
        <v>1.78</v>
      </c>
      <c r="G27" s="70" t="n">
        <v>5.23</v>
      </c>
      <c r="H27" s="74"/>
      <c r="I27" s="80"/>
      <c r="J27" s="80"/>
      <c r="K27" s="80"/>
      <c r="L27" s="80"/>
      <c r="M27" s="80"/>
      <c r="N27" s="80"/>
      <c r="O27" s="70"/>
      <c r="P27" s="74"/>
      <c r="Q27" s="74"/>
    </row>
    <row r="28" customFormat="false" ht="12.75" hidden="false" customHeight="false" outlineLevel="0" collapsed="false">
      <c r="A28" s="76" t="s">
        <v>141</v>
      </c>
      <c r="B28" s="70" t="n">
        <v>1.14</v>
      </c>
      <c r="C28" s="70" t="n">
        <v>1.14</v>
      </c>
      <c r="D28" s="70" t="n">
        <v>1.14</v>
      </c>
      <c r="E28" s="70" t="n">
        <v>1.14</v>
      </c>
      <c r="F28" s="70" t="n">
        <v>1.14</v>
      </c>
      <c r="G28" s="70" t="n">
        <v>1.14</v>
      </c>
      <c r="H28" s="74"/>
      <c r="I28" s="80"/>
      <c r="J28" s="80"/>
      <c r="K28" s="80"/>
      <c r="L28" s="80"/>
      <c r="M28" s="80"/>
      <c r="N28" s="80"/>
      <c r="O28" s="70"/>
      <c r="P28" s="74"/>
      <c r="Q28" s="74"/>
    </row>
    <row r="29" customFormat="false" ht="12.75" hidden="false" customHeight="false" outlineLevel="0" collapsed="false">
      <c r="A29" s="76"/>
      <c r="B29" s="74"/>
      <c r="C29" s="74"/>
      <c r="D29" s="74"/>
      <c r="E29" s="74"/>
      <c r="F29" s="70"/>
      <c r="G29" s="74"/>
      <c r="H29" s="74"/>
      <c r="I29" s="80"/>
      <c r="J29" s="80"/>
      <c r="K29" s="80"/>
      <c r="L29" s="80"/>
      <c r="M29" s="80"/>
      <c r="N29" s="80"/>
      <c r="O29" s="70"/>
      <c r="P29" s="74"/>
      <c r="Q29" s="74"/>
    </row>
    <row r="30" customFormat="false" ht="12.75" hidden="false" customHeight="false" outlineLevel="0" collapsed="false">
      <c r="A30" s="76" t="s">
        <v>142</v>
      </c>
      <c r="B30" s="84" t="n">
        <v>131689</v>
      </c>
      <c r="C30" s="84" t="n">
        <v>134027</v>
      </c>
      <c r="D30" s="84" t="n">
        <v>137185</v>
      </c>
      <c r="E30" s="84" t="n">
        <v>137460</v>
      </c>
      <c r="F30" s="84" t="n">
        <v>135466</v>
      </c>
      <c r="G30" s="84" t="n">
        <v>134149</v>
      </c>
      <c r="H30" s="74"/>
      <c r="I30" s="80"/>
      <c r="J30" s="80"/>
      <c r="K30" s="80"/>
      <c r="L30" s="80"/>
      <c r="M30" s="80"/>
      <c r="N30" s="80"/>
      <c r="O30" s="70"/>
      <c r="P30" s="74"/>
      <c r="Q30" s="74"/>
    </row>
    <row r="31" customFormat="false" ht="11.25" hidden="false" customHeight="false" outlineLevel="0" collapsed="false">
      <c r="A31" s="85"/>
      <c r="I31" s="86"/>
      <c r="J31" s="86"/>
      <c r="K31" s="86"/>
      <c r="L31" s="86"/>
      <c r="M31" s="86"/>
      <c r="N31" s="86"/>
      <c r="O31" s="86"/>
    </row>
    <row r="32" customFormat="false" ht="12.75" hidden="false" customHeight="false" outlineLevel="0" collapsed="false">
      <c r="A32" s="85"/>
      <c r="C32" s="76" t="s">
        <v>143</v>
      </c>
      <c r="I32" s="86"/>
      <c r="J32" s="86"/>
      <c r="K32" s="86"/>
      <c r="L32" s="86"/>
      <c r="M32" s="86"/>
      <c r="N32" s="86"/>
      <c r="O32" s="86"/>
    </row>
    <row r="33" customFormat="false" ht="12.75" hidden="false" customHeight="false" outlineLevel="0" collapsed="false">
      <c r="A33" s="85"/>
      <c r="D33" s="70" t="s">
        <v>144</v>
      </c>
      <c r="E33" s="70"/>
      <c r="G33" s="70"/>
      <c r="H33" s="70"/>
      <c r="J33" s="77" t="s">
        <v>121</v>
      </c>
      <c r="K33" s="77" t="s">
        <v>121</v>
      </c>
      <c r="L33" s="77" t="s">
        <v>121</v>
      </c>
      <c r="M33" s="77" t="s">
        <v>121</v>
      </c>
      <c r="N33" s="77" t="s">
        <v>121</v>
      </c>
      <c r="O33" s="77" t="s">
        <v>121</v>
      </c>
      <c r="P33" s="77" t="s">
        <v>121</v>
      </c>
      <c r="Q33" s="77" t="s">
        <v>121</v>
      </c>
      <c r="R33" s="77" t="s">
        <v>121</v>
      </c>
      <c r="S33" s="77" t="s">
        <v>121</v>
      </c>
    </row>
    <row r="34" customFormat="false" ht="12.75" hidden="false" customHeight="false" outlineLevel="0" collapsed="false">
      <c r="A34" s="87"/>
      <c r="B34" s="75" t="n">
        <v>2000</v>
      </c>
      <c r="C34" s="75" t="n">
        <v>1999</v>
      </c>
      <c r="D34" s="75" t="n">
        <v>1998</v>
      </c>
      <c r="E34" s="75" t="n">
        <v>1997</v>
      </c>
      <c r="F34" s="75" t="n">
        <v>1996</v>
      </c>
      <c r="G34" s="75" t="n">
        <v>1995</v>
      </c>
      <c r="H34" s="88" t="s">
        <v>122</v>
      </c>
      <c r="I34" s="86"/>
      <c r="J34" s="79" t="n">
        <v>2001</v>
      </c>
      <c r="K34" s="11" t="n">
        <f aca="false">J34+1</f>
        <v>2002</v>
      </c>
      <c r="L34" s="11" t="n">
        <f aca="false">K34+1</f>
        <v>2003</v>
      </c>
      <c r="M34" s="11" t="n">
        <f aca="false">L34+1</f>
        <v>2004</v>
      </c>
      <c r="N34" s="11" t="n">
        <f aca="false">M34+1</f>
        <v>2005</v>
      </c>
      <c r="O34" s="11" t="n">
        <f aca="false">N34+1</f>
        <v>2006</v>
      </c>
      <c r="P34" s="11" t="n">
        <f aca="false">O34+1</f>
        <v>2007</v>
      </c>
      <c r="Q34" s="11" t="n">
        <f aca="false">P34+1</f>
        <v>2008</v>
      </c>
      <c r="R34" s="11" t="n">
        <f aca="false">Q34+1</f>
        <v>2009</v>
      </c>
      <c r="S34" s="11" t="n">
        <f aca="false">R34+1</f>
        <v>2010</v>
      </c>
    </row>
    <row r="35" customFormat="false" ht="12.75" hidden="false" customHeight="false" outlineLevel="0" collapsed="false">
      <c r="A35" s="76" t="s">
        <v>123</v>
      </c>
      <c r="B35" s="80" t="n">
        <f aca="false">B4/B$4</f>
        <v>1</v>
      </c>
      <c r="C35" s="80" t="n">
        <f aca="false">C4/C$4</f>
        <v>1</v>
      </c>
      <c r="D35" s="80" t="n">
        <f aca="false">D4/D$4</f>
        <v>1</v>
      </c>
      <c r="E35" s="80" t="n">
        <f aca="false">E4/E$4</f>
        <v>1</v>
      </c>
      <c r="F35" s="80" t="n">
        <f aca="false">F4/F$4</f>
        <v>1</v>
      </c>
      <c r="G35" s="80" t="n">
        <f aca="false">G4/G$4</f>
        <v>1</v>
      </c>
      <c r="H35" s="89" t="n">
        <f aca="false">SUM(B35:G35)/6</f>
        <v>1</v>
      </c>
      <c r="I35" s="86"/>
      <c r="J35" s="80" t="n">
        <v>1</v>
      </c>
      <c r="K35" s="80" t="n">
        <v>1</v>
      </c>
      <c r="L35" s="80" t="n">
        <v>1</v>
      </c>
      <c r="M35" s="80" t="n">
        <v>1</v>
      </c>
      <c r="N35" s="80" t="n">
        <v>1</v>
      </c>
      <c r="O35" s="80" t="n">
        <v>1</v>
      </c>
      <c r="P35" s="80" t="n">
        <v>1</v>
      </c>
      <c r="Q35" s="80" t="n">
        <v>1</v>
      </c>
      <c r="R35" s="80" t="n">
        <v>1</v>
      </c>
      <c r="S35" s="80" t="n">
        <v>1</v>
      </c>
    </row>
    <row r="36" customFormat="false" ht="12.75" hidden="false" customHeight="false" outlineLevel="0" collapsed="false">
      <c r="A36" s="76" t="s">
        <v>125</v>
      </c>
      <c r="B36" s="80" t="n">
        <f aca="false">B5/B$4</f>
        <v>0.453937710771672</v>
      </c>
      <c r="C36" s="80" t="n">
        <f aca="false">C5/C$4</f>
        <v>0.452213662913739</v>
      </c>
      <c r="D36" s="80" t="n">
        <f aca="false">D5/D$4</f>
        <v>0.490325245224574</v>
      </c>
      <c r="E36" s="80" t="n">
        <f aca="false">E5/E$4</f>
        <v>0.511374284745898</v>
      </c>
      <c r="F36" s="80" t="n">
        <f aca="false">F5/F$4</f>
        <v>0.540007693787267</v>
      </c>
      <c r="G36" s="80" t="n">
        <f aca="false">G5/G$4</f>
        <v>0.553308700033591</v>
      </c>
      <c r="H36" s="89" t="n">
        <f aca="false">SUM(B36:G36)/6</f>
        <v>0.500194549579457</v>
      </c>
      <c r="I36" s="86"/>
      <c r="J36" s="80" t="n">
        <v>0.453937710771672</v>
      </c>
      <c r="K36" s="80" t="n">
        <v>0.453937710771672</v>
      </c>
      <c r="L36" s="80" t="n">
        <v>0.453937710771672</v>
      </c>
      <c r="M36" s="80" t="n">
        <v>0.453937710771672</v>
      </c>
      <c r="N36" s="80" t="n">
        <v>0.453937710771672</v>
      </c>
      <c r="O36" s="80" t="n">
        <v>0.453937710771672</v>
      </c>
      <c r="P36" s="80" t="n">
        <v>0.453937710771672</v>
      </c>
      <c r="Q36" s="80" t="n">
        <v>0.453937710771672</v>
      </c>
      <c r="R36" s="80" t="n">
        <v>0.453937710771672</v>
      </c>
      <c r="S36" s="80" t="n">
        <v>0.453937710771672</v>
      </c>
    </row>
    <row r="37" customFormat="false" ht="12.75" hidden="false" customHeight="false" outlineLevel="0" collapsed="false">
      <c r="A37" s="76"/>
      <c r="B37" s="80"/>
      <c r="C37" s="80"/>
      <c r="D37" s="80"/>
      <c r="E37" s="80"/>
      <c r="F37" s="80"/>
      <c r="G37" s="80"/>
      <c r="H37" s="89"/>
      <c r="I37" s="86"/>
      <c r="J37" s="80"/>
      <c r="K37" s="80"/>
      <c r="L37" s="80"/>
      <c r="M37" s="80"/>
      <c r="N37" s="80"/>
      <c r="O37" s="80"/>
      <c r="P37" s="80"/>
      <c r="Q37" s="80"/>
      <c r="R37" s="80"/>
      <c r="S37" s="80"/>
    </row>
    <row r="38" customFormat="false" ht="12.75" hidden="false" customHeight="false" outlineLevel="0" collapsed="false">
      <c r="A38" s="76" t="s">
        <v>127</v>
      </c>
      <c r="B38" s="80" t="n">
        <f aca="false">B7/B$4</f>
        <v>0.546062289228328</v>
      </c>
      <c r="C38" s="80" t="n">
        <f aca="false">C7/C$4</f>
        <v>0.547786337086261</v>
      </c>
      <c r="D38" s="80" t="n">
        <f aca="false">D7/D$4</f>
        <v>0.509674754775426</v>
      </c>
      <c r="E38" s="80" t="n">
        <f aca="false">E7/E$4</f>
        <v>0.488625715254102</v>
      </c>
      <c r="F38" s="80" t="n">
        <f aca="false">F7/F$4</f>
        <v>0.459992306212733</v>
      </c>
      <c r="G38" s="80" t="n">
        <f aca="false">G7/G$4</f>
        <v>0.446691299966409</v>
      </c>
      <c r="H38" s="89" t="n">
        <f aca="false">SUM(B38:G38)/6</f>
        <v>0.499805450420543</v>
      </c>
      <c r="I38" s="86"/>
      <c r="J38" s="80" t="n">
        <v>0.546062289228328</v>
      </c>
      <c r="K38" s="80" t="n">
        <v>0.546062289228328</v>
      </c>
      <c r="L38" s="80" t="n">
        <v>0.546062289228328</v>
      </c>
      <c r="M38" s="80" t="n">
        <v>0.546062289228328</v>
      </c>
      <c r="N38" s="80" t="n">
        <v>0.546062289228328</v>
      </c>
      <c r="O38" s="80" t="n">
        <v>0.546062289228328</v>
      </c>
      <c r="P38" s="80" t="n">
        <v>0.546062289228328</v>
      </c>
      <c r="Q38" s="80" t="n">
        <v>0.546062289228328</v>
      </c>
      <c r="R38" s="80" t="n">
        <v>0.546062289228328</v>
      </c>
      <c r="S38" s="80" t="n">
        <v>0.546062289228328</v>
      </c>
    </row>
    <row r="39" customFormat="false" ht="12.75" hidden="false" customHeight="false" outlineLevel="0" collapsed="false">
      <c r="A39" s="76" t="s">
        <v>128</v>
      </c>
      <c r="B39" s="80" t="n">
        <f aca="false">B8/B$4</f>
        <v>0.390557429081531</v>
      </c>
      <c r="C39" s="80" t="n">
        <f aca="false">C8/C$4</f>
        <v>0.402967070176924</v>
      </c>
      <c r="D39" s="80" t="n">
        <f aca="false">D8/D$4</f>
        <v>0.386680433660299</v>
      </c>
      <c r="E39" s="80" t="n">
        <f aca="false">E8/E$4</f>
        <v>0.38656618218793</v>
      </c>
      <c r="F39" s="80" t="n">
        <f aca="false">F8/F$4</f>
        <v>0.381034814387382</v>
      </c>
      <c r="G39" s="80" t="n">
        <f aca="false">G8/G$4</f>
        <v>0.396170641585489</v>
      </c>
      <c r="H39" s="89" t="n">
        <f aca="false">SUM(B39:G39)/6</f>
        <v>0.390662761846593</v>
      </c>
      <c r="I39" s="86"/>
      <c r="J39" s="80" t="n">
        <v>0.390557429081531</v>
      </c>
      <c r="K39" s="80" t="n">
        <v>0.390557429081531</v>
      </c>
      <c r="L39" s="80" t="n">
        <v>0.390557429081531</v>
      </c>
      <c r="M39" s="80" t="n">
        <v>0.390557429081531</v>
      </c>
      <c r="N39" s="80" t="n">
        <v>0.390557429081531</v>
      </c>
      <c r="O39" s="80" t="n">
        <v>0.390557429081531</v>
      </c>
      <c r="P39" s="80" t="n">
        <v>0.390557429081531</v>
      </c>
      <c r="Q39" s="80" t="n">
        <v>0.390557429081531</v>
      </c>
      <c r="R39" s="80" t="n">
        <v>0.390557429081531</v>
      </c>
      <c r="S39" s="80" t="n">
        <v>0.390557429081531</v>
      </c>
    </row>
    <row r="40" customFormat="false" ht="12.75" hidden="false" customHeight="false" outlineLevel="0" collapsed="false">
      <c r="A40" s="83"/>
      <c r="B40" s="80"/>
      <c r="C40" s="80"/>
      <c r="D40" s="80"/>
      <c r="E40" s="80"/>
      <c r="F40" s="80"/>
      <c r="G40" s="80"/>
      <c r="H40" s="89"/>
      <c r="I40" s="86"/>
      <c r="J40" s="80"/>
      <c r="K40" s="80"/>
      <c r="L40" s="80"/>
      <c r="M40" s="80"/>
      <c r="N40" s="80"/>
      <c r="O40" s="80"/>
      <c r="P40" s="80"/>
      <c r="Q40" s="80"/>
      <c r="R40" s="80"/>
      <c r="S40" s="80"/>
    </row>
    <row r="41" customFormat="false" ht="12.75" hidden="false" customHeight="false" outlineLevel="0" collapsed="false">
      <c r="A41" s="83"/>
      <c r="B41" s="80"/>
      <c r="C41" s="80"/>
      <c r="D41" s="80"/>
      <c r="E41" s="80"/>
      <c r="F41" s="80"/>
      <c r="G41" s="80"/>
      <c r="H41" s="89"/>
      <c r="I41" s="86"/>
      <c r="J41" s="80"/>
      <c r="K41" s="80"/>
      <c r="L41" s="80"/>
      <c r="M41" s="80"/>
      <c r="N41" s="80"/>
      <c r="O41" s="80"/>
      <c r="P41" s="80"/>
      <c r="Q41" s="80"/>
      <c r="R41" s="80"/>
      <c r="S41" s="80"/>
    </row>
    <row r="42" customFormat="false" ht="12.75" hidden="false" customHeight="false" outlineLevel="0" collapsed="false">
      <c r="A42" s="83"/>
      <c r="B42" s="80"/>
      <c r="C42" s="80"/>
      <c r="D42" s="80"/>
      <c r="E42" s="80"/>
      <c r="F42" s="80"/>
      <c r="G42" s="80"/>
      <c r="H42" s="89"/>
      <c r="I42" s="86"/>
      <c r="J42" s="80"/>
      <c r="K42" s="80"/>
      <c r="L42" s="80"/>
      <c r="M42" s="80"/>
      <c r="N42" s="80"/>
      <c r="O42" s="80"/>
      <c r="P42" s="80"/>
      <c r="Q42" s="80"/>
      <c r="R42" s="80"/>
      <c r="S42" s="80"/>
    </row>
    <row r="43" customFormat="false" ht="12.75" hidden="false" customHeight="false" outlineLevel="0" collapsed="false">
      <c r="A43" s="76" t="s">
        <v>129</v>
      </c>
      <c r="B43" s="80" t="n">
        <f aca="false">B12/B$4</f>
        <v>0.0362031342987502</v>
      </c>
      <c r="C43" s="80" t="n">
        <f aca="false">C12/C$4</f>
        <v>-0.000486751883518158</v>
      </c>
      <c r="D43" s="80" t="n">
        <f aca="false">D12/D$4</f>
        <v>0.0265358802271554</v>
      </c>
      <c r="E43" s="80" t="n">
        <f aca="false">E12/E$4</f>
        <v>0.296329525290588</v>
      </c>
      <c r="F43" s="80" t="n">
        <f aca="false">F12/F$4</f>
        <v>-0.0218118869013272</v>
      </c>
      <c r="G43" s="80" t="n">
        <f aca="false">G12/G$4</f>
        <v>-0.17693987235472</v>
      </c>
      <c r="H43" s="89" t="n">
        <f aca="false">SUM(B43:G43)/6</f>
        <v>0.0266383381128214</v>
      </c>
      <c r="I43" s="86"/>
      <c r="J43" s="80" t="n">
        <v>0.0362031342987502</v>
      </c>
      <c r="K43" s="80" t="n">
        <v>0.0362031342987502</v>
      </c>
      <c r="L43" s="80" t="n">
        <v>0.0362031342987502</v>
      </c>
      <c r="M43" s="80" t="n">
        <v>0.0362031342987502</v>
      </c>
      <c r="N43" s="80" t="n">
        <v>0.0362031342987502</v>
      </c>
      <c r="O43" s="80" t="n">
        <v>0.0362031342987502</v>
      </c>
      <c r="P43" s="80" t="n">
        <v>0.0362031342987502</v>
      </c>
      <c r="Q43" s="80" t="n">
        <v>0.0362031342987502</v>
      </c>
      <c r="R43" s="80" t="n">
        <v>0.0362031342987502</v>
      </c>
      <c r="S43" s="80" t="n">
        <v>0.0362031342987502</v>
      </c>
    </row>
    <row r="44" customFormat="false" ht="12.75" hidden="false" customHeight="false" outlineLevel="0" collapsed="false">
      <c r="A44" s="76" t="s">
        <v>130</v>
      </c>
      <c r="B44" s="80" t="n">
        <f aca="false">B13/B$4</f>
        <v>0.0107121602856576</v>
      </c>
      <c r="C44" s="80" t="n">
        <f aca="false">C13/C$4</f>
        <v>0.0130999746042496</v>
      </c>
      <c r="D44" s="80" t="n">
        <f aca="false">D13/D$4</f>
        <v>0.0143727413526071</v>
      </c>
      <c r="E44" s="80" t="n">
        <f aca="false">E13/E$4</f>
        <v>0.01710628626114</v>
      </c>
      <c r="F44" s="80" t="n">
        <f aca="false">F13/F$4</f>
        <v>0.0205424120023081</v>
      </c>
      <c r="G44" s="80" t="n">
        <f aca="false">G13/G$4</f>
        <v>0.0221027880416527</v>
      </c>
      <c r="H44" s="89" t="n">
        <f aca="false">SUM(B44:G44)/6</f>
        <v>0.0163227270912692</v>
      </c>
      <c r="I44" s="86"/>
      <c r="J44" s="80" t="n">
        <v>0.0107121602856576</v>
      </c>
      <c r="K44" s="80" t="n">
        <v>0.0107121602856576</v>
      </c>
      <c r="L44" s="80" t="n">
        <v>0.0107121602856576</v>
      </c>
      <c r="M44" s="80" t="n">
        <v>0.0107121602856576</v>
      </c>
      <c r="N44" s="80" t="n">
        <v>0.0107121602856576</v>
      </c>
      <c r="O44" s="80" t="n">
        <v>0.0107121602856576</v>
      </c>
      <c r="P44" s="80" t="n">
        <v>0.0107121602856576</v>
      </c>
      <c r="Q44" s="80" t="n">
        <v>0.0107121602856576</v>
      </c>
      <c r="R44" s="80" t="n">
        <v>0.0107121602856576</v>
      </c>
      <c r="S44" s="80" t="n">
        <v>0.0107121602856576</v>
      </c>
    </row>
    <row r="45" customFormat="false" ht="12.75" hidden="false" customHeight="false" outlineLevel="0" collapsed="false">
      <c r="A45" s="76" t="s">
        <v>131</v>
      </c>
      <c r="B45" s="80" t="n">
        <f aca="false">B14/B$4</f>
        <v>-0.0017853600476096</v>
      </c>
      <c r="C45" s="80" t="n">
        <f aca="false">C14/C$4</f>
        <v>-0.0024760856683315</v>
      </c>
      <c r="D45" s="80" t="n">
        <f aca="false">D14/D$4</f>
        <v>-0.00220960247805885</v>
      </c>
      <c r="E45" s="80" t="n">
        <f aca="false">E14/E$4</f>
        <v>-0.0013358055705086</v>
      </c>
      <c r="F45" s="80" t="n">
        <f aca="false">F14/F$4</f>
        <v>-0.00142335064435468</v>
      </c>
      <c r="G45" s="80" t="n">
        <f aca="false">G14/G$4</f>
        <v>-0.00104131676184078</v>
      </c>
      <c r="H45" s="89" t="n">
        <f aca="false">SUM(B45:G45)/6</f>
        <v>-0.00171192019511734</v>
      </c>
      <c r="I45" s="86"/>
      <c r="J45" s="80" t="n">
        <v>-0.0017853600476096</v>
      </c>
      <c r="K45" s="80" t="n">
        <v>-0.0017853600476096</v>
      </c>
      <c r="L45" s="80" t="n">
        <v>-0.0017853600476096</v>
      </c>
      <c r="M45" s="80" t="n">
        <v>-0.0017853600476096</v>
      </c>
      <c r="N45" s="80" t="n">
        <v>-0.0017853600476096</v>
      </c>
      <c r="O45" s="80" t="n">
        <v>-0.0017853600476096</v>
      </c>
      <c r="P45" s="80" t="n">
        <v>-0.0017853600476096</v>
      </c>
      <c r="Q45" s="80" t="n">
        <v>-0.0017853600476096</v>
      </c>
      <c r="R45" s="80" t="n">
        <v>-0.0017853600476096</v>
      </c>
      <c r="S45" s="80" t="n">
        <v>-0.0017853600476096</v>
      </c>
    </row>
    <row r="46" customFormat="false" ht="12.75" hidden="false" customHeight="false" outlineLevel="0" collapsed="false">
      <c r="A46" s="76" t="s">
        <v>132</v>
      </c>
      <c r="B46" s="80" t="n">
        <f aca="false">B15/B$4</f>
        <v>0.00105137869470343</v>
      </c>
      <c r="C46" s="80" t="n">
        <f aca="false">C15/C$4</f>
        <v>0.0038305256920342</v>
      </c>
      <c r="D46" s="80" t="n">
        <f aca="false">D15/D$4</f>
        <v>0.00239545689210119</v>
      </c>
      <c r="E46" s="80" t="n">
        <f aca="false">E15/E$4</f>
        <v>0.00215323883007357</v>
      </c>
      <c r="F46" s="80" t="n">
        <f aca="false">F15/F$4</f>
        <v>0.00171186766685901</v>
      </c>
      <c r="G46" s="80" t="n">
        <f aca="false">G15/G$4</f>
        <v>0.00141081625797783</v>
      </c>
      <c r="H46" s="89" t="n">
        <f aca="false">SUM(B46:G46)/6</f>
        <v>0.00209221400562487</v>
      </c>
      <c r="I46" s="86"/>
      <c r="J46" s="80" t="n">
        <v>0.00105137869470343</v>
      </c>
      <c r="K46" s="80" t="n">
        <v>0.00105137869470343</v>
      </c>
      <c r="L46" s="80" t="n">
        <v>0.00105137869470343</v>
      </c>
      <c r="M46" s="80" t="n">
        <v>0.00105137869470343</v>
      </c>
      <c r="N46" s="80" t="n">
        <v>0.00105137869470343</v>
      </c>
      <c r="O46" s="80" t="n">
        <v>0.00105137869470343</v>
      </c>
      <c r="P46" s="80" t="n">
        <v>0.00105137869470343</v>
      </c>
      <c r="Q46" s="80" t="n">
        <v>0.00105137869470343</v>
      </c>
      <c r="R46" s="80" t="n">
        <v>0.00105137869470343</v>
      </c>
      <c r="S46" s="80" t="n">
        <v>0.00105137869470343</v>
      </c>
    </row>
    <row r="47" customFormat="false" ht="12.75" hidden="false" customHeight="false" outlineLevel="0" collapsed="false">
      <c r="A47" s="76"/>
      <c r="B47" s="80"/>
      <c r="C47" s="80"/>
      <c r="D47" s="80"/>
      <c r="E47" s="80"/>
      <c r="F47" s="80"/>
      <c r="G47" s="80"/>
      <c r="H47" s="89"/>
      <c r="I47" s="86"/>
      <c r="J47" s="80"/>
      <c r="K47" s="80"/>
      <c r="L47" s="80"/>
      <c r="M47" s="80"/>
      <c r="N47" s="80"/>
      <c r="O47" s="80"/>
      <c r="P47" s="80"/>
      <c r="Q47" s="80"/>
      <c r="R47" s="80"/>
      <c r="S47" s="80"/>
    </row>
    <row r="48" customFormat="false" ht="12.75" hidden="false" customHeight="false" outlineLevel="0" collapsed="false">
      <c r="A48" s="76" t="s">
        <v>133</v>
      </c>
      <c r="B48" s="80" t="n">
        <f aca="false">B17/B$4</f>
        <v>0.109323546915295</v>
      </c>
      <c r="C48" s="80" t="n">
        <f aca="false">C17/C$4</f>
        <v>0.130851604164903</v>
      </c>
      <c r="D48" s="80" t="n">
        <f aca="false">D17/D$4</f>
        <v>0.0818998451213216</v>
      </c>
      <c r="E48" s="80" t="n">
        <f aca="false">E17/E$4</f>
        <v>-0.21219371174512</v>
      </c>
      <c r="F48" s="80" t="n">
        <f aca="false">F17/F$4</f>
        <v>0.0799384497018658</v>
      </c>
      <c r="G48" s="80" t="n">
        <f aca="false">G17/G$4</f>
        <v>0.20498824319785</v>
      </c>
      <c r="H48" s="89" t="n">
        <f aca="false">SUM(B48:G48)/6</f>
        <v>0.0658013295593525</v>
      </c>
      <c r="I48" s="86"/>
      <c r="J48" s="80" t="n">
        <v>0.109323546915295</v>
      </c>
      <c r="K48" s="80" t="n">
        <v>0.109323546915295</v>
      </c>
      <c r="L48" s="80" t="n">
        <v>0.109323546915295</v>
      </c>
      <c r="M48" s="80" t="n">
        <v>0.109323546915295</v>
      </c>
      <c r="N48" s="80" t="n">
        <v>0.109323546915295</v>
      </c>
      <c r="O48" s="80" t="n">
        <v>0.109323546915295</v>
      </c>
      <c r="P48" s="80" t="n">
        <v>0.109323546915295</v>
      </c>
      <c r="Q48" s="80" t="n">
        <v>0.109323546915295</v>
      </c>
      <c r="R48" s="80" t="n">
        <v>0.109323546915295</v>
      </c>
      <c r="S48" s="80" t="n">
        <v>0.109323546915295</v>
      </c>
    </row>
    <row r="49" customFormat="false" ht="12.75" hidden="false" customHeight="false" outlineLevel="0" collapsed="false">
      <c r="A49" s="76" t="s">
        <v>134</v>
      </c>
      <c r="B49" s="80" t="n">
        <f aca="false">B18/B$4</f>
        <v>0.0377901210077366</v>
      </c>
      <c r="C49" s="80" t="n">
        <f aca="false">C18/C$4</f>
        <v>0.0345593837297892</v>
      </c>
      <c r="D49" s="80" t="n">
        <f aca="false">D18/D$4</f>
        <v>0.0231491997934951</v>
      </c>
      <c r="E49" s="80" t="n">
        <f aca="false">E18/E$4</f>
        <v>-0.0265964870307235</v>
      </c>
      <c r="F49" s="80" t="n">
        <f aca="false">F18/F$4</f>
        <v>0.0322562031159838</v>
      </c>
      <c r="G49" s="80" t="n">
        <f aca="false">G18/G$4</f>
        <v>0.0833893181054753</v>
      </c>
      <c r="H49" s="89" t="n">
        <f aca="false">SUM(B49:G49)/6</f>
        <v>0.0307579564536261</v>
      </c>
      <c r="I49" s="86"/>
      <c r="J49" s="80" t="n">
        <v>0.0377901210077366</v>
      </c>
      <c r="K49" s="80" t="n">
        <v>0.0377901210077366</v>
      </c>
      <c r="L49" s="80" t="n">
        <v>0.0377901210077366</v>
      </c>
      <c r="M49" s="80" t="n">
        <v>0.0377901210077366</v>
      </c>
      <c r="N49" s="80" t="n">
        <v>0.0377901210077366</v>
      </c>
      <c r="O49" s="80" t="n">
        <v>0.0377901210077366</v>
      </c>
      <c r="P49" s="80" t="n">
        <v>0.0377901210077366</v>
      </c>
      <c r="Q49" s="80" t="n">
        <v>0.0377901210077366</v>
      </c>
      <c r="R49" s="80" t="n">
        <v>0.0377901210077366</v>
      </c>
      <c r="S49" s="80" t="n">
        <v>0.0377901210077366</v>
      </c>
    </row>
    <row r="50" customFormat="false" ht="12.75" hidden="false" customHeight="false" outlineLevel="0" collapsed="false">
      <c r="A50" s="76"/>
      <c r="B50" s="80"/>
      <c r="C50" s="80"/>
      <c r="D50" s="80"/>
      <c r="E50" s="80"/>
      <c r="F50" s="80"/>
      <c r="G50" s="80"/>
      <c r="H50" s="89"/>
      <c r="I50" s="86"/>
      <c r="J50" s="80"/>
      <c r="K50" s="80"/>
      <c r="L50" s="80"/>
      <c r="M50" s="80"/>
      <c r="N50" s="80"/>
      <c r="O50" s="80"/>
      <c r="P50" s="80"/>
      <c r="Q50" s="80"/>
      <c r="R50" s="80"/>
      <c r="S50" s="80"/>
    </row>
    <row r="51" customFormat="false" ht="12.75" hidden="false" customHeight="false" outlineLevel="0" collapsed="false">
      <c r="A51" s="76" t="s">
        <v>135</v>
      </c>
      <c r="B51" s="80" t="n">
        <f aca="false">B20/B$4</f>
        <v>0.071533425907558</v>
      </c>
      <c r="C51" s="80" t="n">
        <f aca="false">C20/C$4</f>
        <v>0.0962922204351139</v>
      </c>
      <c r="D51" s="80" t="n">
        <f aca="false">D20/D$4</f>
        <v>0.0587506453278265</v>
      </c>
      <c r="E51" s="80" t="n">
        <f aca="false">E20/E$4</f>
        <v>-0.185597224714397</v>
      </c>
      <c r="F51" s="80" t="n">
        <f aca="false">F20/F$4</f>
        <v>0.0476822465858819</v>
      </c>
      <c r="G51" s="80" t="n">
        <f aca="false">G20/G$4</f>
        <v>0.121598925092375</v>
      </c>
      <c r="H51" s="89" t="n">
        <f aca="false">SUM(B51:G51)/6</f>
        <v>0.0350433731057264</v>
      </c>
      <c r="I51" s="86"/>
      <c r="J51" s="80" t="n">
        <v>0.071533425907558</v>
      </c>
      <c r="K51" s="80" t="n">
        <v>0.071533425907558</v>
      </c>
      <c r="L51" s="80" t="n">
        <v>0.071533425907558</v>
      </c>
      <c r="M51" s="80" t="n">
        <v>0.071533425907558</v>
      </c>
      <c r="N51" s="80" t="n">
        <v>0.071533425907558</v>
      </c>
      <c r="O51" s="80" t="n">
        <v>0.071533425907558</v>
      </c>
      <c r="P51" s="80" t="n">
        <v>0.071533425907558</v>
      </c>
      <c r="Q51" s="80" t="n">
        <v>0.071533425907558</v>
      </c>
      <c r="R51" s="80" t="n">
        <v>0.071533425907558</v>
      </c>
      <c r="S51" s="80" t="n">
        <v>0.071533425907558</v>
      </c>
    </row>
    <row r="52" customFormat="false" ht="12.75" hidden="false" customHeight="false" outlineLevel="0" collapsed="false">
      <c r="A52" s="76" t="s">
        <v>136</v>
      </c>
      <c r="B52" s="80" t="n">
        <f aca="false">B21/B$4</f>
        <v>0.000833168022217814</v>
      </c>
      <c r="C52" s="80" t="n">
        <f aca="false">C21/C$4</f>
        <v>0.000931177516295607</v>
      </c>
      <c r="D52" s="80" t="n">
        <f aca="false">D21/D$4</f>
        <v>0.000929272070211668</v>
      </c>
      <c r="E52" s="80" t="n">
        <f aca="false">E21/E$4</f>
        <v>0.000697808880116434</v>
      </c>
      <c r="F52" s="80" t="n">
        <f aca="false">F21/F$4</f>
        <v>0.000711675322177342</v>
      </c>
      <c r="G52" s="80" t="n">
        <f aca="false">G21/G$4</f>
        <v>0.000671817265703729</v>
      </c>
      <c r="H52" s="89" t="n">
        <f aca="false">SUM(B52:G52)/6</f>
        <v>0.000795819846120432</v>
      </c>
      <c r="I52" s="86"/>
      <c r="J52" s="80" t="n">
        <v>0.000833168022217814</v>
      </c>
      <c r="K52" s="80" t="n">
        <v>0.000833168022217814</v>
      </c>
      <c r="L52" s="80" t="n">
        <v>0.000833168022217814</v>
      </c>
      <c r="M52" s="80" t="n">
        <v>0.000833168022217814</v>
      </c>
      <c r="N52" s="80" t="n">
        <v>0.000833168022217814</v>
      </c>
      <c r="O52" s="80" t="n">
        <v>0.000833168022217814</v>
      </c>
      <c r="P52" s="80" t="n">
        <v>0.000833168022217814</v>
      </c>
      <c r="Q52" s="80" t="n">
        <v>0.000833168022217814</v>
      </c>
      <c r="R52" s="80" t="n">
        <v>0.000833168022217814</v>
      </c>
      <c r="S52" s="80" t="n">
        <v>0.000833168022217814</v>
      </c>
    </row>
    <row r="53" customFormat="false" ht="12.75" hidden="false" customHeight="false" outlineLevel="0" collapsed="false">
      <c r="A53" s="76"/>
      <c r="B53" s="80"/>
      <c r="C53" s="80"/>
      <c r="D53" s="80"/>
      <c r="E53" s="80"/>
      <c r="F53" s="80"/>
      <c r="G53" s="80"/>
      <c r="H53" s="89"/>
      <c r="I53" s="86"/>
      <c r="J53" s="80"/>
      <c r="K53" s="80"/>
      <c r="L53" s="80"/>
      <c r="M53" s="80"/>
      <c r="N53" s="80"/>
      <c r="O53" s="80"/>
      <c r="P53" s="80"/>
      <c r="Q53" s="80"/>
      <c r="R53" s="80"/>
      <c r="S53" s="80"/>
    </row>
    <row r="54" customFormat="false" ht="12.75" hidden="false" customHeight="false" outlineLevel="0" collapsed="false">
      <c r="A54" s="76" t="s">
        <v>137</v>
      </c>
      <c r="B54" s="80" t="n">
        <f aca="false">B23/B$4</f>
        <v>0.0707002578853402</v>
      </c>
      <c r="C54" s="80" t="n">
        <f aca="false">C23/C$4</f>
        <v>0.0953610429188183</v>
      </c>
      <c r="D54" s="80" t="n">
        <f aca="false">D23/D$4</f>
        <v>0.0578213732576149</v>
      </c>
      <c r="E54" s="80" t="n">
        <f aca="false">E23/E$4</f>
        <v>-0.186295033594513</v>
      </c>
      <c r="F54" s="80" t="n">
        <f aca="false">F23/F$4</f>
        <v>0.0469705712637046</v>
      </c>
      <c r="G54" s="80" t="n">
        <f aca="false">G23/G$4</f>
        <v>0.120927107826671</v>
      </c>
      <c r="H54" s="89" t="n">
        <f aca="false">SUM(B54:G54)/6</f>
        <v>0.034247553259606</v>
      </c>
      <c r="I54" s="86"/>
      <c r="J54" s="80" t="n">
        <v>0.0707002578853402</v>
      </c>
      <c r="K54" s="80" t="n">
        <v>0.0707002578853402</v>
      </c>
      <c r="L54" s="80" t="n">
        <v>0.0707002578853402</v>
      </c>
      <c r="M54" s="80" t="n">
        <v>0.0707002578853402</v>
      </c>
      <c r="N54" s="80" t="n">
        <v>0.0707002578853402</v>
      </c>
      <c r="O54" s="80" t="n">
        <v>0.0707002578853402</v>
      </c>
      <c r="P54" s="80" t="n">
        <v>0.0707002578853402</v>
      </c>
      <c r="Q54" s="80" t="n">
        <v>0.0707002578853402</v>
      </c>
      <c r="R54" s="80" t="n">
        <v>0.0707002578853402</v>
      </c>
      <c r="S54" s="80" t="n">
        <v>0.0707002578853402</v>
      </c>
    </row>
    <row r="55" customFormat="false" ht="12.75" hidden="false" customHeight="false" outlineLevel="0" collapsed="false">
      <c r="A55" s="85"/>
      <c r="B55" s="70"/>
      <c r="C55" s="70"/>
      <c r="D55" s="70"/>
      <c r="E55" s="70"/>
      <c r="F55" s="70"/>
      <c r="G55" s="70"/>
      <c r="H55" s="70"/>
      <c r="I55" s="86"/>
      <c r="J55" s="86"/>
      <c r="K55" s="86"/>
      <c r="L55" s="86"/>
      <c r="M55" s="86"/>
      <c r="N55" s="86"/>
      <c r="O55" s="86"/>
    </row>
    <row r="56" customFormat="false" ht="12.75" hidden="false" customHeight="false" outlineLevel="0" collapsed="false">
      <c r="A56" s="85"/>
      <c r="B56" s="70"/>
      <c r="C56" s="70"/>
      <c r="D56" s="70"/>
      <c r="E56" s="70"/>
      <c r="F56" s="70"/>
      <c r="G56" s="70"/>
      <c r="H56" s="70"/>
      <c r="I56" s="86"/>
      <c r="J56" s="86"/>
      <c r="K56" s="86"/>
      <c r="L56" s="86"/>
      <c r="M56" s="86"/>
      <c r="N56" s="86"/>
      <c r="O56" s="86"/>
    </row>
    <row r="57" customFormat="false" ht="12.75" hidden="false" customHeight="false" outlineLevel="0" collapsed="false">
      <c r="A57" s="85"/>
      <c r="B57" s="70"/>
      <c r="C57" s="70"/>
      <c r="D57" s="70"/>
      <c r="E57" s="70"/>
      <c r="F57" s="70"/>
      <c r="G57" s="70"/>
      <c r="H57" s="70"/>
      <c r="I57" s="86"/>
      <c r="J57" s="86"/>
      <c r="K57" s="86"/>
      <c r="L57" s="86"/>
      <c r="M57" s="86"/>
      <c r="N57" s="86"/>
      <c r="O57" s="86"/>
    </row>
    <row r="58" customFormat="false" ht="11.25" hidden="false" customHeight="false" outlineLevel="0" collapsed="false">
      <c r="A58" s="85"/>
      <c r="I58" s="86"/>
      <c r="J58" s="86"/>
      <c r="K58" s="86"/>
      <c r="L58" s="86"/>
      <c r="M58" s="86"/>
      <c r="N58" s="86"/>
      <c r="O58" s="86"/>
    </row>
    <row r="59" customFormat="false" ht="12.75" hidden="false" customHeight="false" outlineLevel="0" collapsed="false">
      <c r="A59" s="75" t="s">
        <v>145</v>
      </c>
      <c r="B59" s="88" t="s">
        <v>146</v>
      </c>
      <c r="C59" s="88" t="s">
        <v>147</v>
      </c>
      <c r="D59" s="88" t="s">
        <v>148</v>
      </c>
      <c r="E59" s="88" t="s">
        <v>149</v>
      </c>
      <c r="F59" s="88" t="s">
        <v>150</v>
      </c>
      <c r="G59" s="88" t="s">
        <v>151</v>
      </c>
      <c r="H59" s="90"/>
    </row>
    <row r="60" customFormat="false" ht="12.75" hidden="false" customHeight="false" outlineLevel="0" collapsed="false">
      <c r="A60" s="76" t="s">
        <v>152</v>
      </c>
      <c r="B60" s="73" t="n">
        <v>97.375</v>
      </c>
      <c r="C60" s="70"/>
      <c r="D60" s="70"/>
      <c r="E60" s="70"/>
      <c r="F60" s="70"/>
      <c r="G60" s="70"/>
    </row>
    <row r="61" customFormat="false" ht="12.75" hidden="false" customHeight="false" outlineLevel="0" collapsed="false">
      <c r="A61" s="76" t="s">
        <v>153</v>
      </c>
      <c r="B61" s="73" t="n">
        <v>131.689</v>
      </c>
      <c r="C61" s="70"/>
      <c r="D61" s="70"/>
      <c r="E61" s="70"/>
      <c r="F61" s="70"/>
      <c r="G61" s="70"/>
      <c r="H61" s="70"/>
    </row>
    <row r="62" customFormat="false" ht="12.75" hidden="false" customHeight="false" outlineLevel="0" collapsed="false">
      <c r="A62" s="76" t="s">
        <v>154</v>
      </c>
      <c r="B62" s="73" t="n">
        <f aca="false">B60/B4</f>
        <v>0.0193166038484428</v>
      </c>
      <c r="C62" s="70"/>
      <c r="D62" s="70"/>
      <c r="E62" s="70"/>
      <c r="F62" s="70"/>
      <c r="G62" s="70"/>
      <c r="H62" s="70"/>
    </row>
    <row r="63" customFormat="false" ht="12.75" hidden="false" customHeight="false" outlineLevel="0" collapsed="false">
      <c r="A63" s="76" t="s">
        <v>155</v>
      </c>
      <c r="B63" s="73" t="n">
        <f aca="false">B60/(B17+B13+'OAT Cash Flow'!C9)</f>
        <v>0.131926568215689</v>
      </c>
      <c r="C63" s="70"/>
      <c r="D63" s="70"/>
      <c r="E63" s="70"/>
      <c r="F63" s="70"/>
      <c r="G63" s="70"/>
      <c r="H63" s="70"/>
    </row>
    <row r="64" customFormat="false" ht="12.75" hidden="false" customHeight="false" outlineLevel="0" collapsed="false">
      <c r="A64" s="76" t="s">
        <v>156</v>
      </c>
      <c r="B64" s="73" t="n">
        <f aca="false">B60/B23</f>
        <v>0.273218294051627</v>
      </c>
      <c r="C64" s="70"/>
      <c r="D64" s="70"/>
      <c r="E64" s="70"/>
      <c r="F64" s="70"/>
      <c r="G64" s="70"/>
      <c r="H64" s="70"/>
    </row>
    <row r="65" customFormat="false" ht="12.75" hidden="false" customHeight="false" outlineLevel="0" collapsed="false">
      <c r="A65" s="76" t="s">
        <v>157</v>
      </c>
      <c r="B65" s="73" t="n">
        <f aca="false">(B60/(B23/B61))</f>
        <v>35.9798439253648</v>
      </c>
      <c r="C65" s="70"/>
      <c r="D65" s="70"/>
      <c r="E65" s="70"/>
      <c r="F65" s="70"/>
      <c r="G65" s="70"/>
      <c r="H65" s="70"/>
    </row>
    <row r="66" customFormat="false" ht="12.75" hidden="false" customHeight="false" outlineLevel="0" collapsed="false">
      <c r="A66" s="76" t="s">
        <v>158</v>
      </c>
      <c r="B66" s="73" t="n">
        <f aca="false">B60/('OAT Balance Sheet'!B60/'OAT Income Statement'!B61)</f>
        <v>36.1522874964759</v>
      </c>
      <c r="C66" s="70"/>
      <c r="D66" s="70"/>
      <c r="E66" s="70"/>
      <c r="F66" s="70"/>
      <c r="G66" s="70"/>
      <c r="H66" s="70"/>
    </row>
    <row r="67" customFormat="false" ht="12.75" hidden="false" customHeight="false" outlineLevel="0" collapsed="false">
      <c r="A67" s="76" t="s">
        <v>159</v>
      </c>
      <c r="B67" s="70"/>
      <c r="C67" s="70"/>
      <c r="D67" s="70"/>
      <c r="E67" s="70"/>
      <c r="F67" s="70"/>
      <c r="G67" s="70"/>
      <c r="H67" s="70"/>
    </row>
    <row r="68" customFormat="false" ht="12.75" hidden="false" customHeight="false" outlineLevel="0" collapsed="false">
      <c r="A68" s="70"/>
      <c r="B68" s="70"/>
      <c r="C68" s="70"/>
      <c r="D68" s="70"/>
      <c r="E68" s="70"/>
      <c r="F68" s="70"/>
      <c r="G68" s="70"/>
      <c r="H68" s="70"/>
    </row>
    <row r="69" customFormat="false" ht="12.75" hidden="false" customHeight="false" outlineLevel="0" collapsed="false">
      <c r="B69" s="70"/>
      <c r="C69" s="70"/>
      <c r="D69" s="70"/>
      <c r="E69" s="70"/>
      <c r="F69" s="70"/>
      <c r="G69" s="70"/>
    </row>
    <row r="70" customFormat="false" ht="12.75" hidden="false" customHeight="false" outlineLevel="0" collapsed="false">
      <c r="B70" s="70"/>
      <c r="C70" s="70"/>
      <c r="D70" s="70"/>
      <c r="E70" s="70"/>
      <c r="F70" s="70"/>
      <c r="G70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1" man="true" max="16383" min="0"/>
  </rowBreaks>
  <colBreaks count="2" manualBreakCount="2">
    <brk id="8" man="true" max="65535" min="0"/>
    <brk id="19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2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25" activeCellId="0" sqref="D25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75.5"/>
    <col collapsed="false" customWidth="true" hidden="false" outlineLevel="0" max="2" min="2" style="0" width="13.49"/>
    <col collapsed="false" customWidth="true" hidden="false" outlineLevel="0" max="5" min="3" style="0" width="12.99"/>
    <col collapsed="false" customWidth="true" hidden="false" outlineLevel="0" max="6" min="6" style="0" width="14.65"/>
    <col collapsed="false" customWidth="true" hidden="false" outlineLevel="0" max="7" min="7" style="0" width="11.82"/>
    <col collapsed="false" customWidth="true" hidden="false" outlineLevel="0" max="8" min="8" style="0" width="76.16"/>
    <col collapsed="false" customWidth="true" hidden="false" outlineLevel="0" max="9" min="9" style="0" width="12.82"/>
    <col collapsed="false" customWidth="true" hidden="false" outlineLevel="0" max="10" min="10" style="0" width="12.65"/>
    <col collapsed="false" customWidth="true" hidden="false" outlineLevel="0" max="12" min="11" style="0" width="13.33"/>
    <col collapsed="false" customWidth="true" hidden="false" outlineLevel="0" max="13" min="13" style="0" width="11.49"/>
    <col collapsed="false" customWidth="true" hidden="false" outlineLevel="0" max="14" min="14" style="0" width="9.49"/>
  </cols>
  <sheetData>
    <row r="1" customFormat="false" ht="12.75" hidden="false" customHeight="false" outlineLevel="0" collapsed="false">
      <c r="A1" s="76" t="s">
        <v>118</v>
      </c>
      <c r="B1" s="70"/>
      <c r="C1" s="70"/>
      <c r="D1" s="70"/>
      <c r="E1" s="70"/>
      <c r="F1" s="70"/>
      <c r="G1" s="70"/>
      <c r="H1" s="76" t="s">
        <v>118</v>
      </c>
      <c r="I1" s="70"/>
      <c r="J1" s="70"/>
      <c r="K1" s="70"/>
      <c r="L1" s="70"/>
      <c r="M1" s="70"/>
    </row>
    <row r="2" customFormat="false" ht="12.75" hidden="false" customHeight="false" outlineLevel="0" collapsed="false">
      <c r="A2" s="76"/>
      <c r="B2" s="70"/>
      <c r="C2" s="70"/>
      <c r="D2" s="70"/>
      <c r="E2" s="70"/>
      <c r="F2" s="70"/>
      <c r="G2" s="70"/>
      <c r="H2" s="76"/>
      <c r="I2" s="70"/>
      <c r="J2" s="76" t="s">
        <v>120</v>
      </c>
      <c r="K2" s="70"/>
      <c r="L2" s="70"/>
      <c r="M2" s="70"/>
      <c r="N2" s="70"/>
    </row>
    <row r="3" customFormat="false" ht="12.75" hidden="false" customHeight="false" outlineLevel="0" collapsed="false">
      <c r="A3" s="76" t="s">
        <v>160</v>
      </c>
      <c r="B3" s="70"/>
      <c r="C3" s="70"/>
      <c r="D3" s="70"/>
      <c r="E3" s="70"/>
      <c r="F3" s="70"/>
      <c r="G3" s="70"/>
      <c r="H3" s="76" t="s">
        <v>160</v>
      </c>
      <c r="I3" s="70"/>
      <c r="J3" s="70"/>
      <c r="K3" s="70"/>
      <c r="L3" s="70"/>
      <c r="M3" s="70"/>
      <c r="N3" s="70"/>
    </row>
    <row r="4" customFormat="false" ht="12.75" hidden="false" customHeight="false" outlineLevel="0" collapsed="false">
      <c r="A4" s="76" t="s">
        <v>161</v>
      </c>
      <c r="B4" s="91" t="n">
        <v>36891</v>
      </c>
      <c r="C4" s="91" t="n">
        <v>36525</v>
      </c>
      <c r="D4" s="91" t="n">
        <v>36160</v>
      </c>
      <c r="E4" s="91" t="n">
        <v>35795</v>
      </c>
      <c r="F4" s="91" t="n">
        <v>35430</v>
      </c>
      <c r="G4" s="75"/>
      <c r="H4" s="76" t="s">
        <v>161</v>
      </c>
      <c r="I4" s="92" t="n">
        <v>36891</v>
      </c>
      <c r="J4" s="92" t="n">
        <v>36525</v>
      </c>
      <c r="K4" s="92" t="n">
        <v>36160</v>
      </c>
      <c r="L4" s="92" t="n">
        <v>35795</v>
      </c>
      <c r="M4" s="92" t="n">
        <v>35430</v>
      </c>
      <c r="N4" s="88" t="s">
        <v>122</v>
      </c>
    </row>
    <row r="5" customFormat="false" ht="12.75" hidden="false" customHeight="false" outlineLevel="0" collapsed="false">
      <c r="A5" s="76" t="s">
        <v>162</v>
      </c>
      <c r="B5" s="70" t="n">
        <v>174.3</v>
      </c>
      <c r="C5" s="70" t="n">
        <v>282.9</v>
      </c>
      <c r="D5" s="70" t="n">
        <v>326.6</v>
      </c>
      <c r="E5" s="70" t="n">
        <v>84.2</v>
      </c>
      <c r="F5" s="71" t="n">
        <v>110.5</v>
      </c>
      <c r="G5" s="70"/>
      <c r="H5" s="76" t="s">
        <v>162</v>
      </c>
      <c r="I5" s="80" t="n">
        <f aca="false">(B5-C5)/C5</f>
        <v>-0.383881230116649</v>
      </c>
      <c r="J5" s="80" t="n">
        <f aca="false">(C5-D5)/D5</f>
        <v>-0.133802816901409</v>
      </c>
      <c r="K5" s="80" t="n">
        <f aca="false">(D5-E5)/E5</f>
        <v>2.87885985748219</v>
      </c>
      <c r="L5" s="80" t="n">
        <f aca="false">(E5-F5)/F5</f>
        <v>-0.238009049773756</v>
      </c>
      <c r="M5" s="80"/>
      <c r="N5" s="89" t="n">
        <f aca="false">SUM(I5:L5)/4</f>
        <v>0.530791690172593</v>
      </c>
    </row>
    <row r="6" customFormat="false" ht="12.75" hidden="false" customHeight="false" outlineLevel="0" collapsed="false">
      <c r="A6" s="76" t="s">
        <v>163</v>
      </c>
      <c r="B6" s="70" t="n">
        <v>0.3</v>
      </c>
      <c r="C6" s="70" t="n">
        <v>0.3</v>
      </c>
      <c r="D6" s="70" t="n">
        <v>27.5</v>
      </c>
      <c r="E6" s="70"/>
      <c r="F6" s="70"/>
      <c r="G6" s="70"/>
      <c r="H6" s="76" t="s">
        <v>163</v>
      </c>
      <c r="I6" s="80" t="n">
        <f aca="false">(B6-C6)/C6</f>
        <v>0</v>
      </c>
      <c r="J6" s="80" t="n">
        <f aca="false">(C6-D6)/D6</f>
        <v>-0.989090909090909</v>
      </c>
      <c r="K6" s="80"/>
      <c r="L6" s="80"/>
      <c r="M6" s="80"/>
      <c r="N6" s="89"/>
    </row>
    <row r="7" customFormat="false" ht="12.75" hidden="false" customHeight="false" outlineLevel="0" collapsed="false">
      <c r="A7" s="76" t="s">
        <v>164</v>
      </c>
      <c r="B7" s="70" t="n">
        <v>298</v>
      </c>
      <c r="C7" s="70" t="n">
        <v>254.3</v>
      </c>
      <c r="D7" s="70" t="n">
        <v>283.4</v>
      </c>
      <c r="E7" s="70" t="n">
        <v>305.7</v>
      </c>
      <c r="F7" s="70" t="n">
        <v>294.9</v>
      </c>
      <c r="G7" s="70"/>
      <c r="H7" s="76" t="s">
        <v>164</v>
      </c>
      <c r="I7" s="80" t="n">
        <f aca="false">(B7-C7)/C7</f>
        <v>0.171844278411325</v>
      </c>
      <c r="J7" s="80" t="n">
        <f aca="false">(C7-D7)/D7</f>
        <v>-0.102681721947777</v>
      </c>
      <c r="K7" s="80" t="n">
        <f aca="false">(D7-E7)/E7</f>
        <v>-0.0729473339875696</v>
      </c>
      <c r="L7" s="80" t="n">
        <f aca="false">(E7-F7)/F7</f>
        <v>0.0366225839267549</v>
      </c>
      <c r="M7" s="80"/>
      <c r="N7" s="89" t="n">
        <f aca="false">SUM(I7:L7)/4</f>
        <v>0.0082094516006834</v>
      </c>
    </row>
    <row r="8" customFormat="false" ht="12.75" hidden="false" customHeight="false" outlineLevel="0" collapsed="false">
      <c r="A8" s="76" t="s">
        <v>165</v>
      </c>
      <c r="B8" s="70"/>
      <c r="C8" s="70"/>
      <c r="D8" s="70"/>
      <c r="E8" s="70"/>
      <c r="F8" s="70"/>
      <c r="G8" s="70"/>
      <c r="H8" s="76" t="s">
        <v>165</v>
      </c>
      <c r="I8" s="80"/>
      <c r="J8" s="80"/>
      <c r="K8" s="80"/>
      <c r="L8" s="80"/>
      <c r="M8" s="80"/>
      <c r="N8" s="70"/>
    </row>
    <row r="9" customFormat="false" ht="12.75" hidden="false" customHeight="false" outlineLevel="0" collapsed="false">
      <c r="A9" s="76" t="s">
        <v>166</v>
      </c>
      <c r="B9" s="70" t="n">
        <v>213.9</v>
      </c>
      <c r="C9" s="70" t="n">
        <v>186.6</v>
      </c>
      <c r="D9" s="70" t="n">
        <v>189.1</v>
      </c>
      <c r="E9" s="70" t="n">
        <v>172.6</v>
      </c>
      <c r="F9" s="70" t="n">
        <v>181.8</v>
      </c>
      <c r="G9" s="70"/>
      <c r="H9" s="76" t="s">
        <v>166</v>
      </c>
      <c r="I9" s="80" t="n">
        <f aca="false">(B9-C9)/C9</f>
        <v>0.146302250803859</v>
      </c>
      <c r="J9" s="80" t="n">
        <f aca="false">(C9-D9)/D9</f>
        <v>-0.0132205182443152</v>
      </c>
      <c r="K9" s="80" t="n">
        <f aca="false">(D9-E9)/E9</f>
        <v>0.0955967555040556</v>
      </c>
      <c r="L9" s="80" t="n">
        <f aca="false">(E9-F9)/F9</f>
        <v>-0.0506050605060507</v>
      </c>
      <c r="M9" s="80"/>
      <c r="N9" s="89" t="n">
        <f aca="false">SUM(I9:L9)/4</f>
        <v>0.0445183568893871</v>
      </c>
    </row>
    <row r="10" customFormat="false" ht="12.75" hidden="false" customHeight="false" outlineLevel="0" collapsed="false">
      <c r="A10" s="76" t="s">
        <v>167</v>
      </c>
      <c r="B10" s="70" t="n">
        <v>39</v>
      </c>
      <c r="C10" s="70" t="n">
        <v>50</v>
      </c>
      <c r="D10" s="70" t="n">
        <v>48.4</v>
      </c>
      <c r="E10" s="70" t="n">
        <v>59</v>
      </c>
      <c r="F10" s="70" t="n">
        <v>62.1</v>
      </c>
      <c r="G10" s="70"/>
      <c r="H10" s="76" t="s">
        <v>167</v>
      </c>
      <c r="I10" s="80" t="n">
        <f aca="false">(B10-C10)/C10</f>
        <v>-0.22</v>
      </c>
      <c r="J10" s="80" t="n">
        <f aca="false">(C10-D10)/D10</f>
        <v>0.0330578512396695</v>
      </c>
      <c r="K10" s="80" t="n">
        <f aca="false">(D10-E10)/E10</f>
        <v>-0.179661016949153</v>
      </c>
      <c r="L10" s="80" t="n">
        <f aca="false">(E10-F10)/F10</f>
        <v>-0.0499194847020934</v>
      </c>
      <c r="M10" s="80"/>
      <c r="N10" s="89" t="n">
        <f aca="false">SUM(I10:L10)/4</f>
        <v>-0.104130662602894</v>
      </c>
    </row>
    <row r="11" customFormat="false" ht="12.75" hidden="false" customHeight="false" outlineLevel="0" collapsed="false">
      <c r="A11" s="76" t="s">
        <v>168</v>
      </c>
      <c r="B11" s="70" t="n">
        <v>34.5</v>
      </c>
      <c r="C11" s="70" t="n">
        <v>29.6</v>
      </c>
      <c r="D11" s="70" t="n">
        <v>23.9</v>
      </c>
      <c r="E11" s="70" t="n">
        <v>24.5</v>
      </c>
      <c r="F11" s="70" t="n">
        <v>31</v>
      </c>
      <c r="G11" s="70"/>
      <c r="H11" s="76" t="s">
        <v>168</v>
      </c>
      <c r="I11" s="80" t="n">
        <f aca="false">(B11-C11)/C11</f>
        <v>0.165540540540541</v>
      </c>
      <c r="J11" s="80" t="n">
        <f aca="false">(C11-D11)/D11</f>
        <v>0.238493723849373</v>
      </c>
      <c r="K11" s="80" t="n">
        <f aca="false">(D11-E11)/E11</f>
        <v>-0.0244897959183674</v>
      </c>
      <c r="L11" s="80" t="n">
        <f aca="false">(E11-F11)/F11</f>
        <v>-0.209677419354839</v>
      </c>
      <c r="M11" s="80"/>
      <c r="N11" s="89" t="n">
        <f aca="false">SUM(I11:L11)/4</f>
        <v>0.0424667622791767</v>
      </c>
    </row>
    <row r="12" customFormat="false" ht="12.75" hidden="false" customHeight="false" outlineLevel="0" collapsed="false">
      <c r="A12" s="76"/>
      <c r="B12" s="70"/>
      <c r="C12" s="70"/>
      <c r="D12" s="70"/>
      <c r="E12" s="70"/>
      <c r="F12" s="70"/>
      <c r="G12" s="70"/>
      <c r="H12" s="76"/>
      <c r="I12" s="80"/>
      <c r="J12" s="80"/>
      <c r="K12" s="80"/>
      <c r="L12" s="80"/>
      <c r="M12" s="80"/>
      <c r="N12" s="70"/>
    </row>
    <row r="13" customFormat="false" ht="12.75" hidden="false" customHeight="false" outlineLevel="0" collapsed="false">
      <c r="A13" s="76" t="s">
        <v>169</v>
      </c>
      <c r="B13" s="70" t="n">
        <v>287.4</v>
      </c>
      <c r="C13" s="70" t="n">
        <v>266.2</v>
      </c>
      <c r="D13" s="70" t="n">
        <v>261.4</v>
      </c>
      <c r="E13" s="70" t="n">
        <v>256.1</v>
      </c>
      <c r="F13" s="70" t="n">
        <v>274.9</v>
      </c>
      <c r="G13" s="70"/>
      <c r="H13" s="76" t="s">
        <v>169</v>
      </c>
      <c r="I13" s="80" t="n">
        <f aca="false">(B13-C13)/C13</f>
        <v>0.0796393688955672</v>
      </c>
      <c r="J13" s="80" t="n">
        <f aca="false">(C13-D13)/D13</f>
        <v>0.018362662586075</v>
      </c>
      <c r="K13" s="80" t="n">
        <f aca="false">(D13-E13)/E13</f>
        <v>0.0206950409996093</v>
      </c>
      <c r="L13" s="80" t="n">
        <f aca="false">(E13-F13)/F13</f>
        <v>-0.0683885049108765</v>
      </c>
      <c r="M13" s="80"/>
      <c r="N13" s="89" t="n">
        <f aca="false">SUM(I13:L13)/4</f>
        <v>0.0125771418925938</v>
      </c>
    </row>
    <row r="14" customFormat="false" ht="12.75" hidden="false" customHeight="false" outlineLevel="0" collapsed="false">
      <c r="A14" s="76" t="s">
        <v>170</v>
      </c>
      <c r="B14" s="70" t="n">
        <v>253.7</v>
      </c>
      <c r="C14" s="70" t="n">
        <v>193</v>
      </c>
      <c r="D14" s="70" t="n">
        <v>216.1</v>
      </c>
      <c r="E14" s="70" t="n">
        <v>487</v>
      </c>
      <c r="F14" s="70" t="n">
        <v>209.4</v>
      </c>
      <c r="G14" s="70"/>
      <c r="H14" s="76" t="s">
        <v>170</v>
      </c>
      <c r="I14" s="80" t="n">
        <f aca="false">(B14-C14)/C14</f>
        <v>0.314507772020725</v>
      </c>
      <c r="J14" s="80" t="n">
        <f aca="false">(C14-D14)/D14</f>
        <v>-0.106894956038871</v>
      </c>
      <c r="K14" s="80" t="n">
        <f aca="false">(D14-E14)/E14</f>
        <v>-0.556262833675565</v>
      </c>
      <c r="L14" s="80" t="n">
        <f aca="false">(E14-F14)/F14</f>
        <v>1.32569245463228</v>
      </c>
      <c r="M14" s="80"/>
      <c r="N14" s="89" t="n">
        <f aca="false">SUM(I14:L14)/4</f>
        <v>0.244260609234643</v>
      </c>
    </row>
    <row r="15" customFormat="false" ht="12.75" hidden="false" customHeight="false" outlineLevel="0" collapsed="false">
      <c r="A15" s="76"/>
      <c r="B15" s="70"/>
      <c r="C15" s="70"/>
      <c r="D15" s="70"/>
      <c r="E15" s="70"/>
      <c r="F15" s="70"/>
      <c r="G15" s="70"/>
      <c r="H15" s="76"/>
      <c r="I15" s="80"/>
      <c r="J15" s="80"/>
      <c r="K15" s="80"/>
      <c r="L15" s="80"/>
      <c r="M15" s="80"/>
      <c r="N15" s="70"/>
    </row>
    <row r="16" customFormat="false" ht="12.75" hidden="false" customHeight="false" outlineLevel="0" collapsed="false">
      <c r="A16" s="76" t="s">
        <v>171</v>
      </c>
      <c r="B16" s="72" t="n">
        <v>1013.7</v>
      </c>
      <c r="C16" s="70" t="n">
        <v>996.7</v>
      </c>
      <c r="D16" s="72" t="n">
        <v>1115</v>
      </c>
      <c r="E16" s="72" t="n">
        <v>1133</v>
      </c>
      <c r="F16" s="70" t="n">
        <v>889.7</v>
      </c>
      <c r="G16" s="70"/>
      <c r="H16" s="76" t="s">
        <v>171</v>
      </c>
      <c r="I16" s="80" t="n">
        <f aca="false">(B16-C16)/C16</f>
        <v>0.0170562857429517</v>
      </c>
      <c r="J16" s="80" t="n">
        <f aca="false">(C16-D16)/D16</f>
        <v>-0.10609865470852</v>
      </c>
      <c r="K16" s="80" t="n">
        <f aca="false">(D16-E16)/E16</f>
        <v>-0.0158870255957635</v>
      </c>
      <c r="L16" s="80" t="n">
        <f aca="false">(E16-F16)/F16</f>
        <v>0.273462965044397</v>
      </c>
      <c r="M16" s="80"/>
      <c r="N16" s="89" t="n">
        <f aca="false">SUM(I16:L16)/4</f>
        <v>0.0421333926207663</v>
      </c>
    </row>
    <row r="17" customFormat="false" ht="12.75" hidden="false" customHeight="false" outlineLevel="0" collapsed="false">
      <c r="A17" s="76" t="s">
        <v>172</v>
      </c>
      <c r="B17" s="70"/>
      <c r="C17" s="70"/>
      <c r="D17" s="70"/>
      <c r="E17" s="70"/>
      <c r="F17" s="70"/>
      <c r="G17" s="70"/>
      <c r="H17" s="76" t="s">
        <v>172</v>
      </c>
      <c r="I17" s="70"/>
      <c r="J17" s="70"/>
      <c r="K17" s="70"/>
      <c r="L17" s="70"/>
      <c r="M17" s="70"/>
      <c r="N17" s="70"/>
    </row>
    <row r="18" customFormat="false" ht="12.75" hidden="false" customHeight="false" outlineLevel="0" collapsed="false">
      <c r="A18" s="76" t="s">
        <v>173</v>
      </c>
      <c r="B18" s="70" t="n">
        <v>27.1</v>
      </c>
      <c r="C18" s="70" t="n">
        <v>28.2</v>
      </c>
      <c r="D18" s="70" t="n">
        <v>24.1</v>
      </c>
      <c r="E18" s="70" t="n">
        <v>29.1</v>
      </c>
      <c r="F18" s="70" t="n">
        <v>29.6</v>
      </c>
      <c r="G18" s="70"/>
      <c r="H18" s="76" t="s">
        <v>173</v>
      </c>
      <c r="I18" s="80" t="n">
        <f aca="false">(B18-C18)/C18</f>
        <v>-0.0390070921985815</v>
      </c>
      <c r="J18" s="80" t="n">
        <f aca="false">(C18-D18)/D18</f>
        <v>0.170124481327801</v>
      </c>
      <c r="K18" s="80" t="n">
        <f aca="false">(D18-E18)/E18</f>
        <v>-0.171821305841924</v>
      </c>
      <c r="L18" s="80" t="n">
        <f aca="false">(E18-F18)/F18</f>
        <v>-0.0168918918918919</v>
      </c>
      <c r="M18" s="80"/>
      <c r="N18" s="89" t="n">
        <f aca="false">SUM(I18:L18)/4</f>
        <v>-0.0143989521511493</v>
      </c>
    </row>
    <row r="19" customFormat="false" ht="12.75" hidden="false" customHeight="false" outlineLevel="0" collapsed="false">
      <c r="A19" s="76" t="s">
        <v>174</v>
      </c>
      <c r="B19" s="70" t="n">
        <v>430.6</v>
      </c>
      <c r="C19" s="70" t="n">
        <v>407.6</v>
      </c>
      <c r="D19" s="70" t="n">
        <v>390.2</v>
      </c>
      <c r="E19" s="70" t="n">
        <v>417.2</v>
      </c>
      <c r="F19" s="70" t="n">
        <v>389.5</v>
      </c>
      <c r="G19" s="70"/>
      <c r="H19" s="76" t="s">
        <v>174</v>
      </c>
      <c r="I19" s="80" t="n">
        <f aca="false">(B19-C19)/C19</f>
        <v>0.0564278704612365</v>
      </c>
      <c r="J19" s="80" t="n">
        <f aca="false">(C19-D19)/D19</f>
        <v>0.0445925166581241</v>
      </c>
      <c r="K19" s="80" t="n">
        <f aca="false">(D19-E19)/E19</f>
        <v>-0.0647171620325983</v>
      </c>
      <c r="L19" s="80" t="n">
        <f aca="false">(E19-F19)/F19</f>
        <v>0.0711168164313222</v>
      </c>
      <c r="M19" s="80"/>
      <c r="N19" s="89" t="n">
        <f aca="false">SUM(I19:L19)/4</f>
        <v>0.0268550103795211</v>
      </c>
    </row>
    <row r="20" customFormat="false" ht="12.75" hidden="false" customHeight="false" outlineLevel="0" collapsed="false">
      <c r="A20" s="76" t="s">
        <v>175</v>
      </c>
      <c r="B20" s="72" t="n">
        <v>1469.9</v>
      </c>
      <c r="C20" s="72" t="n">
        <v>1416.1</v>
      </c>
      <c r="D20" s="72" t="n">
        <v>1404.5</v>
      </c>
      <c r="E20" s="72" t="n">
        <v>1466.8</v>
      </c>
      <c r="F20" s="72" t="n">
        <v>1524.2</v>
      </c>
      <c r="G20" s="70"/>
      <c r="H20" s="76" t="s">
        <v>175</v>
      </c>
      <c r="I20" s="80" t="n">
        <f aca="false">(B20-C20)/C20</f>
        <v>0.0379916672551375</v>
      </c>
      <c r="J20" s="80" t="n">
        <f aca="false">(C20-D20)/D20</f>
        <v>0.00825916696333208</v>
      </c>
      <c r="K20" s="80" t="n">
        <f aca="false">(D20-E20)/E20</f>
        <v>-0.0424734115080447</v>
      </c>
      <c r="L20" s="80" t="n">
        <f aca="false">(E20-F20)/F20</f>
        <v>-0.037659099855662</v>
      </c>
      <c r="M20" s="80"/>
      <c r="N20" s="89" t="n">
        <f aca="false">SUM(I20:L20)/4</f>
        <v>-0.00847041928630929</v>
      </c>
    </row>
    <row r="21" customFormat="false" ht="12.75" hidden="false" customHeight="false" outlineLevel="0" collapsed="false">
      <c r="A21" s="76"/>
      <c r="B21" s="70"/>
      <c r="C21" s="70"/>
      <c r="D21" s="70"/>
      <c r="E21" s="70"/>
      <c r="F21" s="70"/>
      <c r="G21" s="70"/>
      <c r="H21" s="76"/>
      <c r="I21" s="70"/>
      <c r="J21" s="70"/>
      <c r="K21" s="70"/>
      <c r="L21" s="70"/>
      <c r="M21" s="70"/>
      <c r="N21" s="70"/>
    </row>
    <row r="22" customFormat="false" ht="12.75" hidden="false" customHeight="false" outlineLevel="0" collapsed="false">
      <c r="A22" s="76" t="s">
        <v>176</v>
      </c>
      <c r="B22" s="72" t="n">
        <v>1927.6</v>
      </c>
      <c r="C22" s="72" t="n">
        <v>1851.9</v>
      </c>
      <c r="D22" s="72" t="n">
        <v>1818.8</v>
      </c>
      <c r="E22" s="72" t="n">
        <v>1913.1</v>
      </c>
      <c r="F22" s="72" t="n">
        <v>1943.3</v>
      </c>
      <c r="G22" s="70"/>
      <c r="H22" s="76" t="s">
        <v>176</v>
      </c>
      <c r="I22" s="80" t="n">
        <f aca="false">(B22-C22)/C22</f>
        <v>0.0408769371996327</v>
      </c>
      <c r="J22" s="80" t="n">
        <f aca="false">(C22-D22)/D22</f>
        <v>0.0181988124037828</v>
      </c>
      <c r="K22" s="80" t="n">
        <f aca="false">(D22-E22)/E22</f>
        <v>-0.0492917254717474</v>
      </c>
      <c r="L22" s="80" t="n">
        <f aca="false">(E22-F22)/F22</f>
        <v>-0.0155405753100396</v>
      </c>
      <c r="M22" s="80"/>
      <c r="N22" s="89" t="n">
        <f aca="false">SUM(I22:L22)/4</f>
        <v>-0.00143913779459289</v>
      </c>
    </row>
    <row r="23" customFormat="false" ht="12.75" hidden="false" customHeight="false" outlineLevel="0" collapsed="false">
      <c r="A23" s="76" t="s">
        <v>177</v>
      </c>
      <c r="B23" s="70" t="n">
        <v>807.6</v>
      </c>
      <c r="C23" s="70" t="n">
        <v>745.2</v>
      </c>
      <c r="D23" s="70" t="n">
        <v>748.6</v>
      </c>
      <c r="E23" s="70" t="n">
        <v>748.4</v>
      </c>
      <c r="F23" s="70" t="n">
        <v>742.6</v>
      </c>
      <c r="G23" s="70"/>
      <c r="H23" s="76" t="s">
        <v>177</v>
      </c>
      <c r="I23" s="80" t="n">
        <f aca="false">(B23-C23)/C23</f>
        <v>0.0837359098228663</v>
      </c>
      <c r="J23" s="80" t="n">
        <f aca="false">(C23-D23)/D23</f>
        <v>-0.00454181138124496</v>
      </c>
      <c r="K23" s="80" t="n">
        <f aca="false">(D23-E23)/E23</f>
        <v>0.000267236771779858</v>
      </c>
      <c r="L23" s="80" t="n">
        <f aca="false">(E23-F23)/F23</f>
        <v>0.00781039590627519</v>
      </c>
      <c r="M23" s="80"/>
      <c r="N23" s="89" t="n">
        <f aca="false">SUM(I23:L23)/4</f>
        <v>0.0218179327799191</v>
      </c>
    </row>
    <row r="24" customFormat="false" ht="12.75" hidden="false" customHeight="false" outlineLevel="0" collapsed="false">
      <c r="A24" s="76"/>
      <c r="B24" s="70"/>
      <c r="C24" s="70"/>
      <c r="D24" s="70"/>
      <c r="E24" s="70"/>
      <c r="F24" s="70"/>
      <c r="G24" s="70"/>
      <c r="H24" s="76"/>
      <c r="I24" s="70"/>
      <c r="J24" s="70"/>
      <c r="K24" s="70"/>
      <c r="L24" s="70"/>
      <c r="M24" s="70"/>
      <c r="N24" s="70"/>
    </row>
    <row r="25" customFormat="false" ht="12.75" hidden="false" customHeight="false" outlineLevel="0" collapsed="false">
      <c r="A25" s="76" t="s">
        <v>178</v>
      </c>
      <c r="B25" s="72" t="n">
        <v>1120</v>
      </c>
      <c r="C25" s="72" t="n">
        <v>1106.7</v>
      </c>
      <c r="D25" s="72" t="n">
        <v>1070.2</v>
      </c>
      <c r="E25" s="72" t="n">
        <v>1164.7</v>
      </c>
      <c r="F25" s="72" t="n">
        <v>1200.7</v>
      </c>
      <c r="G25" s="70"/>
      <c r="H25" s="76" t="s">
        <v>178</v>
      </c>
      <c r="I25" s="80" t="n">
        <f aca="false">(B25-C25)/C25</f>
        <v>0.0120177103099304</v>
      </c>
      <c r="J25" s="80" t="n">
        <f aca="false">(C25-D25)/D25</f>
        <v>0.0341057746215661</v>
      </c>
      <c r="K25" s="80" t="n">
        <f aca="false">(D25-E25)/E25</f>
        <v>-0.0811367734180476</v>
      </c>
      <c r="L25" s="80" t="n">
        <f aca="false">(E25-F25)/F25</f>
        <v>-0.0299825102023819</v>
      </c>
      <c r="M25" s="80"/>
      <c r="N25" s="89" t="n">
        <f aca="false">SUM(I25:L25)/4</f>
        <v>-0.0162489496722333</v>
      </c>
    </row>
    <row r="26" customFormat="false" ht="12.75" hidden="false" customHeight="false" outlineLevel="0" collapsed="false">
      <c r="A26" s="76" t="s">
        <v>179</v>
      </c>
      <c r="B26" s="70" t="n">
        <v>229.2</v>
      </c>
      <c r="C26" s="70" t="n">
        <v>236.9</v>
      </c>
      <c r="D26" s="70" t="n">
        <v>245.7</v>
      </c>
      <c r="E26" s="70" t="n">
        <v>350.5</v>
      </c>
      <c r="F26" s="72" t="n">
        <v>2237.2</v>
      </c>
      <c r="G26" s="70"/>
      <c r="H26" s="76" t="s">
        <v>179</v>
      </c>
      <c r="I26" s="80" t="n">
        <f aca="false">(B26-C26)/C26</f>
        <v>-0.0325031658927818</v>
      </c>
      <c r="J26" s="80" t="n">
        <f aca="false">(C26-D26)/D26</f>
        <v>-0.0358160358160358</v>
      </c>
      <c r="K26" s="80" t="n">
        <f aca="false">(D26-E26)/E26</f>
        <v>-0.299001426533524</v>
      </c>
      <c r="L26" s="80" t="n">
        <f aca="false">(E26-F26)/F26</f>
        <v>-0.843330949401037</v>
      </c>
      <c r="M26" s="80"/>
      <c r="N26" s="89" t="n">
        <f aca="false">SUM(I26:L26)/4</f>
        <v>-0.302662894410845</v>
      </c>
    </row>
    <row r="27" customFormat="false" ht="12.75" hidden="false" customHeight="false" outlineLevel="0" collapsed="false">
      <c r="A27" s="76" t="s">
        <v>180</v>
      </c>
      <c r="B27" s="70" t="n">
        <v>55.9</v>
      </c>
      <c r="C27" s="70" t="n">
        <v>55.9</v>
      </c>
      <c r="D27" s="70" t="n">
        <v>79.4</v>
      </c>
      <c r="E27" s="70" t="n">
        <v>48.8</v>
      </c>
      <c r="F27" s="70" t="n">
        <v>66.8</v>
      </c>
      <c r="G27" s="70"/>
      <c r="H27" s="76" t="s">
        <v>180</v>
      </c>
      <c r="I27" s="80" t="n">
        <f aca="false">(B27-C27)/C27</f>
        <v>0</v>
      </c>
      <c r="J27" s="80" t="n">
        <f aca="false">(C27-D27)/D27</f>
        <v>-0.295969773299748</v>
      </c>
      <c r="K27" s="80" t="n">
        <f aca="false">(D27-E27)/E27</f>
        <v>0.627049180327869</v>
      </c>
      <c r="L27" s="80" t="n">
        <f aca="false">(E27-F27)/F27</f>
        <v>-0.269461077844311</v>
      </c>
      <c r="M27" s="80"/>
      <c r="N27" s="89" t="n">
        <f aca="false">SUM(I27:L27)/4</f>
        <v>0.0154045822959524</v>
      </c>
    </row>
    <row r="28" customFormat="false" ht="12.75" hidden="false" customHeight="false" outlineLevel="0" collapsed="false">
      <c r="A28" s="76"/>
      <c r="B28" s="70"/>
      <c r="C28" s="70"/>
      <c r="D28" s="70"/>
      <c r="E28" s="70"/>
      <c r="F28" s="70"/>
      <c r="G28" s="70"/>
      <c r="H28" s="76"/>
      <c r="I28" s="70"/>
      <c r="J28" s="70"/>
      <c r="K28" s="70"/>
      <c r="L28" s="70"/>
      <c r="M28" s="70"/>
      <c r="N28" s="70"/>
    </row>
    <row r="29" customFormat="false" ht="12.75" hidden="false" customHeight="false" outlineLevel="0" collapsed="false">
      <c r="A29" s="76" t="s">
        <v>181</v>
      </c>
      <c r="B29" s="72" t="n">
        <v>2418.8</v>
      </c>
      <c r="C29" s="72" t="n">
        <v>2396.2</v>
      </c>
      <c r="D29" s="72" t="n">
        <v>2510.3</v>
      </c>
      <c r="E29" s="73" t="n">
        <v>2697</v>
      </c>
      <c r="F29" s="73" t="n">
        <v>4394.4</v>
      </c>
      <c r="G29" s="70"/>
      <c r="H29" s="76" t="s">
        <v>181</v>
      </c>
      <c r="I29" s="80" t="n">
        <f aca="false">(B29-C29)/C29</f>
        <v>0.00943160003338635</v>
      </c>
      <c r="J29" s="80" t="n">
        <f aca="false">(C29-D29)/D29</f>
        <v>-0.0454527347329006</v>
      </c>
      <c r="K29" s="80" t="n">
        <f aca="false">(D29-E29)/E29</f>
        <v>-0.0692250648869113</v>
      </c>
      <c r="L29" s="80" t="n">
        <f aca="false">(E29-F29)/F29</f>
        <v>-0.386264336428181</v>
      </c>
      <c r="M29" s="80"/>
      <c r="N29" s="89" t="n">
        <f aca="false">SUM(I29:L29)/4</f>
        <v>-0.122877634003652</v>
      </c>
    </row>
    <row r="30" customFormat="false" ht="12.75" hidden="false" customHeight="false" outlineLevel="0" collapsed="false">
      <c r="A30" s="76"/>
      <c r="B30" s="70"/>
      <c r="C30" s="70"/>
      <c r="D30" s="70"/>
      <c r="E30" s="70"/>
      <c r="F30" s="70"/>
      <c r="G30" s="70"/>
      <c r="H30" s="76"/>
      <c r="I30" s="70"/>
      <c r="J30" s="70"/>
      <c r="K30" s="70"/>
      <c r="L30" s="70"/>
      <c r="M30" s="70"/>
      <c r="N30" s="70"/>
    </row>
    <row r="31" customFormat="false" ht="12.75" hidden="false" customHeight="false" outlineLevel="0" collapsed="false">
      <c r="A31" s="76" t="s">
        <v>182</v>
      </c>
      <c r="B31" s="70"/>
      <c r="C31" s="70"/>
      <c r="D31" s="70"/>
      <c r="E31" s="70"/>
      <c r="F31" s="70"/>
      <c r="G31" s="70"/>
      <c r="H31" s="76" t="s">
        <v>182</v>
      </c>
      <c r="I31" s="70"/>
      <c r="J31" s="70"/>
      <c r="K31" s="70"/>
      <c r="L31" s="70"/>
      <c r="M31" s="70"/>
    </row>
    <row r="32" customFormat="false" ht="12.75" hidden="false" customHeight="false" outlineLevel="0" collapsed="false">
      <c r="A32" s="76" t="s">
        <v>183</v>
      </c>
      <c r="B32" s="70"/>
      <c r="C32" s="70"/>
      <c r="D32" s="70"/>
      <c r="E32" s="70"/>
      <c r="F32" s="70"/>
      <c r="G32" s="70"/>
      <c r="H32" s="76" t="s">
        <v>183</v>
      </c>
      <c r="I32" s="70"/>
      <c r="J32" s="70"/>
      <c r="K32" s="70"/>
      <c r="L32" s="70"/>
      <c r="M32" s="70"/>
    </row>
    <row r="33" customFormat="false" ht="12.75" hidden="false" customHeight="false" outlineLevel="0" collapsed="false">
      <c r="A33" s="76" t="s">
        <v>184</v>
      </c>
      <c r="B33" s="70" t="n">
        <v>81.6</v>
      </c>
      <c r="C33" s="70" t="n">
        <v>73.3</v>
      </c>
      <c r="D33" s="70" t="n">
        <v>41.3</v>
      </c>
      <c r="E33" s="70" t="n">
        <v>61</v>
      </c>
      <c r="F33" s="70" t="n">
        <v>517</v>
      </c>
      <c r="G33" s="70"/>
      <c r="H33" s="76" t="s">
        <v>184</v>
      </c>
      <c r="I33" s="80" t="n">
        <f aca="false">(B33-C33)/C33</f>
        <v>0.113233287858117</v>
      </c>
      <c r="J33" s="80" t="n">
        <f aca="false">(C33-D33)/D33</f>
        <v>0.774818401937046</v>
      </c>
      <c r="K33" s="80" t="n">
        <f aca="false">(D33-E33)/E33</f>
        <v>-0.322950819672131</v>
      </c>
      <c r="L33" s="80" t="n">
        <f aca="false">(E33-F33)/F33</f>
        <v>-0.882011605415861</v>
      </c>
      <c r="M33" s="80"/>
      <c r="N33" s="89" t="n">
        <f aca="false">SUM(I33:L33)/4</f>
        <v>-0.0792276838232071</v>
      </c>
    </row>
    <row r="34" customFormat="false" ht="12.75" hidden="false" customHeight="false" outlineLevel="0" collapsed="false">
      <c r="A34" s="76" t="s">
        <v>185</v>
      </c>
      <c r="B34" s="70" t="n">
        <v>48</v>
      </c>
      <c r="C34" s="70" t="n">
        <v>81.2</v>
      </c>
      <c r="D34" s="70" t="n">
        <v>95.2</v>
      </c>
      <c r="E34" s="70" t="n">
        <v>108.4</v>
      </c>
      <c r="F34" s="70" t="n">
        <v>51.1</v>
      </c>
      <c r="G34" s="70"/>
      <c r="H34" s="76" t="s">
        <v>185</v>
      </c>
      <c r="I34" s="80" t="n">
        <f aca="false">(B34-C34)/C34</f>
        <v>-0.408866995073892</v>
      </c>
      <c r="J34" s="80" t="n">
        <f aca="false">(C34-D34)/D34</f>
        <v>-0.147058823529412</v>
      </c>
      <c r="K34" s="80" t="n">
        <f aca="false">(D34-E34)/E34</f>
        <v>-0.121771217712177</v>
      </c>
      <c r="L34" s="80" t="n">
        <f aca="false">(E34-F34)/F34</f>
        <v>1.12133072407045</v>
      </c>
      <c r="M34" s="80"/>
      <c r="N34" s="89" t="n">
        <f aca="false">SUM(I34:L34)/4</f>
        <v>0.110908421938742</v>
      </c>
    </row>
    <row r="35" customFormat="false" ht="12.75" hidden="false" customHeight="false" outlineLevel="0" collapsed="false">
      <c r="A35" s="76" t="s">
        <v>186</v>
      </c>
      <c r="B35" s="70" t="n">
        <v>212.3</v>
      </c>
      <c r="C35" s="70" t="n">
        <v>213.6</v>
      </c>
      <c r="D35" s="70" t="n">
        <v>168.4</v>
      </c>
      <c r="E35" s="70" t="n">
        <v>191.3</v>
      </c>
      <c r="F35" s="70" t="n">
        <v>210.2</v>
      </c>
      <c r="G35" s="70"/>
      <c r="H35" s="76" t="s">
        <v>186</v>
      </c>
      <c r="I35" s="80" t="n">
        <f aca="false">(B35-C35)/C35</f>
        <v>-0.0060861423220973</v>
      </c>
      <c r="J35" s="80" t="n">
        <f aca="false">(C35-D35)/D35</f>
        <v>0.268408551068884</v>
      </c>
      <c r="K35" s="80" t="n">
        <f aca="false">(D35-E35)/E35</f>
        <v>-0.119707266074229</v>
      </c>
      <c r="L35" s="80" t="n">
        <f aca="false">(E35-F35)/F35</f>
        <v>-0.0899143672692673</v>
      </c>
      <c r="M35" s="80"/>
      <c r="N35" s="89" t="n">
        <f aca="false">SUM(I35:L35)/4</f>
        <v>0.0131751938508225</v>
      </c>
    </row>
    <row r="36" customFormat="false" ht="12.75" hidden="false" customHeight="false" outlineLevel="0" collapsed="false">
      <c r="A36" s="76" t="s">
        <v>187</v>
      </c>
      <c r="B36" s="70" t="n">
        <v>135.9</v>
      </c>
      <c r="C36" s="70" t="n">
        <v>139.1</v>
      </c>
      <c r="D36" s="70" t="n">
        <v>131.4</v>
      </c>
      <c r="E36" s="70" t="n">
        <v>132.3</v>
      </c>
      <c r="F36" s="70" t="n">
        <v>111.3</v>
      </c>
      <c r="G36" s="70"/>
      <c r="H36" s="76" t="s">
        <v>187</v>
      </c>
      <c r="I36" s="80" t="n">
        <f aca="false">(B36-C36)/C36</f>
        <v>-0.0230050323508267</v>
      </c>
      <c r="J36" s="80" t="n">
        <f aca="false">(C36-D36)/D36</f>
        <v>0.0585996955859969</v>
      </c>
      <c r="K36" s="80" t="n">
        <f aca="false">(D36-E36)/E36</f>
        <v>-0.00680272108843542</v>
      </c>
      <c r="L36" s="80" t="n">
        <f aca="false">(E36-F36)/F36</f>
        <v>0.188679245283019</v>
      </c>
      <c r="M36" s="80"/>
      <c r="N36" s="89" t="n">
        <f aca="false">SUM(I36:L36)/4</f>
        <v>0.0543677968574385</v>
      </c>
    </row>
    <row r="37" customFormat="false" ht="12.75" hidden="false" customHeight="false" outlineLevel="0" collapsed="false">
      <c r="A37" s="76" t="s">
        <v>188</v>
      </c>
      <c r="B37" s="70" t="n">
        <v>126.7</v>
      </c>
      <c r="C37" s="70" t="n">
        <v>138.7</v>
      </c>
      <c r="D37" s="70" t="n">
        <v>125.6</v>
      </c>
      <c r="E37" s="70" t="n">
        <v>123</v>
      </c>
      <c r="F37" s="70" t="n">
        <v>130.2</v>
      </c>
      <c r="G37" s="70"/>
      <c r="H37" s="76" t="s">
        <v>188</v>
      </c>
      <c r="I37" s="80" t="n">
        <f aca="false">(B37-C37)/C37</f>
        <v>-0.0865176640230713</v>
      </c>
      <c r="J37" s="80" t="n">
        <f aca="false">(C37-D37)/D37</f>
        <v>0.104299363057325</v>
      </c>
      <c r="K37" s="80" t="n">
        <f aca="false">(D37-E37)/E37</f>
        <v>0.0211382113821138</v>
      </c>
      <c r="L37" s="80" t="n">
        <f aca="false">(E37-F37)/F37</f>
        <v>-0.0552995391705068</v>
      </c>
      <c r="M37" s="80"/>
      <c r="N37" s="89" t="n">
        <f aca="false">SUM(I37:L37)/4</f>
        <v>-0.00409490718853488</v>
      </c>
    </row>
    <row r="38" customFormat="false" ht="12.75" hidden="false" customHeight="false" outlineLevel="0" collapsed="false">
      <c r="A38" s="76" t="s">
        <v>189</v>
      </c>
      <c r="B38" s="70" t="n">
        <v>15.6</v>
      </c>
      <c r="C38" s="70" t="n">
        <v>40.1</v>
      </c>
      <c r="D38" s="70" t="n">
        <v>63.7</v>
      </c>
      <c r="E38" s="70" t="n">
        <v>73.8</v>
      </c>
      <c r="F38" s="70" t="n">
        <v>42.4</v>
      </c>
      <c r="G38" s="70"/>
      <c r="H38" s="76" t="s">
        <v>189</v>
      </c>
      <c r="I38" s="80" t="n">
        <f aca="false">(B38-C38)/C38</f>
        <v>-0.610972568578554</v>
      </c>
      <c r="J38" s="80" t="n">
        <f aca="false">(C38-D38)/D38</f>
        <v>-0.370486656200942</v>
      </c>
      <c r="K38" s="80" t="n">
        <f aca="false">(D38-E38)/E38</f>
        <v>-0.136856368563686</v>
      </c>
      <c r="L38" s="80" t="n">
        <f aca="false">(E38-F38)/F38</f>
        <v>0.740566037735849</v>
      </c>
      <c r="M38" s="80"/>
      <c r="N38" s="89" t="n">
        <f aca="false">SUM(I38:L38)/4</f>
        <v>-0.094437388901833</v>
      </c>
    </row>
    <row r="39" customFormat="false" ht="12.75" hidden="false" customHeight="false" outlineLevel="0" collapsed="false">
      <c r="A39" s="76" t="s">
        <v>190</v>
      </c>
      <c r="B39" s="70" t="n">
        <v>240.3</v>
      </c>
      <c r="C39" s="70" t="n">
        <v>252.3</v>
      </c>
      <c r="D39" s="70" t="n">
        <v>383.5</v>
      </c>
      <c r="E39" s="70" t="n">
        <v>255.9</v>
      </c>
      <c r="F39" s="70" t="n">
        <v>292.5</v>
      </c>
      <c r="G39" s="70"/>
      <c r="H39" s="76" t="s">
        <v>190</v>
      </c>
      <c r="I39" s="80" t="n">
        <f aca="false">(B39-C39)/C39</f>
        <v>-0.0475624256837099</v>
      </c>
      <c r="J39" s="80" t="n">
        <f aca="false">(C39-D39)/D39</f>
        <v>-0.342112125162973</v>
      </c>
      <c r="K39" s="80" t="n">
        <f aca="false">(D39-E39)/E39</f>
        <v>0.498632278233685</v>
      </c>
      <c r="L39" s="80" t="n">
        <f aca="false">(E39-F39)/F39</f>
        <v>-0.125128205128205</v>
      </c>
      <c r="M39" s="80"/>
      <c r="N39" s="89" t="n">
        <f aca="false">SUM(I39:L39)/4</f>
        <v>-0.00404261943530063</v>
      </c>
    </row>
    <row r="40" customFormat="false" ht="12.75" hidden="false" customHeight="false" outlineLevel="0" collapsed="false">
      <c r="A40" s="76"/>
      <c r="B40" s="70"/>
      <c r="C40" s="70"/>
      <c r="D40" s="70"/>
      <c r="E40" s="70"/>
      <c r="F40" s="70"/>
      <c r="G40" s="70"/>
      <c r="H40" s="76"/>
      <c r="I40" s="70"/>
      <c r="J40" s="70"/>
      <c r="K40" s="70"/>
      <c r="L40" s="70"/>
      <c r="M40" s="70"/>
      <c r="N40" s="70"/>
    </row>
    <row r="41" customFormat="false" ht="12.75" hidden="false" customHeight="false" outlineLevel="0" collapsed="false">
      <c r="A41" s="76" t="s">
        <v>191</v>
      </c>
      <c r="B41" s="70" t="n">
        <v>860.4</v>
      </c>
      <c r="C41" s="70" t="n">
        <v>938.3</v>
      </c>
      <c r="D41" s="72" t="n">
        <v>1009.1</v>
      </c>
      <c r="E41" s="70" t="n">
        <v>945.7</v>
      </c>
      <c r="F41" s="72" t="n">
        <v>1354.7</v>
      </c>
      <c r="G41" s="70"/>
      <c r="H41" s="76" t="s">
        <v>191</v>
      </c>
      <c r="I41" s="80" t="n">
        <f aca="false">(B41-C41)/C41</f>
        <v>-0.0830224874773526</v>
      </c>
      <c r="J41" s="80" t="n">
        <f aca="false">(C41-D41)/D41</f>
        <v>-0.0701615300763057</v>
      </c>
      <c r="K41" s="80" t="n">
        <f aca="false">(D41-E41)/E41</f>
        <v>0.0670402876176377</v>
      </c>
      <c r="L41" s="80" t="n">
        <f aca="false">(E41-F41)/F41</f>
        <v>-0.301911862404961</v>
      </c>
      <c r="M41" s="80"/>
      <c r="N41" s="89" t="n">
        <f aca="false">SUM(I41:L41)/4</f>
        <v>-0.0970138980852453</v>
      </c>
    </row>
    <row r="42" customFormat="false" ht="12.75" hidden="false" customHeight="false" outlineLevel="0" collapsed="false">
      <c r="A42" s="76" t="s">
        <v>192</v>
      </c>
      <c r="B42" s="70" t="n">
        <v>664.1</v>
      </c>
      <c r="C42" s="70" t="n">
        <v>715</v>
      </c>
      <c r="D42" s="70" t="n">
        <v>795.1</v>
      </c>
      <c r="E42" s="70" t="n">
        <v>887.6</v>
      </c>
      <c r="F42" s="70" t="n">
        <v>993.5</v>
      </c>
      <c r="G42" s="70"/>
      <c r="H42" s="76" t="s">
        <v>192</v>
      </c>
      <c r="I42" s="80" t="n">
        <f aca="false">(B42-C42)/C42</f>
        <v>-0.0711888111888112</v>
      </c>
      <c r="J42" s="80" t="n">
        <f aca="false">(C42-D42)/D42</f>
        <v>-0.100742045025783</v>
      </c>
      <c r="K42" s="80" t="n">
        <f aca="false">(D42-E42)/E42</f>
        <v>-0.104213609734114</v>
      </c>
      <c r="L42" s="80" t="n">
        <f aca="false">(E42-F42)/F42</f>
        <v>-0.106592853548062</v>
      </c>
      <c r="M42" s="80"/>
      <c r="N42" s="89" t="n">
        <f aca="false">SUM(I42:L42)/4</f>
        <v>-0.0956843298741927</v>
      </c>
    </row>
    <row r="43" customFormat="false" ht="12.75" hidden="false" customHeight="false" outlineLevel="0" collapsed="false">
      <c r="A43" s="76" t="s">
        <v>193</v>
      </c>
      <c r="B43" s="70" t="n">
        <v>518</v>
      </c>
      <c r="C43" s="70" t="n">
        <v>523.1</v>
      </c>
      <c r="D43" s="70" t="n">
        <v>533.4</v>
      </c>
      <c r="E43" s="70" t="n">
        <v>578.9</v>
      </c>
      <c r="F43" s="70" t="n">
        <v>558.9</v>
      </c>
      <c r="G43" s="70"/>
      <c r="H43" s="76" t="s">
        <v>193</v>
      </c>
      <c r="I43" s="80" t="n">
        <f aca="false">(B43-C43)/C43</f>
        <v>-0.00974956987191746</v>
      </c>
      <c r="J43" s="80" t="n">
        <f aca="false">(C43-D43)/D43</f>
        <v>-0.01931008623922</v>
      </c>
      <c r="K43" s="80" t="n">
        <f aca="false">(D43-E43)/E43</f>
        <v>-0.0785973397823458</v>
      </c>
      <c r="L43" s="80" t="n">
        <f aca="false">(E43-F43)/F43</f>
        <v>0.0357845768473788</v>
      </c>
      <c r="M43" s="80"/>
      <c r="N43" s="89" t="n">
        <f aca="false">SUM(I43:L43)/4</f>
        <v>-0.0179681047615261</v>
      </c>
    </row>
    <row r="44" customFormat="false" ht="12.75" hidden="false" customHeight="false" outlineLevel="0" collapsed="false">
      <c r="A44" s="76" t="s">
        <v>194</v>
      </c>
      <c r="B44" s="70"/>
      <c r="C44" s="70"/>
      <c r="D44" s="70"/>
      <c r="E44" s="70" t="n">
        <v>36.3</v>
      </c>
      <c r="F44" s="70" t="n">
        <v>238.4</v>
      </c>
      <c r="G44" s="70"/>
      <c r="H44" s="76" t="s">
        <v>194</v>
      </c>
      <c r="I44" s="70"/>
      <c r="J44" s="70"/>
      <c r="K44" s="70"/>
      <c r="L44" s="70"/>
      <c r="M44" s="70"/>
    </row>
    <row r="45" customFormat="false" ht="12.75" hidden="false" customHeight="false" outlineLevel="0" collapsed="false">
      <c r="A45" s="76" t="s">
        <v>195</v>
      </c>
      <c r="B45" s="70"/>
      <c r="C45" s="70"/>
      <c r="D45" s="70"/>
      <c r="E45" s="70"/>
      <c r="F45" s="70"/>
      <c r="G45" s="70"/>
      <c r="H45" s="76" t="s">
        <v>195</v>
      </c>
      <c r="I45" s="70"/>
      <c r="J45" s="70"/>
      <c r="K45" s="70"/>
      <c r="L45" s="70"/>
      <c r="M45" s="70"/>
    </row>
    <row r="46" customFormat="false" ht="12.75" hidden="false" customHeight="false" outlineLevel="0" collapsed="false">
      <c r="A46" s="76" t="s">
        <v>196</v>
      </c>
      <c r="B46" s="70"/>
      <c r="C46" s="70"/>
      <c r="D46" s="70"/>
      <c r="E46" s="70"/>
      <c r="F46" s="70"/>
      <c r="G46" s="70"/>
      <c r="H46" s="76" t="s">
        <v>196</v>
      </c>
      <c r="I46" s="70"/>
      <c r="J46" s="70"/>
      <c r="K46" s="70"/>
      <c r="L46" s="70"/>
      <c r="M46" s="70"/>
    </row>
    <row r="47" customFormat="false" ht="12.75" hidden="false" customHeight="false" outlineLevel="0" collapsed="false">
      <c r="A47" s="76" t="s">
        <v>197</v>
      </c>
      <c r="B47" s="70" t="n">
        <v>100</v>
      </c>
      <c r="C47" s="70" t="n">
        <v>100</v>
      </c>
      <c r="D47" s="70" t="n">
        <v>100</v>
      </c>
      <c r="E47" s="70" t="n">
        <v>100</v>
      </c>
      <c r="F47" s="70" t="n">
        <v>100</v>
      </c>
      <c r="G47" s="70"/>
      <c r="H47" s="76" t="s">
        <v>197</v>
      </c>
      <c r="I47" s="70"/>
      <c r="J47" s="70"/>
      <c r="K47" s="70"/>
      <c r="L47" s="70"/>
      <c r="M47" s="70"/>
    </row>
    <row r="48" customFormat="false" ht="12.75" hidden="false" customHeight="false" outlineLevel="0" collapsed="false">
      <c r="A48" s="76" t="s">
        <v>198</v>
      </c>
      <c r="B48" s="70" t="n">
        <v>-27.2</v>
      </c>
      <c r="C48" s="70" t="n">
        <v>-38.5</v>
      </c>
      <c r="D48" s="70" t="n">
        <v>-48.4</v>
      </c>
      <c r="E48" s="70" t="n">
        <v>-57.2</v>
      </c>
      <c r="F48" s="70" t="n">
        <v>-64.9</v>
      </c>
      <c r="G48" s="70"/>
      <c r="H48" s="76" t="s">
        <v>198</v>
      </c>
      <c r="I48" s="70"/>
      <c r="J48" s="70"/>
      <c r="K48" s="70"/>
      <c r="L48" s="70"/>
      <c r="M48" s="70"/>
    </row>
    <row r="49" customFormat="false" ht="12.75" hidden="false" customHeight="false" outlineLevel="0" collapsed="false">
      <c r="A49" s="76" t="s">
        <v>199</v>
      </c>
      <c r="B49" s="70"/>
      <c r="C49" s="70"/>
      <c r="D49" s="70"/>
      <c r="E49" s="70"/>
      <c r="F49" s="70"/>
      <c r="G49" s="70"/>
      <c r="H49" s="76" t="s">
        <v>199</v>
      </c>
      <c r="I49" s="70"/>
      <c r="J49" s="70"/>
      <c r="K49" s="70"/>
      <c r="L49" s="70"/>
      <c r="M49" s="70"/>
    </row>
    <row r="50" customFormat="false" ht="12.75" hidden="false" customHeight="false" outlineLevel="0" collapsed="false">
      <c r="A50" s="76" t="s">
        <v>200</v>
      </c>
      <c r="B50" s="70" t="n">
        <v>-51.2</v>
      </c>
      <c r="C50" s="70" t="n">
        <v>-39</v>
      </c>
      <c r="D50" s="70" t="n">
        <v>-29.9</v>
      </c>
      <c r="E50" s="70" t="n">
        <v>-22.3</v>
      </c>
      <c r="F50" s="70" t="n">
        <v>-16.1</v>
      </c>
      <c r="G50" s="70"/>
      <c r="H50" s="76" t="s">
        <v>200</v>
      </c>
      <c r="I50" s="70"/>
      <c r="J50" s="70"/>
      <c r="K50" s="70"/>
      <c r="L50" s="70"/>
      <c r="M50" s="70"/>
    </row>
    <row r="51" customFormat="false" ht="12.75" hidden="false" customHeight="false" outlineLevel="0" collapsed="false">
      <c r="A51" s="76" t="s">
        <v>201</v>
      </c>
      <c r="B51" s="70"/>
      <c r="C51" s="70"/>
      <c r="D51" s="70"/>
      <c r="E51" s="70"/>
      <c r="F51" s="70"/>
      <c r="G51" s="70"/>
      <c r="H51" s="76" t="s">
        <v>201</v>
      </c>
      <c r="I51" s="70"/>
      <c r="J51" s="70"/>
      <c r="K51" s="70"/>
      <c r="L51" s="70"/>
      <c r="M51" s="70"/>
    </row>
    <row r="52" customFormat="false" ht="12.75" hidden="false" customHeight="false" outlineLevel="0" collapsed="false">
      <c r="A52" s="76" t="s">
        <v>202</v>
      </c>
      <c r="B52" s="70"/>
      <c r="C52" s="70"/>
      <c r="D52" s="70"/>
      <c r="E52" s="70"/>
      <c r="F52" s="70"/>
      <c r="G52" s="70"/>
      <c r="H52" s="76" t="s">
        <v>202</v>
      </c>
      <c r="I52" s="70"/>
      <c r="J52" s="70"/>
      <c r="K52" s="70"/>
      <c r="L52" s="70"/>
      <c r="M52" s="70"/>
    </row>
    <row r="53" customFormat="false" ht="12.75" hidden="false" customHeight="false" outlineLevel="0" collapsed="false">
      <c r="A53" s="76" t="s">
        <v>203</v>
      </c>
      <c r="B53" s="70" t="n">
        <v>840</v>
      </c>
      <c r="C53" s="70" t="n">
        <v>840</v>
      </c>
      <c r="D53" s="70" t="n">
        <v>840</v>
      </c>
      <c r="E53" s="70" t="n">
        <v>840</v>
      </c>
      <c r="F53" s="70" t="n">
        <v>840</v>
      </c>
      <c r="G53" s="70"/>
      <c r="H53" s="76" t="s">
        <v>203</v>
      </c>
      <c r="I53" s="80" t="n">
        <f aca="false">(B53-C53)/C53</f>
        <v>0</v>
      </c>
      <c r="J53" s="80" t="n">
        <f aca="false">(C53-D53)/D53</f>
        <v>0</v>
      </c>
      <c r="K53" s="80" t="n">
        <f aca="false">(D53-E53)/E53</f>
        <v>0</v>
      </c>
      <c r="L53" s="80" t="n">
        <f aca="false">(E53-F53)/F53</f>
        <v>0</v>
      </c>
      <c r="M53" s="80"/>
      <c r="N53" s="89" t="n">
        <f aca="false">SUM(I53:L53)/4</f>
        <v>0</v>
      </c>
    </row>
    <row r="54" customFormat="false" ht="12.75" hidden="false" customHeight="false" outlineLevel="0" collapsed="false">
      <c r="A54" s="76" t="s">
        <v>204</v>
      </c>
      <c r="B54" s="70" t="n">
        <v>136.4</v>
      </c>
      <c r="C54" s="70" t="n">
        <v>100.7</v>
      </c>
      <c r="D54" s="70" t="n">
        <v>78.9</v>
      </c>
      <c r="E54" s="70" t="n">
        <v>29</v>
      </c>
      <c r="F54" s="70" t="s">
        <v>83</v>
      </c>
      <c r="G54" s="70"/>
      <c r="H54" s="76" t="s">
        <v>204</v>
      </c>
      <c r="I54" s="80" t="n">
        <f aca="false">(B54-C54)/C54</f>
        <v>0.354518371400199</v>
      </c>
      <c r="J54" s="80" t="n">
        <f aca="false">(C54-D54)/D54</f>
        <v>0.276299112801014</v>
      </c>
      <c r="K54" s="80" t="n">
        <f aca="false">(D54-E54)/E54</f>
        <v>1.72068965517241</v>
      </c>
      <c r="L54" s="80"/>
      <c r="M54" s="80"/>
      <c r="N54" s="89" t="n">
        <f aca="false">SUM(I54:K54)/4</f>
        <v>0.587876784843407</v>
      </c>
    </row>
    <row r="55" customFormat="false" ht="12.75" hidden="false" customHeight="false" outlineLevel="0" collapsed="false">
      <c r="A55" s="76" t="s">
        <v>205</v>
      </c>
      <c r="B55" s="72" t="n">
        <v>1061.7</v>
      </c>
      <c r="C55" s="70" t="n">
        <v>854.6</v>
      </c>
      <c r="D55" s="70" t="n">
        <v>555.8</v>
      </c>
      <c r="E55" s="70" t="n">
        <v>431</v>
      </c>
      <c r="F55" s="72" t="n">
        <v>1521.3</v>
      </c>
      <c r="G55" s="70"/>
      <c r="H55" s="76" t="s">
        <v>205</v>
      </c>
      <c r="I55" s="80" t="n">
        <f aca="false">(B55-C55)/C55</f>
        <v>0.242335595600281</v>
      </c>
      <c r="J55" s="80" t="n">
        <f aca="false">(C55-D55)/D55</f>
        <v>0.537603454480029</v>
      </c>
      <c r="K55" s="80" t="n">
        <f aca="false">(D55-E55)/E55</f>
        <v>0.289559164733179</v>
      </c>
      <c r="L55" s="80" t="n">
        <f aca="false">(E55-F55)/F55</f>
        <v>-0.716689673305725</v>
      </c>
      <c r="M55" s="80"/>
      <c r="N55" s="89" t="n">
        <f aca="false">SUM(I55:L55)/4</f>
        <v>0.0882021353769408</v>
      </c>
    </row>
    <row r="56" customFormat="false" ht="12.75" hidden="false" customHeight="false" outlineLevel="0" collapsed="false">
      <c r="A56" s="76" t="s">
        <v>206</v>
      </c>
      <c r="B56" s="70" t="n">
        <v>-111.3</v>
      </c>
      <c r="C56" s="70" t="n">
        <v>-95.1</v>
      </c>
      <c r="D56" s="70" t="n">
        <v>-80.1</v>
      </c>
      <c r="E56" s="70" t="n">
        <v>-82.4</v>
      </c>
      <c r="F56" s="70" t="n">
        <v>-68.2</v>
      </c>
      <c r="G56" s="70"/>
      <c r="H56" s="76" t="s">
        <v>206</v>
      </c>
      <c r="I56" s="80" t="n">
        <f aca="false">(B56-C56)/C56</f>
        <v>0.170347003154574</v>
      </c>
      <c r="J56" s="80" t="n">
        <f aca="false">(C56-D56)/D56</f>
        <v>0.187265917602996</v>
      </c>
      <c r="K56" s="80" t="n">
        <f aca="false">(D56-E56)/E56</f>
        <v>-0.0279126213592234</v>
      </c>
      <c r="L56" s="80" t="n">
        <f aca="false">(E56-F56)/F56</f>
        <v>0.208211143695015</v>
      </c>
      <c r="M56" s="80"/>
      <c r="N56" s="89" t="n">
        <f aca="false">SUM(I56:L56)/4</f>
        <v>0.13447786077334</v>
      </c>
    </row>
    <row r="57" customFormat="false" ht="12.75" hidden="false" customHeight="false" outlineLevel="0" collapsed="false">
      <c r="A57" s="76" t="s">
        <v>207</v>
      </c>
      <c r="B57" s="70" t="n">
        <v>-21.2</v>
      </c>
      <c r="C57" s="70" t="n">
        <v>-45.5</v>
      </c>
      <c r="D57" s="70" t="n">
        <v>-67.6</v>
      </c>
      <c r="E57" s="70" t="n">
        <v>-91</v>
      </c>
      <c r="F57" s="70" t="n">
        <v>-103.4</v>
      </c>
      <c r="G57" s="70"/>
      <c r="H57" s="76" t="s">
        <v>207</v>
      </c>
      <c r="I57" s="80" t="n">
        <f aca="false">(B57-C57)/C57</f>
        <v>-0.534065934065934</v>
      </c>
      <c r="J57" s="80" t="n">
        <f aca="false">(C57-D57)/D57</f>
        <v>-0.326923076923077</v>
      </c>
      <c r="K57" s="80" t="n">
        <f aca="false">(D57-E57)/E57</f>
        <v>-0.257142857142857</v>
      </c>
      <c r="L57" s="80" t="n">
        <f aca="false">(E57-F57)/F57</f>
        <v>-0.119922630560928</v>
      </c>
      <c r="M57" s="80"/>
      <c r="N57" s="89" t="n">
        <f aca="false">SUM(I57:L57)/4</f>
        <v>-0.309513624673199</v>
      </c>
    </row>
    <row r="58" customFormat="false" ht="12.75" hidden="false" customHeight="false" outlineLevel="0" collapsed="false">
      <c r="A58" s="76" t="s">
        <v>208</v>
      </c>
      <c r="B58" s="72" t="n">
        <v>-1550.9</v>
      </c>
      <c r="C58" s="72" t="n">
        <v>-1457.4</v>
      </c>
      <c r="D58" s="72" t="n">
        <v>-1176</v>
      </c>
      <c r="E58" s="70" t="n">
        <v>-898.6</v>
      </c>
      <c r="F58" s="70" t="n">
        <v>-959.8</v>
      </c>
      <c r="G58" s="70"/>
      <c r="H58" s="76" t="s">
        <v>208</v>
      </c>
      <c r="I58" s="80" t="n">
        <f aca="false">(B58-C58)/C58</f>
        <v>0.0641553451351722</v>
      </c>
      <c r="J58" s="80" t="n">
        <f aca="false">(C58-D58)/D58</f>
        <v>0.239285714285714</v>
      </c>
      <c r="K58" s="80" t="n">
        <f aca="false">(D58-E58)/E58</f>
        <v>0.308702425995994</v>
      </c>
      <c r="L58" s="80" t="n">
        <f aca="false">(E58-F58)/F58</f>
        <v>-0.0637632840175036</v>
      </c>
      <c r="M58" s="80"/>
      <c r="N58" s="89" t="n">
        <f aca="false">SUM(I58:L58)/4</f>
        <v>0.137095050349844</v>
      </c>
    </row>
    <row r="59" customFormat="false" ht="12.75" hidden="false" customHeight="false" outlineLevel="0" collapsed="false">
      <c r="A59" s="76"/>
      <c r="B59" s="70"/>
      <c r="C59" s="70"/>
      <c r="D59" s="70"/>
      <c r="E59" s="70"/>
      <c r="F59" s="70"/>
      <c r="G59" s="70"/>
      <c r="H59" s="76"/>
      <c r="I59" s="70"/>
      <c r="J59" s="70"/>
      <c r="K59" s="70"/>
      <c r="L59" s="70"/>
      <c r="M59" s="70"/>
      <c r="N59" s="70"/>
    </row>
    <row r="60" customFormat="false" ht="12.75" hidden="false" customHeight="false" outlineLevel="0" collapsed="false">
      <c r="A60" s="76" t="s">
        <v>209</v>
      </c>
      <c r="B60" s="70" t="n">
        <v>354.7</v>
      </c>
      <c r="C60" s="70" t="n">
        <v>197.3</v>
      </c>
      <c r="D60" s="70" t="n">
        <v>151</v>
      </c>
      <c r="E60" s="70" t="n">
        <v>228</v>
      </c>
      <c r="F60" s="72" t="n">
        <v>1229.9</v>
      </c>
      <c r="G60" s="70"/>
      <c r="H60" s="76" t="s">
        <v>209</v>
      </c>
      <c r="I60" s="80" t="n">
        <f aca="false">(B60-C60)/C60</f>
        <v>0.797769893563102</v>
      </c>
      <c r="J60" s="80" t="n">
        <f aca="false">(C60-D60)/D60</f>
        <v>0.306622516556291</v>
      </c>
      <c r="K60" s="80" t="n">
        <f aca="false">(D60-E60)/E60</f>
        <v>-0.337719298245614</v>
      </c>
      <c r="L60" s="80" t="n">
        <f aca="false">(E60-F60)/F60</f>
        <v>-0.814619074721522</v>
      </c>
      <c r="M60" s="80"/>
      <c r="N60" s="89" t="n">
        <f aca="false">SUM(I60:L60)/4</f>
        <v>-0.0119864907119357</v>
      </c>
    </row>
    <row r="61" customFormat="false" ht="12.75" hidden="false" customHeight="false" outlineLevel="0" collapsed="false">
      <c r="A61" s="76"/>
      <c r="B61" s="70"/>
      <c r="C61" s="70"/>
      <c r="D61" s="70"/>
      <c r="E61" s="70"/>
      <c r="F61" s="70"/>
      <c r="G61" s="70"/>
      <c r="H61" s="76"/>
      <c r="I61" s="70"/>
      <c r="J61" s="70"/>
      <c r="K61" s="70"/>
      <c r="L61" s="70"/>
      <c r="M61" s="70"/>
      <c r="N61" s="70"/>
    </row>
    <row r="62" customFormat="false" ht="12.75" hidden="false" customHeight="false" outlineLevel="0" collapsed="false">
      <c r="A62" s="76" t="s">
        <v>210</v>
      </c>
      <c r="B62" s="72" t="n">
        <v>2418.8</v>
      </c>
      <c r="C62" s="72" t="n">
        <v>2396.2</v>
      </c>
      <c r="D62" s="73" t="n">
        <v>2510.3</v>
      </c>
      <c r="E62" s="73" t="n">
        <v>2697</v>
      </c>
      <c r="F62" s="73" t="n">
        <v>4394.4</v>
      </c>
      <c r="G62" s="70"/>
      <c r="H62" s="76" t="s">
        <v>210</v>
      </c>
      <c r="I62" s="80" t="n">
        <f aca="false">(B62-C62)/C62</f>
        <v>0.00943160003338635</v>
      </c>
      <c r="J62" s="80" t="n">
        <f aca="false">(C62-D62)/D62</f>
        <v>-0.0454527347329006</v>
      </c>
      <c r="K62" s="80" t="n">
        <f aca="false">(D62-E62)/E62</f>
        <v>-0.0692250648869113</v>
      </c>
      <c r="L62" s="80" t="n">
        <f aca="false">(E62-F62)/F62</f>
        <v>-0.386264336428181</v>
      </c>
      <c r="M62" s="80"/>
      <c r="N62" s="89" t="n">
        <f aca="false">SUM(I62:L62)/4</f>
        <v>-0.122877634003652</v>
      </c>
    </row>
    <row r="63" customFormat="false" ht="12.75" hidden="false" customHeight="false" outlineLevel="0" collapsed="false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customFormat="false" ht="12.75" hidden="false" customHeight="false" outlineLevel="0" collapsed="false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customFormat="false" ht="12.75" hidden="false" customHeight="false" outlineLevel="0" collapsed="false">
      <c r="A65" s="70"/>
    </row>
    <row r="66" customFormat="false" ht="12.75" hidden="false" customHeight="false" outlineLevel="0" collapsed="false">
      <c r="A66" s="76" t="s">
        <v>118</v>
      </c>
      <c r="B66" s="70"/>
      <c r="C66" s="93" t="s">
        <v>211</v>
      </c>
      <c r="E66" s="70"/>
      <c r="F66" s="70"/>
      <c r="G66" s="70"/>
      <c r="H66" s="76" t="s">
        <v>118</v>
      </c>
      <c r="I66" s="70"/>
      <c r="J66" s="70"/>
      <c r="K66" s="70"/>
      <c r="M66" s="76" t="s">
        <v>212</v>
      </c>
    </row>
    <row r="67" customFormat="false" ht="12.75" hidden="false" customHeight="false" outlineLevel="0" collapsed="false">
      <c r="A67" s="76"/>
      <c r="B67" s="70"/>
      <c r="C67" s="70" t="s">
        <v>144</v>
      </c>
      <c r="E67" s="70"/>
      <c r="F67" s="70"/>
      <c r="H67" s="76"/>
      <c r="I67" s="94" t="s">
        <v>121</v>
      </c>
      <c r="J67" s="94" t="s">
        <v>121</v>
      </c>
      <c r="K67" s="94" t="s">
        <v>121</v>
      </c>
      <c r="L67" s="94" t="s">
        <v>121</v>
      </c>
      <c r="M67" s="94" t="s">
        <v>121</v>
      </c>
      <c r="N67" s="94" t="s">
        <v>121</v>
      </c>
      <c r="O67" s="94" t="s">
        <v>121</v>
      </c>
      <c r="P67" s="94" t="s">
        <v>121</v>
      </c>
      <c r="Q67" s="94" t="s">
        <v>121</v>
      </c>
      <c r="R67" s="94" t="s">
        <v>121</v>
      </c>
    </row>
    <row r="68" customFormat="false" ht="12.75" hidden="false" customHeight="false" outlineLevel="0" collapsed="false">
      <c r="A68" s="76" t="s">
        <v>160</v>
      </c>
      <c r="B68" s="95" t="n">
        <v>36891</v>
      </c>
      <c r="C68" s="95" t="n">
        <v>36525</v>
      </c>
      <c r="D68" s="95" t="n">
        <v>36160</v>
      </c>
      <c r="E68" s="95" t="n">
        <v>35795</v>
      </c>
      <c r="F68" s="95" t="n">
        <v>35430</v>
      </c>
      <c r="G68" s="11"/>
      <c r="H68" s="76" t="s">
        <v>160</v>
      </c>
      <c r="I68" s="11" t="n">
        <v>2001</v>
      </c>
      <c r="J68" s="11" t="n">
        <f aca="false">I68+1</f>
        <v>2002</v>
      </c>
      <c r="K68" s="11" t="n">
        <f aca="false">J68+1</f>
        <v>2003</v>
      </c>
      <c r="L68" s="11" t="n">
        <f aca="false">K68+1</f>
        <v>2004</v>
      </c>
      <c r="M68" s="11" t="n">
        <f aca="false">L68+1</f>
        <v>2005</v>
      </c>
      <c r="N68" s="11" t="n">
        <f aca="false">M68+1</f>
        <v>2006</v>
      </c>
      <c r="O68" s="11" t="n">
        <f aca="false">N68+1</f>
        <v>2007</v>
      </c>
      <c r="P68" s="11" t="n">
        <f aca="false">O68+1</f>
        <v>2008</v>
      </c>
      <c r="Q68" s="11" t="n">
        <f aca="false">P68+1</f>
        <v>2009</v>
      </c>
      <c r="R68" s="11" t="n">
        <f aca="false">Q68+1</f>
        <v>2010</v>
      </c>
      <c r="S68" s="6"/>
      <c r="T68" s="6"/>
      <c r="U68" s="6"/>
      <c r="V68" s="6"/>
      <c r="W68" s="6"/>
      <c r="X68" s="6"/>
      <c r="Y68" s="48"/>
    </row>
    <row r="69" customFormat="false" ht="12.75" hidden="false" customHeight="false" outlineLevel="0" collapsed="false">
      <c r="A69" s="76" t="s">
        <v>161</v>
      </c>
      <c r="B69" s="70"/>
      <c r="C69" s="70"/>
      <c r="D69" s="70"/>
      <c r="E69" s="70"/>
      <c r="F69" s="70"/>
      <c r="G69" s="96" t="s">
        <v>122</v>
      </c>
      <c r="H69" s="76" t="s">
        <v>161</v>
      </c>
      <c r="I69" s="70"/>
      <c r="J69" s="70"/>
      <c r="K69" s="70"/>
      <c r="L69" s="70"/>
      <c r="M69" s="70"/>
    </row>
    <row r="70" customFormat="false" ht="12.75" hidden="false" customHeight="false" outlineLevel="0" collapsed="false">
      <c r="A70" s="76" t="s">
        <v>162</v>
      </c>
      <c r="B70" s="80" t="n">
        <f aca="false">B5/'OAT Income Statement'!B$4</f>
        <v>0.0345764729220393</v>
      </c>
      <c r="C70" s="80" t="n">
        <f aca="false">C5/'OAT Income Statement'!C$4</f>
        <v>0.0598704816727334</v>
      </c>
      <c r="D70" s="80" t="n">
        <f aca="false">D5/'OAT Income Statement'!D$4</f>
        <v>0.0674445018069179</v>
      </c>
      <c r="E70" s="80" t="n">
        <f aca="false">E5/'OAT Income Statement'!E$4</f>
        <v>0.0167872879159439</v>
      </c>
      <c r="F70" s="80" t="n">
        <f aca="false">F5/'OAT Income Statement'!F$4</f>
        <v>0.0212540873244855</v>
      </c>
      <c r="G70" s="89" t="n">
        <f aca="false">SUM(B70:F70)/5</f>
        <v>0.039986566328424</v>
      </c>
      <c r="H70" s="76" t="s">
        <v>162</v>
      </c>
      <c r="I70" s="80" t="n">
        <v>0.0345764729220393</v>
      </c>
      <c r="J70" s="80" t="n">
        <v>0.0345764729220393</v>
      </c>
      <c r="K70" s="80" t="n">
        <v>0.0345764729220393</v>
      </c>
      <c r="L70" s="80" t="n">
        <v>0.0345764729220393</v>
      </c>
      <c r="M70" s="80" t="n">
        <v>0.0345764729220393</v>
      </c>
      <c r="N70" s="80" t="n">
        <v>0.0345764729220393</v>
      </c>
      <c r="O70" s="80" t="n">
        <v>0.0345764729220393</v>
      </c>
      <c r="P70" s="80" t="n">
        <v>0.0345764729220393</v>
      </c>
      <c r="Q70" s="80" t="n">
        <v>0.0345764729220393</v>
      </c>
      <c r="R70" s="80" t="n">
        <v>0.0345764729220393</v>
      </c>
    </row>
    <row r="71" customFormat="false" ht="12.75" hidden="false" customHeight="false" outlineLevel="0" collapsed="false">
      <c r="A71" s="76" t="s">
        <v>163</v>
      </c>
      <c r="B71" s="80" t="n">
        <f aca="false">B6/'OAT Income Statement'!B$4</f>
        <v>5.95120015869867E-005</v>
      </c>
      <c r="C71" s="80" t="n">
        <f aca="false">C6/'OAT Income Statement'!C$4</f>
        <v>6.34893761110641E-005</v>
      </c>
      <c r="D71" s="80" t="n">
        <f aca="false">D6/'OAT Income Statement'!D$4</f>
        <v>0.00567888487351575</v>
      </c>
      <c r="E71" s="80" t="n">
        <f aca="false">E6/'OAT Income Statement'!E$4</f>
        <v>0</v>
      </c>
      <c r="F71" s="80" t="n">
        <f aca="false">F6/'OAT Income Statement'!F$4</f>
        <v>0</v>
      </c>
      <c r="G71" s="89" t="n">
        <f aca="false">SUM(B71:F71)/5</f>
        <v>0.00116037725024276</v>
      </c>
      <c r="H71" s="76" t="s">
        <v>163</v>
      </c>
      <c r="I71" s="80" t="n">
        <v>5.95120015869867E-005</v>
      </c>
      <c r="J71" s="80" t="n">
        <v>5.95120015869867E-005</v>
      </c>
      <c r="K71" s="80" t="n">
        <v>5.95120015869867E-005</v>
      </c>
      <c r="L71" s="80" t="n">
        <v>5.95120015869867E-005</v>
      </c>
      <c r="M71" s="80" t="n">
        <v>5.95120015869867E-005</v>
      </c>
      <c r="N71" s="80" t="n">
        <v>5.95120015869867E-005</v>
      </c>
      <c r="O71" s="80" t="n">
        <v>5.95120015869867E-005</v>
      </c>
      <c r="P71" s="80" t="n">
        <v>5.95120015869867E-005</v>
      </c>
      <c r="Q71" s="80" t="n">
        <v>5.95120015869867E-005</v>
      </c>
      <c r="R71" s="80" t="n">
        <v>5.95120015869867E-005</v>
      </c>
    </row>
    <row r="72" customFormat="false" ht="12.75" hidden="false" customHeight="false" outlineLevel="0" collapsed="false">
      <c r="A72" s="76" t="s">
        <v>164</v>
      </c>
      <c r="B72" s="80" t="n">
        <f aca="false">B7/'OAT Income Statement'!B$4</f>
        <v>0.0591152549097401</v>
      </c>
      <c r="C72" s="80" t="n">
        <f aca="false">C7/'OAT Income Statement'!C$4</f>
        <v>0.053817827816812</v>
      </c>
      <c r="D72" s="80" t="n">
        <f aca="false">D7/'OAT Income Statement'!D$4</f>
        <v>0.0585234899328859</v>
      </c>
      <c r="E72" s="80" t="n">
        <f aca="false">E7/'OAT Income Statement'!E$4</f>
        <v>0.0609486213290269</v>
      </c>
      <c r="F72" s="80" t="n">
        <f aca="false">F7/'OAT Income Statement'!F$4</f>
        <v>0.0567224466243508</v>
      </c>
      <c r="G72" s="89" t="n">
        <f aca="false">SUM(B72:F72)/5</f>
        <v>0.0578255281225631</v>
      </c>
      <c r="H72" s="76" t="s">
        <v>164</v>
      </c>
      <c r="I72" s="80" t="n">
        <v>0.0591152549097401</v>
      </c>
      <c r="J72" s="80" t="n">
        <v>0.0591152549097401</v>
      </c>
      <c r="K72" s="80" t="n">
        <v>0.0591152549097401</v>
      </c>
      <c r="L72" s="80" t="n">
        <v>0.0591152549097401</v>
      </c>
      <c r="M72" s="80" t="n">
        <v>0.0591152549097401</v>
      </c>
      <c r="N72" s="80" t="n">
        <v>0.0591152549097401</v>
      </c>
      <c r="O72" s="80" t="n">
        <v>0.0591152549097401</v>
      </c>
      <c r="P72" s="80" t="n">
        <v>0.0591152549097401</v>
      </c>
      <c r="Q72" s="80" t="n">
        <v>0.0591152549097401</v>
      </c>
      <c r="R72" s="80" t="n">
        <v>0.0591152549097401</v>
      </c>
    </row>
    <row r="73" customFormat="false" ht="12.75" hidden="false" customHeight="false" outlineLevel="0" collapsed="false">
      <c r="A73" s="76" t="s">
        <v>165</v>
      </c>
      <c r="B73" s="80" t="n">
        <f aca="false">B8/'OAT Income Statement'!B$4</f>
        <v>0</v>
      </c>
      <c r="C73" s="80" t="n">
        <f aca="false">C8/'OAT Income Statement'!C$4</f>
        <v>0</v>
      </c>
      <c r="D73" s="80" t="n">
        <f aca="false">D8/'OAT Income Statement'!D$4</f>
        <v>0</v>
      </c>
      <c r="E73" s="80" t="n">
        <f aca="false">E8/'OAT Income Statement'!E$4</f>
        <v>0</v>
      </c>
      <c r="F73" s="80" t="n">
        <f aca="false">F8/'OAT Income Statement'!F$4</f>
        <v>0</v>
      </c>
      <c r="G73" s="89" t="n">
        <f aca="false">SUM(B73:F73)/5</f>
        <v>0</v>
      </c>
      <c r="H73" s="76" t="s">
        <v>165</v>
      </c>
      <c r="I73" s="80" t="n">
        <v>0</v>
      </c>
      <c r="J73" s="80" t="n">
        <v>0</v>
      </c>
      <c r="K73" s="80" t="n">
        <v>0</v>
      </c>
      <c r="L73" s="80" t="n">
        <v>0</v>
      </c>
      <c r="M73" s="80" t="n">
        <v>0</v>
      </c>
      <c r="N73" s="80" t="n">
        <v>0</v>
      </c>
      <c r="O73" s="80" t="n">
        <v>0</v>
      </c>
      <c r="P73" s="80" t="n">
        <v>0</v>
      </c>
      <c r="Q73" s="80" t="n">
        <v>0</v>
      </c>
      <c r="R73" s="80" t="n">
        <v>0</v>
      </c>
    </row>
    <row r="74" customFormat="false" ht="12.75" hidden="false" customHeight="false" outlineLevel="0" collapsed="false">
      <c r="A74" s="76" t="s">
        <v>166</v>
      </c>
      <c r="B74" s="80" t="n">
        <f aca="false">B9/'OAT Income Statement'!B$4</f>
        <v>0.0424320571315215</v>
      </c>
      <c r="C74" s="80" t="n">
        <f aca="false">C9/'OAT Income Statement'!C$4</f>
        <v>0.0394903919410819</v>
      </c>
      <c r="D74" s="80" t="n">
        <f aca="false">D9/'OAT Income Statement'!D$4</f>
        <v>0.0390500774393392</v>
      </c>
      <c r="E74" s="80" t="n">
        <f aca="false">E9/'OAT Income Statement'!E$4</f>
        <v>0.0344119464880276</v>
      </c>
      <c r="F74" s="80" t="n">
        <f aca="false">F9/'OAT Income Statement'!F$4</f>
        <v>0.0349682631275245</v>
      </c>
      <c r="G74" s="89" t="n">
        <f aca="false">SUM(B74:F74)/5</f>
        <v>0.0380705472254989</v>
      </c>
      <c r="H74" s="76" t="s">
        <v>166</v>
      </c>
      <c r="I74" s="80" t="n">
        <v>0.0424320571315215</v>
      </c>
      <c r="J74" s="80" t="n">
        <v>0.0424320571315215</v>
      </c>
      <c r="K74" s="80" t="n">
        <v>0.0424320571315215</v>
      </c>
      <c r="L74" s="80" t="n">
        <v>0.0424320571315215</v>
      </c>
      <c r="M74" s="80" t="n">
        <v>0.0424320571315215</v>
      </c>
      <c r="N74" s="80" t="n">
        <v>0.0424320571315215</v>
      </c>
      <c r="O74" s="80" t="n">
        <v>0.0424320571315215</v>
      </c>
      <c r="P74" s="80" t="n">
        <v>0.0424320571315215</v>
      </c>
      <c r="Q74" s="80" t="n">
        <v>0.0424320571315215</v>
      </c>
      <c r="R74" s="80" t="n">
        <v>0.0424320571315215</v>
      </c>
    </row>
    <row r="75" customFormat="false" ht="12.75" hidden="false" customHeight="false" outlineLevel="0" collapsed="false">
      <c r="A75" s="76" t="s">
        <v>167</v>
      </c>
      <c r="B75" s="80" t="n">
        <f aca="false">B10/'OAT Income Statement'!B$4</f>
        <v>0.00773656020630827</v>
      </c>
      <c r="C75" s="80" t="n">
        <f aca="false">C10/'OAT Income Statement'!C$4</f>
        <v>0.0105815626851773</v>
      </c>
      <c r="D75" s="80" t="n">
        <f aca="false">D10/'OAT Income Statement'!D$4</f>
        <v>0.00999483737738771</v>
      </c>
      <c r="E75" s="80" t="n">
        <f aca="false">E10/'OAT Income Statement'!E$4</f>
        <v>0.0117630639791056</v>
      </c>
      <c r="F75" s="80" t="n">
        <f aca="false">F10/'OAT Income Statement'!F$4</f>
        <v>0.0119446047316792</v>
      </c>
      <c r="G75" s="89" t="n">
        <f aca="false">SUM(B75:F75)/5</f>
        <v>0.0104041257959316</v>
      </c>
      <c r="H75" s="76" t="s">
        <v>167</v>
      </c>
      <c r="I75" s="80" t="n">
        <v>0.00773656020630827</v>
      </c>
      <c r="J75" s="80" t="n">
        <v>0.00773656020630827</v>
      </c>
      <c r="K75" s="80" t="n">
        <v>0.00773656020630827</v>
      </c>
      <c r="L75" s="80" t="n">
        <v>0.00773656020630827</v>
      </c>
      <c r="M75" s="80" t="n">
        <v>0.00773656020630827</v>
      </c>
      <c r="N75" s="80" t="n">
        <v>0.00773656020630827</v>
      </c>
      <c r="O75" s="80" t="n">
        <v>0.00773656020630827</v>
      </c>
      <c r="P75" s="80" t="n">
        <v>0.00773656020630827</v>
      </c>
      <c r="Q75" s="80" t="n">
        <v>0.00773656020630827</v>
      </c>
      <c r="R75" s="80" t="n">
        <v>0.00773656020630827</v>
      </c>
    </row>
    <row r="76" customFormat="false" ht="12.75" hidden="false" customHeight="false" outlineLevel="0" collapsed="false">
      <c r="A76" s="76" t="s">
        <v>168</v>
      </c>
      <c r="B76" s="80" t="n">
        <f aca="false">B11/'OAT Income Statement'!B$4</f>
        <v>0.00684388018250347</v>
      </c>
      <c r="C76" s="80" t="n">
        <f aca="false">C11/'OAT Income Statement'!C$4</f>
        <v>0.00626428510962499</v>
      </c>
      <c r="D76" s="80" t="n">
        <f aca="false">D11/'OAT Income Statement'!D$4</f>
        <v>0.00493546721734641</v>
      </c>
      <c r="E76" s="80" t="n">
        <f aca="false">E11/'OAT Income Statement'!E$4</f>
        <v>0.00488466216081504</v>
      </c>
      <c r="F76" s="80" t="n">
        <f aca="false">F11/'OAT Income Statement'!F$4</f>
        <v>0.00596268513175611</v>
      </c>
      <c r="G76" s="89" t="n">
        <f aca="false">SUM(B76:F76)/5</f>
        <v>0.00577819596040921</v>
      </c>
      <c r="H76" s="76" t="s">
        <v>168</v>
      </c>
      <c r="I76" s="80" t="n">
        <v>0.00684388018250347</v>
      </c>
      <c r="J76" s="80" t="n">
        <v>0.00684388018250347</v>
      </c>
      <c r="K76" s="80" t="n">
        <v>0.00684388018250347</v>
      </c>
      <c r="L76" s="80" t="n">
        <v>0.00684388018250347</v>
      </c>
      <c r="M76" s="80" t="n">
        <v>0.00684388018250347</v>
      </c>
      <c r="N76" s="80" t="n">
        <v>0.00684388018250347</v>
      </c>
      <c r="O76" s="80" t="n">
        <v>0.00684388018250347</v>
      </c>
      <c r="P76" s="80" t="n">
        <v>0.00684388018250347</v>
      </c>
      <c r="Q76" s="80" t="n">
        <v>0.00684388018250347</v>
      </c>
      <c r="R76" s="80" t="n">
        <v>0.00684388018250347</v>
      </c>
    </row>
    <row r="77" customFormat="false" ht="12.75" hidden="false" customHeight="false" outlineLevel="0" collapsed="false">
      <c r="A77" s="76"/>
      <c r="H77" s="76"/>
    </row>
    <row r="78" customFormat="false" ht="12.75" hidden="false" customHeight="false" outlineLevel="0" collapsed="false">
      <c r="A78" s="76" t="s">
        <v>169</v>
      </c>
      <c r="B78" s="80" t="n">
        <f aca="false">B13/'OAT Income Statement'!B$4</f>
        <v>0.0570124975203333</v>
      </c>
      <c r="C78" s="80" t="n">
        <f aca="false">C13/'OAT Income Statement'!C$4</f>
        <v>0.0563362397358842</v>
      </c>
      <c r="D78" s="80" t="n">
        <f aca="false">D13/'OAT Income Statement'!D$4</f>
        <v>0.0539803820340733</v>
      </c>
      <c r="E78" s="80" t="n">
        <f aca="false">E13/'OAT Income Statement'!E$4</f>
        <v>0.0510596726279483</v>
      </c>
      <c r="F78" s="80" t="n">
        <f aca="false">F13/'OAT Income Statement'!F$4</f>
        <v>0.0528755529909598</v>
      </c>
      <c r="G78" s="89" t="n">
        <f aca="false">SUM(B78:F78)/5</f>
        <v>0.0542528689818398</v>
      </c>
      <c r="H78" s="76" t="s">
        <v>169</v>
      </c>
      <c r="I78" s="80" t="n">
        <v>0.0570124975203333</v>
      </c>
      <c r="J78" s="80" t="n">
        <v>0.0570124975203333</v>
      </c>
      <c r="K78" s="80" t="n">
        <v>0.0570124975203333</v>
      </c>
      <c r="L78" s="80" t="n">
        <v>0.0570124975203333</v>
      </c>
      <c r="M78" s="80" t="n">
        <v>0.0570124975203333</v>
      </c>
      <c r="N78" s="80" t="n">
        <v>0.0570124975203333</v>
      </c>
      <c r="O78" s="80" t="n">
        <v>0.0570124975203333</v>
      </c>
      <c r="P78" s="80" t="n">
        <v>0.0570124975203333</v>
      </c>
      <c r="Q78" s="80" t="n">
        <v>0.0570124975203333</v>
      </c>
      <c r="R78" s="80" t="n">
        <v>0.0570124975203333</v>
      </c>
    </row>
    <row r="79" customFormat="false" ht="12.75" hidden="false" customHeight="false" outlineLevel="0" collapsed="false">
      <c r="A79" s="76" t="s">
        <v>170</v>
      </c>
      <c r="B79" s="80" t="n">
        <f aca="false">B14/'OAT Income Statement'!B$4</f>
        <v>0.0503273160087284</v>
      </c>
      <c r="C79" s="80" t="n">
        <f aca="false">C14/'OAT Income Statement'!C$4</f>
        <v>0.0408448319647846</v>
      </c>
      <c r="D79" s="80" t="n">
        <f aca="false">D14/'OAT Income Statement'!D$4</f>
        <v>0.0446257098606092</v>
      </c>
      <c r="E79" s="80" t="n">
        <f aca="false">E14/'OAT Income Statement'!E$4</f>
        <v>0.0970951213190582</v>
      </c>
      <c r="F79" s="80" t="n">
        <f aca="false">F14/'OAT Income Statement'!F$4</f>
        <v>0.0402769763416042</v>
      </c>
      <c r="G79" s="89" t="n">
        <f aca="false">SUM(B79:F79)/5</f>
        <v>0.0546339910989569</v>
      </c>
      <c r="H79" s="76" t="s">
        <v>170</v>
      </c>
      <c r="I79" s="80" t="n">
        <v>0.0503273160087284</v>
      </c>
      <c r="J79" s="80" t="n">
        <v>0.0503273160087284</v>
      </c>
      <c r="K79" s="80" t="n">
        <v>0.0503273160087284</v>
      </c>
      <c r="L79" s="80" t="n">
        <v>0.0503273160087284</v>
      </c>
      <c r="M79" s="80" t="n">
        <v>0.0503273160087284</v>
      </c>
      <c r="N79" s="80" t="n">
        <v>0.0503273160087284</v>
      </c>
      <c r="O79" s="80" t="n">
        <v>0.0503273160087284</v>
      </c>
      <c r="P79" s="80" t="n">
        <v>0.0503273160087284</v>
      </c>
      <c r="Q79" s="80" t="n">
        <v>0.0503273160087284</v>
      </c>
      <c r="R79" s="80" t="n">
        <v>0.0503273160087284</v>
      </c>
    </row>
    <row r="80" customFormat="false" ht="12.75" hidden="false" customHeight="false" outlineLevel="0" collapsed="false">
      <c r="A80" s="76"/>
      <c r="H80" s="76"/>
    </row>
    <row r="81" customFormat="false" ht="12.75" hidden="false" customHeight="false" outlineLevel="0" collapsed="false">
      <c r="A81" s="76" t="s">
        <v>171</v>
      </c>
      <c r="B81" s="80" t="n">
        <f aca="false">B16/'OAT Income Statement'!B$4</f>
        <v>0.201091053362428</v>
      </c>
      <c r="C81" s="80" t="n">
        <f aca="false">C16/'OAT Income Statement'!C$4</f>
        <v>0.210932870566325</v>
      </c>
      <c r="D81" s="80" t="n">
        <f aca="false">D16/'OAT Income Statement'!D$4</f>
        <v>0.230252968508002</v>
      </c>
      <c r="E81" s="80" t="n">
        <f aca="false">E16/'OAT Income Statement'!E$4</f>
        <v>0.225890703191977</v>
      </c>
      <c r="F81" s="80" t="n">
        <f aca="false">F16/'OAT Income Statement'!F$4</f>
        <v>0.1711290632814</v>
      </c>
      <c r="G81" s="89" t="n">
        <f aca="false">SUM(B81:F81)/5</f>
        <v>0.207859331782027</v>
      </c>
      <c r="H81" s="76" t="s">
        <v>171</v>
      </c>
      <c r="I81" s="80" t="n">
        <v>0.201091053362428</v>
      </c>
      <c r="J81" s="80" t="n">
        <v>0.201091053362428</v>
      </c>
      <c r="K81" s="80" t="n">
        <v>0.201091053362428</v>
      </c>
      <c r="L81" s="80" t="n">
        <v>0.201091053362428</v>
      </c>
      <c r="M81" s="80" t="n">
        <v>0.201091053362428</v>
      </c>
      <c r="N81" s="80" t="n">
        <v>0.201091053362428</v>
      </c>
      <c r="O81" s="80" t="n">
        <v>0.201091053362428</v>
      </c>
      <c r="P81" s="80" t="n">
        <v>0.201091053362428</v>
      </c>
      <c r="Q81" s="80" t="n">
        <v>0.201091053362428</v>
      </c>
      <c r="R81" s="80" t="n">
        <v>0.201091053362428</v>
      </c>
    </row>
    <row r="82" customFormat="false" ht="12.75" hidden="false" customHeight="false" outlineLevel="0" collapsed="false">
      <c r="A82" s="76" t="s">
        <v>172</v>
      </c>
      <c r="B82" s="80" t="n">
        <f aca="false">B17/'OAT Income Statement'!B$4</f>
        <v>0</v>
      </c>
      <c r="C82" s="80" t="n">
        <f aca="false">C17/'OAT Income Statement'!C$4</f>
        <v>0</v>
      </c>
      <c r="D82" s="80" t="n">
        <f aca="false">D17/'OAT Income Statement'!D$4</f>
        <v>0</v>
      </c>
      <c r="E82" s="80" t="n">
        <f aca="false">E17/'OAT Income Statement'!E$4</f>
        <v>0</v>
      </c>
      <c r="F82" s="80" t="n">
        <f aca="false">F17/'OAT Income Statement'!F$4</f>
        <v>0</v>
      </c>
      <c r="G82" s="89" t="n">
        <f aca="false">SUM(B82:F82)/5</f>
        <v>0</v>
      </c>
      <c r="H82" s="76" t="s">
        <v>172</v>
      </c>
      <c r="I82" s="80" t="n">
        <v>0</v>
      </c>
      <c r="J82" s="80" t="n">
        <v>0</v>
      </c>
      <c r="K82" s="80" t="n">
        <v>0</v>
      </c>
      <c r="L82" s="80" t="n">
        <v>0</v>
      </c>
      <c r="M82" s="80" t="n">
        <v>0</v>
      </c>
      <c r="N82" s="80" t="n">
        <v>0</v>
      </c>
      <c r="O82" s="80" t="n">
        <v>0</v>
      </c>
      <c r="P82" s="80" t="n">
        <v>0</v>
      </c>
      <c r="Q82" s="80" t="n">
        <v>0</v>
      </c>
      <c r="R82" s="80" t="n">
        <v>0</v>
      </c>
    </row>
    <row r="83" customFormat="false" ht="12.75" hidden="false" customHeight="false" outlineLevel="0" collapsed="false">
      <c r="A83" s="76" t="s">
        <v>173</v>
      </c>
      <c r="B83" s="80" t="n">
        <f aca="false">B18/'OAT Income Statement'!B$4</f>
        <v>0.00537591747669113</v>
      </c>
      <c r="C83" s="80" t="n">
        <f aca="false">C18/'OAT Income Statement'!C$4</f>
        <v>0.00596800135444002</v>
      </c>
      <c r="D83" s="80" t="n">
        <f aca="false">D18/'OAT Income Statement'!D$4</f>
        <v>0.00497676819824471</v>
      </c>
      <c r="E83" s="80" t="n">
        <f aca="false">E18/'OAT Income Statement'!E$4</f>
        <v>0.00580178240325378</v>
      </c>
      <c r="F83" s="80" t="n">
        <f aca="false">F18/'OAT Income Statement'!F$4</f>
        <v>0.00569340257741873</v>
      </c>
      <c r="G83" s="89" t="n">
        <f aca="false">SUM(B83:F83)/5</f>
        <v>0.00556317440200968</v>
      </c>
      <c r="H83" s="76" t="s">
        <v>173</v>
      </c>
      <c r="I83" s="80" t="n">
        <v>0.00537591747669113</v>
      </c>
      <c r="J83" s="80" t="n">
        <v>0.00537591747669113</v>
      </c>
      <c r="K83" s="80" t="n">
        <v>0.00537591747669113</v>
      </c>
      <c r="L83" s="80" t="n">
        <v>0.00537591747669113</v>
      </c>
      <c r="M83" s="80" t="n">
        <v>0.00537591747669113</v>
      </c>
      <c r="N83" s="80" t="n">
        <v>0.00537591747669113</v>
      </c>
      <c r="O83" s="80" t="n">
        <v>0.00537591747669113</v>
      </c>
      <c r="P83" s="80" t="n">
        <v>0.00537591747669113</v>
      </c>
      <c r="Q83" s="80" t="n">
        <v>0.00537591747669113</v>
      </c>
      <c r="R83" s="80" t="n">
        <v>0.00537591747669113</v>
      </c>
    </row>
    <row r="84" customFormat="false" ht="12.75" hidden="false" customHeight="false" outlineLevel="0" collapsed="false">
      <c r="A84" s="76" t="s">
        <v>174</v>
      </c>
      <c r="B84" s="80" t="n">
        <f aca="false">B19/'OAT Income Statement'!B$4</f>
        <v>0.0854195596111883</v>
      </c>
      <c r="C84" s="80" t="n">
        <f aca="false">C19/'OAT Income Statement'!C$4</f>
        <v>0.0862608990095657</v>
      </c>
      <c r="D84" s="80" t="n">
        <f aca="false">D19/'OAT Income Statement'!D$4</f>
        <v>0.0805782137325762</v>
      </c>
      <c r="E84" s="80" t="n">
        <f aca="false">E19/'OAT Income Statement'!E$4</f>
        <v>0.083178818509879</v>
      </c>
      <c r="F84" s="80" t="n">
        <f aca="false">F19/'OAT Income Statement'!F$4</f>
        <v>0.0749182535102904</v>
      </c>
      <c r="G84" s="89" t="n">
        <f aca="false">SUM(B84:F84)/5</f>
        <v>0.0820711488746999</v>
      </c>
      <c r="H84" s="76" t="s">
        <v>174</v>
      </c>
      <c r="I84" s="80" t="n">
        <v>0.0854195596111883</v>
      </c>
      <c r="J84" s="80" t="n">
        <v>0.0854195596111883</v>
      </c>
      <c r="K84" s="80" t="n">
        <v>0.0854195596111883</v>
      </c>
      <c r="L84" s="80" t="n">
        <v>0.0854195596111883</v>
      </c>
      <c r="M84" s="80" t="n">
        <v>0.0854195596111883</v>
      </c>
      <c r="N84" s="80" t="n">
        <v>0.0854195596111883</v>
      </c>
      <c r="O84" s="80" t="n">
        <v>0.0854195596111883</v>
      </c>
      <c r="P84" s="80" t="n">
        <v>0.0854195596111883</v>
      </c>
      <c r="Q84" s="80" t="n">
        <v>0.0854195596111883</v>
      </c>
      <c r="R84" s="80" t="n">
        <v>0.0854195596111883</v>
      </c>
    </row>
    <row r="85" customFormat="false" ht="12.75" hidden="false" customHeight="false" outlineLevel="0" collapsed="false">
      <c r="A85" s="76" t="s">
        <v>175</v>
      </c>
      <c r="B85" s="80" t="n">
        <f aca="false">B20/'OAT Income Statement'!B$4</f>
        <v>0.291588970442373</v>
      </c>
      <c r="C85" s="80" t="n">
        <f aca="false">C20/'OAT Income Statement'!C$4</f>
        <v>0.299691018369593</v>
      </c>
      <c r="D85" s="80" t="n">
        <f aca="false">D20/'OAT Income Statement'!D$4</f>
        <v>0.290036138358286</v>
      </c>
      <c r="E85" s="80" t="n">
        <f aca="false">E20/'OAT Income Statement'!E$4</f>
        <v>0.29244173295851</v>
      </c>
      <c r="F85" s="80" t="n">
        <f aca="false">F20/'OAT Income Statement'!F$4</f>
        <v>0.293171763800731</v>
      </c>
      <c r="G85" s="89" t="n">
        <f aca="false">SUM(B85:F85)/5</f>
        <v>0.293385924785899</v>
      </c>
      <c r="H85" s="76" t="s">
        <v>175</v>
      </c>
      <c r="I85" s="80" t="n">
        <v>0.291588970442373</v>
      </c>
      <c r="J85" s="80" t="n">
        <v>0.291588970442373</v>
      </c>
      <c r="K85" s="80" t="n">
        <v>0.291588970442373</v>
      </c>
      <c r="L85" s="80" t="n">
        <v>0.291588970442373</v>
      </c>
      <c r="M85" s="80" t="n">
        <v>0.291588970442373</v>
      </c>
      <c r="N85" s="80" t="n">
        <v>0.291588970442373</v>
      </c>
      <c r="O85" s="80" t="n">
        <v>0.291588970442373</v>
      </c>
      <c r="P85" s="80" t="n">
        <v>0.291588970442373</v>
      </c>
      <c r="Q85" s="80" t="n">
        <v>0.291588970442373</v>
      </c>
      <c r="R85" s="80" t="n">
        <v>0.291588970442373</v>
      </c>
    </row>
    <row r="86" customFormat="false" ht="12.75" hidden="false" customHeight="false" outlineLevel="0" collapsed="false">
      <c r="A86" s="76"/>
      <c r="H86" s="76"/>
    </row>
    <row r="87" customFormat="false" ht="12.75" hidden="false" customHeight="false" outlineLevel="0" collapsed="false">
      <c r="A87" s="76" t="s">
        <v>176</v>
      </c>
      <c r="B87" s="80" t="n">
        <f aca="false">B22/'OAT Income Statement'!B$4</f>
        <v>0.382384447530252</v>
      </c>
      <c r="C87" s="80" t="n">
        <f aca="false">C22/'OAT Income Statement'!C$4</f>
        <v>0.391919918733599</v>
      </c>
      <c r="D87" s="80" t="n">
        <f aca="false">D22/'OAT Income Statement'!D$4</f>
        <v>0.375591120289107</v>
      </c>
      <c r="E87" s="80" t="n">
        <f aca="false">E22/'OAT Income Statement'!E$4</f>
        <v>0.381422333871643</v>
      </c>
      <c r="F87" s="80" t="n">
        <f aca="false">F22/'OAT Income Statement'!F$4</f>
        <v>0.37378341988844</v>
      </c>
      <c r="G87" s="89" t="n">
        <f aca="false">SUM(B87:F87)/5</f>
        <v>0.381020248062608</v>
      </c>
      <c r="H87" s="76" t="s">
        <v>176</v>
      </c>
      <c r="I87" s="80" t="n">
        <v>0.382384447530252</v>
      </c>
      <c r="J87" s="80" t="n">
        <v>0.382384447530252</v>
      </c>
      <c r="K87" s="80" t="n">
        <v>0.382384447530252</v>
      </c>
      <c r="L87" s="80" t="n">
        <v>0.382384447530252</v>
      </c>
      <c r="M87" s="80" t="n">
        <v>0.382384447530252</v>
      </c>
      <c r="N87" s="80" t="n">
        <v>0.382384447530252</v>
      </c>
      <c r="O87" s="80" t="n">
        <v>0.382384447530252</v>
      </c>
      <c r="P87" s="80" t="n">
        <v>0.382384447530252</v>
      </c>
      <c r="Q87" s="80" t="n">
        <v>0.382384447530252</v>
      </c>
      <c r="R87" s="80" t="n">
        <v>0.382384447530252</v>
      </c>
    </row>
    <row r="88" customFormat="false" ht="12.75" hidden="false" customHeight="false" outlineLevel="0" collapsed="false">
      <c r="A88" s="76" t="s">
        <v>177</v>
      </c>
      <c r="B88" s="80" t="n">
        <f aca="false">B23/'OAT Income Statement'!B$4</f>
        <v>0.160206308272168</v>
      </c>
      <c r="C88" s="80" t="n">
        <f aca="false">C23/'OAT Income Statement'!C$4</f>
        <v>0.157707610259883</v>
      </c>
      <c r="D88" s="80" t="n">
        <f aca="false">D23/'OAT Income Statement'!D$4</f>
        <v>0.154589571502323</v>
      </c>
      <c r="E88" s="80" t="n">
        <f aca="false">E23/'OAT Income Statement'!E$4</f>
        <v>0.149211475965468</v>
      </c>
      <c r="F88" s="80" t="n">
        <f aca="false">F23/'OAT Income Statement'!F$4</f>
        <v>0.142835160607809</v>
      </c>
      <c r="G88" s="89" t="n">
        <f aca="false">SUM(B88:F88)/5</f>
        <v>0.15291002532153</v>
      </c>
      <c r="H88" s="76" t="s">
        <v>177</v>
      </c>
      <c r="I88" s="80" t="n">
        <v>0.160206308272168</v>
      </c>
      <c r="J88" s="80" t="n">
        <v>0.160206308272168</v>
      </c>
      <c r="K88" s="80" t="n">
        <v>0.160206308272168</v>
      </c>
      <c r="L88" s="80" t="n">
        <v>0.160206308272168</v>
      </c>
      <c r="M88" s="80" t="n">
        <v>0.160206308272168</v>
      </c>
      <c r="N88" s="80" t="n">
        <v>0.160206308272168</v>
      </c>
      <c r="O88" s="80" t="n">
        <v>0.160206308272168</v>
      </c>
      <c r="P88" s="80" t="n">
        <v>0.160206308272168</v>
      </c>
      <c r="Q88" s="80" t="n">
        <v>0.160206308272168</v>
      </c>
      <c r="R88" s="80" t="n">
        <v>0.160206308272168</v>
      </c>
    </row>
    <row r="89" customFormat="false" ht="12.75" hidden="false" customHeight="false" outlineLevel="0" collapsed="false">
      <c r="A89" s="76"/>
      <c r="H89" s="76"/>
    </row>
    <row r="90" customFormat="false" ht="12.75" hidden="false" customHeight="false" outlineLevel="0" collapsed="false">
      <c r="A90" s="76" t="s">
        <v>178</v>
      </c>
      <c r="B90" s="80" t="n">
        <f aca="false">B25/'OAT Income Statement'!B$4</f>
        <v>0.222178139258084</v>
      </c>
      <c r="C90" s="80" t="n">
        <f aca="false">C25/'OAT Income Statement'!C$4</f>
        <v>0.234212308473715</v>
      </c>
      <c r="D90" s="80" t="n">
        <f aca="false">D25/'OAT Income Statement'!D$4</f>
        <v>0.221001548786784</v>
      </c>
      <c r="E90" s="80" t="n">
        <f aca="false">E25/'OAT Income Statement'!E$4</f>
        <v>0.232210857906175</v>
      </c>
      <c r="F90" s="80" t="n">
        <f aca="false">F25/'OAT Income Statement'!F$4</f>
        <v>0.230948259280631</v>
      </c>
      <c r="G90" s="89" t="n">
        <f aca="false">SUM(B90:F90)/5</f>
        <v>0.228110222741078</v>
      </c>
      <c r="H90" s="76" t="s">
        <v>178</v>
      </c>
      <c r="I90" s="80" t="n">
        <v>0.222178139258084</v>
      </c>
      <c r="J90" s="80" t="n">
        <v>0.222178139258084</v>
      </c>
      <c r="K90" s="80" t="n">
        <v>0.222178139258084</v>
      </c>
      <c r="L90" s="80" t="n">
        <v>0.222178139258084</v>
      </c>
      <c r="M90" s="80" t="n">
        <v>0.222178139258084</v>
      </c>
      <c r="N90" s="80" t="n">
        <v>0.222178139258084</v>
      </c>
      <c r="O90" s="80" t="n">
        <v>0.222178139258084</v>
      </c>
      <c r="P90" s="80" t="n">
        <v>0.222178139258084</v>
      </c>
      <c r="Q90" s="80" t="n">
        <v>0.222178139258084</v>
      </c>
      <c r="R90" s="80" t="n">
        <v>0.222178139258084</v>
      </c>
    </row>
    <row r="91" customFormat="false" ht="12.75" hidden="false" customHeight="false" outlineLevel="0" collapsed="false">
      <c r="A91" s="76" t="s">
        <v>179</v>
      </c>
      <c r="B91" s="80" t="n">
        <f aca="false">B26/'OAT Income Statement'!B$4</f>
        <v>0.0454671692124578</v>
      </c>
      <c r="C91" s="80" t="n">
        <f aca="false">C26/'OAT Income Statement'!C$4</f>
        <v>0.0501354440023703</v>
      </c>
      <c r="D91" s="80" t="n">
        <f aca="false">D26/'OAT Income Statement'!D$4</f>
        <v>0.050738255033557</v>
      </c>
      <c r="E91" s="80" t="n">
        <f aca="false">E26/'OAT Income Statement'!E$4</f>
        <v>0.0698805749945172</v>
      </c>
      <c r="F91" s="80" t="n">
        <f aca="false">F26/'OAT Income Statement'!F$4</f>
        <v>0.430313521831121</v>
      </c>
      <c r="G91" s="89" t="n">
        <f aca="false">SUM(B91:F91)/5</f>
        <v>0.129306993014805</v>
      </c>
      <c r="H91" s="76" t="s">
        <v>179</v>
      </c>
      <c r="I91" s="80" t="n">
        <v>0.0454671692124578</v>
      </c>
      <c r="J91" s="80" t="n">
        <v>0.0454671692124578</v>
      </c>
      <c r="K91" s="80" t="n">
        <v>0.0454671692124578</v>
      </c>
      <c r="L91" s="80" t="n">
        <v>0.0454671692124578</v>
      </c>
      <c r="M91" s="80" t="n">
        <v>0.0454671692124578</v>
      </c>
      <c r="N91" s="80" t="n">
        <v>0.0454671692124578</v>
      </c>
      <c r="O91" s="80" t="n">
        <v>0.0454671692124578</v>
      </c>
      <c r="P91" s="80" t="n">
        <v>0.0454671692124578</v>
      </c>
      <c r="Q91" s="80" t="n">
        <v>0.0454671692124578</v>
      </c>
      <c r="R91" s="80" t="n">
        <v>0.0454671692124578</v>
      </c>
    </row>
    <row r="92" customFormat="false" ht="12.75" hidden="false" customHeight="false" outlineLevel="0" collapsed="false">
      <c r="A92" s="76" t="s">
        <v>180</v>
      </c>
      <c r="B92" s="80" t="n">
        <f aca="false">B27/'OAT Income Statement'!B$4</f>
        <v>0.0110890696290419</v>
      </c>
      <c r="C92" s="80" t="n">
        <f aca="false">C27/'OAT Income Statement'!C$4</f>
        <v>0.0118301870820283</v>
      </c>
      <c r="D92" s="80" t="n">
        <f aca="false">D27/'OAT Income Statement'!D$4</f>
        <v>0.0163964894166236</v>
      </c>
      <c r="E92" s="80" t="n">
        <f aca="false">E27/'OAT Income Statement'!E$4</f>
        <v>0.00972944952848057</v>
      </c>
      <c r="F92" s="80" t="n">
        <f aca="false">F27/'OAT Income Statement'!F$4</f>
        <v>0.0128486247355261</v>
      </c>
      <c r="G92" s="89" t="n">
        <f aca="false">SUM(B92:F92)/5</f>
        <v>0.0123787640783401</v>
      </c>
      <c r="H92" s="76" t="s">
        <v>180</v>
      </c>
      <c r="I92" s="80" t="n">
        <v>0.0110890696290419</v>
      </c>
      <c r="J92" s="80" t="n">
        <v>0.0110890696290419</v>
      </c>
      <c r="K92" s="80" t="n">
        <v>0.0110890696290419</v>
      </c>
      <c r="L92" s="80" t="n">
        <v>0.0110890696290419</v>
      </c>
      <c r="M92" s="80" t="n">
        <v>0.0110890696290419</v>
      </c>
      <c r="N92" s="80" t="n">
        <v>0.0110890696290419</v>
      </c>
      <c r="O92" s="80" t="n">
        <v>0.0110890696290419</v>
      </c>
      <c r="P92" s="80" t="n">
        <v>0.0110890696290419</v>
      </c>
      <c r="Q92" s="80" t="n">
        <v>0.0110890696290419</v>
      </c>
      <c r="R92" s="80" t="n">
        <v>0.0110890696290419</v>
      </c>
    </row>
    <row r="93" customFormat="false" ht="12.75" hidden="false" customHeight="false" outlineLevel="0" collapsed="false">
      <c r="A93" s="76"/>
      <c r="H93" s="76"/>
    </row>
    <row r="94" customFormat="false" ht="12.75" hidden="false" customHeight="false" outlineLevel="0" collapsed="false">
      <c r="A94" s="76" t="s">
        <v>181</v>
      </c>
      <c r="B94" s="80" t="n">
        <f aca="false">B29/'OAT Income Statement'!B$4</f>
        <v>0.479825431462012</v>
      </c>
      <c r="C94" s="80" t="n">
        <f aca="false">C29/'OAT Income Statement'!C$4</f>
        <v>0.507110810124439</v>
      </c>
      <c r="D94" s="80" t="n">
        <f aca="false">D29/'OAT Income Statement'!D$4</f>
        <v>0.518389261744967</v>
      </c>
      <c r="E94" s="80" t="n">
        <f aca="false">E29/'OAT Income Statement'!E$4</f>
        <v>0.53771158562115</v>
      </c>
      <c r="F94" s="80" t="n">
        <f aca="false">F29/'OAT Income Statement'!F$4</f>
        <v>0.845239469128679</v>
      </c>
      <c r="G94" s="89" t="n">
        <f aca="false">SUM(B94:F94)/5</f>
        <v>0.577655311616249</v>
      </c>
      <c r="H94" s="76" t="s">
        <v>181</v>
      </c>
      <c r="I94" s="80" t="n">
        <v>0.479825431462012</v>
      </c>
      <c r="J94" s="80" t="n">
        <v>0.479825431462012</v>
      </c>
      <c r="K94" s="80" t="n">
        <v>0.479825431462012</v>
      </c>
      <c r="L94" s="80" t="n">
        <v>0.479825431462012</v>
      </c>
      <c r="M94" s="80" t="n">
        <v>0.479825431462012</v>
      </c>
      <c r="N94" s="80" t="n">
        <v>0.479825431462012</v>
      </c>
      <c r="O94" s="80" t="n">
        <v>0.479825431462012</v>
      </c>
      <c r="P94" s="80" t="n">
        <v>0.479825431462012</v>
      </c>
      <c r="Q94" s="80" t="n">
        <v>0.479825431462012</v>
      </c>
      <c r="R94" s="80" t="n">
        <v>0.479825431462012</v>
      </c>
    </row>
    <row r="95" customFormat="false" ht="12.75" hidden="false" customHeight="false" outlineLevel="0" collapsed="false">
      <c r="A95" s="76"/>
      <c r="H95" s="76"/>
    </row>
    <row r="96" customFormat="false" ht="12.75" hidden="false" customHeight="false" outlineLevel="0" collapsed="false">
      <c r="A96" s="76" t="s">
        <v>182</v>
      </c>
      <c r="B96" s="80" t="n">
        <f aca="false">B31/'OAT Income Statement'!B$4</f>
        <v>0</v>
      </c>
      <c r="H96" s="76" t="s">
        <v>182</v>
      </c>
      <c r="I96" s="80" t="n">
        <v>0</v>
      </c>
      <c r="J96" s="80" t="n">
        <v>0</v>
      </c>
      <c r="K96" s="80" t="n">
        <v>0</v>
      </c>
      <c r="L96" s="80" t="n">
        <v>0</v>
      </c>
      <c r="M96" s="80" t="n">
        <v>0</v>
      </c>
      <c r="N96" s="80" t="n">
        <v>0</v>
      </c>
      <c r="O96" s="80" t="n">
        <v>0</v>
      </c>
      <c r="P96" s="80" t="n">
        <v>0</v>
      </c>
      <c r="Q96" s="80" t="n">
        <v>0</v>
      </c>
      <c r="R96" s="80" t="n">
        <v>0</v>
      </c>
    </row>
    <row r="97" customFormat="false" ht="12.75" hidden="false" customHeight="false" outlineLevel="0" collapsed="false">
      <c r="A97" s="76" t="s">
        <v>183</v>
      </c>
      <c r="H97" s="76" t="s">
        <v>183</v>
      </c>
    </row>
    <row r="98" customFormat="false" ht="12.75" hidden="false" customHeight="false" outlineLevel="0" collapsed="false">
      <c r="A98" s="76" t="s">
        <v>184</v>
      </c>
      <c r="B98" s="80" t="n">
        <f aca="false">B33/'OAT Income Statement'!B$4</f>
        <v>0.0161872644316604</v>
      </c>
      <c r="C98" s="80" t="n">
        <f aca="false">C33/'OAT Income Statement'!C$4</f>
        <v>0.01551257089647</v>
      </c>
      <c r="D98" s="80" t="n">
        <f aca="false">D33/'OAT Income Statement'!D$4</f>
        <v>0.00852865255549819</v>
      </c>
      <c r="E98" s="80" t="n">
        <f aca="false">E33/'OAT Income Statement'!E$4</f>
        <v>0.0121618119106007</v>
      </c>
      <c r="F98" s="80" t="n">
        <f aca="false">F33/'OAT Income Statement'!F$4</f>
        <v>0.0994422004231583</v>
      </c>
      <c r="G98" s="89" t="n">
        <f aca="false">SUM(B98:F98)/5</f>
        <v>0.0303665000434775</v>
      </c>
      <c r="H98" s="76" t="s">
        <v>184</v>
      </c>
      <c r="I98" s="80" t="n">
        <v>0.0161872644316604</v>
      </c>
      <c r="J98" s="80" t="n">
        <v>0.0161872644316604</v>
      </c>
      <c r="K98" s="80" t="n">
        <v>0.0161872644316604</v>
      </c>
      <c r="L98" s="80" t="n">
        <v>0.0161872644316604</v>
      </c>
      <c r="M98" s="80" t="n">
        <v>0.0161872644316604</v>
      </c>
      <c r="N98" s="80" t="n">
        <v>0.0161872644316604</v>
      </c>
      <c r="O98" s="80" t="n">
        <v>0.0161872644316604</v>
      </c>
      <c r="P98" s="80" t="n">
        <v>0.0161872644316604</v>
      </c>
      <c r="Q98" s="80" t="n">
        <v>0.0161872644316604</v>
      </c>
      <c r="R98" s="80" t="n">
        <v>0.0161872644316604</v>
      </c>
    </row>
    <row r="99" customFormat="false" ht="12.75" hidden="false" customHeight="false" outlineLevel="0" collapsed="false">
      <c r="A99" s="76" t="s">
        <v>185</v>
      </c>
      <c r="B99" s="80" t="n">
        <f aca="false">B34/'OAT Income Statement'!B$4</f>
        <v>0.00952192025391787</v>
      </c>
      <c r="C99" s="80" t="n">
        <f aca="false">C34/'OAT Income Statement'!C$4</f>
        <v>0.017184457800728</v>
      </c>
      <c r="D99" s="80" t="n">
        <f aca="false">D34/'OAT Income Statement'!D$4</f>
        <v>0.0196592669075891</v>
      </c>
      <c r="E99" s="80" t="n">
        <f aca="false">E34/'OAT Income Statement'!E$4</f>
        <v>0.0216121378870347</v>
      </c>
      <c r="F99" s="80" t="n">
        <f aca="false">F34/'OAT Income Statement'!F$4</f>
        <v>0.0098288132333141</v>
      </c>
      <c r="G99" s="89" t="n">
        <f aca="false">SUM(B99:F99)/5</f>
        <v>0.0155613192165168</v>
      </c>
      <c r="H99" s="76" t="s">
        <v>185</v>
      </c>
      <c r="I99" s="80" t="n">
        <v>0.00952192025391787</v>
      </c>
      <c r="J99" s="80" t="n">
        <v>0.00952192025391787</v>
      </c>
      <c r="K99" s="80" t="n">
        <v>0.00952192025391787</v>
      </c>
      <c r="L99" s="80" t="n">
        <v>0.00952192025391787</v>
      </c>
      <c r="M99" s="80" t="n">
        <v>0.00952192025391787</v>
      </c>
      <c r="N99" s="80" t="n">
        <v>0.00952192025391787</v>
      </c>
      <c r="O99" s="80" t="n">
        <v>0.00952192025391787</v>
      </c>
      <c r="P99" s="80" t="n">
        <v>0.00952192025391787</v>
      </c>
      <c r="Q99" s="80" t="n">
        <v>0.00952192025391787</v>
      </c>
      <c r="R99" s="80" t="n">
        <v>0.00952192025391787</v>
      </c>
    </row>
    <row r="100" customFormat="false" ht="12.75" hidden="false" customHeight="false" outlineLevel="0" collapsed="false">
      <c r="A100" s="76" t="s">
        <v>186</v>
      </c>
      <c r="B100" s="80" t="n">
        <f aca="false">B35/'OAT Income Statement'!B$4</f>
        <v>0.0421146597897243</v>
      </c>
      <c r="C100" s="80" t="n">
        <f aca="false">C35/'OAT Income Statement'!C$4</f>
        <v>0.0452044357910776</v>
      </c>
      <c r="D100" s="80" t="n">
        <f aca="false">D35/'OAT Income Statement'!D$4</f>
        <v>0.0347754259163655</v>
      </c>
      <c r="E100" s="80" t="n">
        <f aca="false">E35/'OAT Income Statement'!E$4</f>
        <v>0.0381402396475068</v>
      </c>
      <c r="F100" s="80" t="n">
        <f aca="false">F35/'OAT Income Statement'!F$4</f>
        <v>0.0404308520869398</v>
      </c>
      <c r="G100" s="89" t="n">
        <f aca="false">SUM(B100:F100)/5</f>
        <v>0.0401331226463228</v>
      </c>
      <c r="H100" s="76" t="s">
        <v>186</v>
      </c>
      <c r="I100" s="80" t="n">
        <v>0.0421146597897243</v>
      </c>
      <c r="J100" s="80" t="n">
        <v>0.0421146597897243</v>
      </c>
      <c r="K100" s="80" t="n">
        <v>0.0421146597897243</v>
      </c>
      <c r="L100" s="80" t="n">
        <v>0.0421146597897243</v>
      </c>
      <c r="M100" s="80" t="n">
        <v>0.0421146597897243</v>
      </c>
      <c r="N100" s="80" t="n">
        <v>0.0421146597897243</v>
      </c>
      <c r="O100" s="80" t="n">
        <v>0.0421146597897243</v>
      </c>
      <c r="P100" s="80" t="n">
        <v>0.0421146597897243</v>
      </c>
      <c r="Q100" s="80" t="n">
        <v>0.0421146597897243</v>
      </c>
      <c r="R100" s="80" t="n">
        <v>0.0421146597897243</v>
      </c>
    </row>
    <row r="101" customFormat="false" ht="12.75" hidden="false" customHeight="false" outlineLevel="0" collapsed="false">
      <c r="A101" s="76" t="s">
        <v>187</v>
      </c>
      <c r="B101" s="80" t="n">
        <f aca="false">B36/'OAT Income Statement'!B$4</f>
        <v>0.026958936718905</v>
      </c>
      <c r="C101" s="80" t="n">
        <f aca="false">C36/'OAT Income Statement'!C$4</f>
        <v>0.0294379073901634</v>
      </c>
      <c r="D101" s="80" t="n">
        <f aca="false">D36/'OAT Income Statement'!D$4</f>
        <v>0.0271347444501807</v>
      </c>
      <c r="E101" s="80" t="n">
        <f aca="false">E36/'OAT Income Statement'!E$4</f>
        <v>0.0263771756684012</v>
      </c>
      <c r="F101" s="80" t="n">
        <f aca="false">F36/'OAT Income Statement'!F$4</f>
        <v>0.0214079630698211</v>
      </c>
      <c r="G101" s="89" t="n">
        <f aca="false">SUM(B101:F101)/5</f>
        <v>0.0262633454594943</v>
      </c>
      <c r="H101" s="76" t="s">
        <v>187</v>
      </c>
      <c r="I101" s="80" t="n">
        <v>0.026958936718905</v>
      </c>
      <c r="J101" s="80" t="n">
        <v>0.026958936718905</v>
      </c>
      <c r="K101" s="80" t="n">
        <v>0.026958936718905</v>
      </c>
      <c r="L101" s="80" t="n">
        <v>0.026958936718905</v>
      </c>
      <c r="M101" s="80" t="n">
        <v>0.026958936718905</v>
      </c>
      <c r="N101" s="80" t="n">
        <v>0.026958936718905</v>
      </c>
      <c r="O101" s="80" t="n">
        <v>0.026958936718905</v>
      </c>
      <c r="P101" s="80" t="n">
        <v>0.026958936718905</v>
      </c>
      <c r="Q101" s="80" t="n">
        <v>0.026958936718905</v>
      </c>
      <c r="R101" s="80" t="n">
        <v>0.026958936718905</v>
      </c>
    </row>
    <row r="102" customFormat="false" ht="12.75" hidden="false" customHeight="false" outlineLevel="0" collapsed="false">
      <c r="A102" s="76" t="s">
        <v>188</v>
      </c>
      <c r="B102" s="80" t="n">
        <f aca="false">B37/'OAT Income Statement'!B$4</f>
        <v>0.0251339020035707</v>
      </c>
      <c r="C102" s="80" t="n">
        <f aca="false">C37/'OAT Income Statement'!C$4</f>
        <v>0.029353254888682</v>
      </c>
      <c r="D102" s="80" t="n">
        <f aca="false">D37/'OAT Income Statement'!D$4</f>
        <v>0.0259370160041301</v>
      </c>
      <c r="E102" s="80" t="n">
        <f aca="false">E37/'OAT Income Statement'!E$4</f>
        <v>0.024522997786949</v>
      </c>
      <c r="F102" s="80" t="n">
        <f aca="false">F37/'OAT Income Statement'!F$4</f>
        <v>0.0250432775533756</v>
      </c>
      <c r="G102" s="89" t="n">
        <f aca="false">SUM(B102:F102)/5</f>
        <v>0.0259980896473415</v>
      </c>
      <c r="H102" s="76" t="s">
        <v>188</v>
      </c>
      <c r="I102" s="80" t="n">
        <v>0.0251339020035707</v>
      </c>
      <c r="J102" s="80" t="n">
        <v>0.0251339020035707</v>
      </c>
      <c r="K102" s="80" t="n">
        <v>0.0251339020035707</v>
      </c>
      <c r="L102" s="80" t="n">
        <v>0.0251339020035707</v>
      </c>
      <c r="M102" s="80" t="n">
        <v>0.0251339020035707</v>
      </c>
      <c r="N102" s="80" t="n">
        <v>0.0251339020035707</v>
      </c>
      <c r="O102" s="80" t="n">
        <v>0.0251339020035707</v>
      </c>
      <c r="P102" s="80" t="n">
        <v>0.0251339020035707</v>
      </c>
      <c r="Q102" s="80" t="n">
        <v>0.0251339020035707</v>
      </c>
      <c r="R102" s="80" t="n">
        <v>0.0251339020035707</v>
      </c>
    </row>
    <row r="103" customFormat="false" ht="12.75" hidden="false" customHeight="false" outlineLevel="0" collapsed="false">
      <c r="A103" s="76" t="s">
        <v>189</v>
      </c>
      <c r="B103" s="80" t="n">
        <f aca="false">B38/'OAT Income Statement'!B$4</f>
        <v>0.00309462408252331</v>
      </c>
      <c r="C103" s="80" t="n">
        <f aca="false">C38/'OAT Income Statement'!C$4</f>
        <v>0.00848641327351223</v>
      </c>
      <c r="D103" s="80" t="n">
        <f aca="false">D38/'OAT Income Statement'!D$4</f>
        <v>0.0131543624161074</v>
      </c>
      <c r="E103" s="80" t="n">
        <f aca="false">E38/'OAT Income Statement'!E$4</f>
        <v>0.0147137986721694</v>
      </c>
      <c r="F103" s="80" t="n">
        <f aca="false">F38/'OAT Income Statement'!F$4</f>
        <v>0.008155414502789</v>
      </c>
      <c r="G103" s="89" t="n">
        <f aca="false">SUM(B103:F103)/5</f>
        <v>0.00952092258942026</v>
      </c>
      <c r="H103" s="76" t="s">
        <v>189</v>
      </c>
      <c r="I103" s="80" t="n">
        <v>0.00309462408252331</v>
      </c>
      <c r="J103" s="80" t="n">
        <v>0.00309462408252331</v>
      </c>
      <c r="K103" s="80" t="n">
        <v>0.00309462408252331</v>
      </c>
      <c r="L103" s="80" t="n">
        <v>0.00309462408252331</v>
      </c>
      <c r="M103" s="80" t="n">
        <v>0.00309462408252331</v>
      </c>
      <c r="N103" s="80" t="n">
        <v>0.00309462408252331</v>
      </c>
      <c r="O103" s="80" t="n">
        <v>0.00309462408252331</v>
      </c>
      <c r="P103" s="80" t="n">
        <v>0.00309462408252331</v>
      </c>
      <c r="Q103" s="80" t="n">
        <v>0.00309462408252331</v>
      </c>
      <c r="R103" s="80" t="n">
        <v>0.00309462408252331</v>
      </c>
    </row>
    <row r="104" customFormat="false" ht="12.75" hidden="false" customHeight="false" outlineLevel="0" collapsed="false">
      <c r="A104" s="76" t="s">
        <v>190</v>
      </c>
      <c r="B104" s="80" t="n">
        <f aca="false">B39/'OAT Income Statement'!B$4</f>
        <v>0.0476691132711764</v>
      </c>
      <c r="C104" s="80" t="n">
        <f aca="false">C39/'OAT Income Statement'!C$4</f>
        <v>0.0533945653094049</v>
      </c>
      <c r="D104" s="80" t="n">
        <f aca="false">D39/'OAT Income Statement'!D$4</f>
        <v>0.0791946308724832</v>
      </c>
      <c r="E104" s="80" t="n">
        <f aca="false">E39/'OAT Income Statement'!E$4</f>
        <v>0.0510197978347987</v>
      </c>
      <c r="F104" s="80" t="n">
        <f aca="false">F39/'OAT Income Statement'!F$4</f>
        <v>0.0562608193883439</v>
      </c>
      <c r="G104" s="89" t="n">
        <f aca="false">SUM(B104:F104)/5</f>
        <v>0.0575077853352414</v>
      </c>
      <c r="H104" s="76" t="s">
        <v>190</v>
      </c>
      <c r="I104" s="80" t="n">
        <v>0.0476691132711764</v>
      </c>
      <c r="J104" s="80" t="n">
        <v>0.0476691132711764</v>
      </c>
      <c r="K104" s="80" t="n">
        <v>0.0476691132711764</v>
      </c>
      <c r="L104" s="80" t="n">
        <v>0.0476691132711764</v>
      </c>
      <c r="M104" s="80" t="n">
        <v>0.0476691132711764</v>
      </c>
      <c r="N104" s="80" t="n">
        <v>0.0476691132711764</v>
      </c>
      <c r="O104" s="80" t="n">
        <v>0.0476691132711764</v>
      </c>
      <c r="P104" s="80" t="n">
        <v>0.0476691132711764</v>
      </c>
      <c r="Q104" s="80" t="n">
        <v>0.0476691132711764</v>
      </c>
      <c r="R104" s="80" t="n">
        <v>0.0476691132711764</v>
      </c>
    </row>
    <row r="105" customFormat="false" ht="12.75" hidden="false" customHeight="false" outlineLevel="0" collapsed="false">
      <c r="A105" s="76"/>
      <c r="H105" s="76"/>
    </row>
    <row r="106" customFormat="false" ht="12.75" hidden="false" customHeight="false" outlineLevel="0" collapsed="false">
      <c r="A106" s="76" t="s">
        <v>191</v>
      </c>
      <c r="B106" s="80" t="n">
        <f aca="false">B41/'OAT Income Statement'!B$4</f>
        <v>0.170680420551478</v>
      </c>
      <c r="C106" s="80" t="n">
        <f aca="false">C41/'OAT Income Statement'!C$4</f>
        <v>0.198573605350038</v>
      </c>
      <c r="D106" s="80" t="n">
        <f aca="false">D41/'OAT Income Statement'!D$4</f>
        <v>0.208384099122354</v>
      </c>
      <c r="E106" s="80" t="n">
        <f aca="false">E41/'OAT Income Statement'!E$4</f>
        <v>0.188547959407461</v>
      </c>
      <c r="F106" s="80" t="n">
        <f aca="false">F41/'OAT Income Statement'!F$4</f>
        <v>0.260569340257742</v>
      </c>
      <c r="G106" s="89" t="n">
        <f aca="false">SUM(B106:F106)/5</f>
        <v>0.205351084937815</v>
      </c>
      <c r="H106" s="76" t="s">
        <v>191</v>
      </c>
      <c r="I106" s="80" t="n">
        <v>0.170680420551478</v>
      </c>
      <c r="J106" s="80" t="n">
        <v>0.170680420551478</v>
      </c>
      <c r="K106" s="80" t="n">
        <v>0.170680420551478</v>
      </c>
      <c r="L106" s="80" t="n">
        <v>0.170680420551478</v>
      </c>
      <c r="M106" s="80" t="n">
        <v>0.170680420551478</v>
      </c>
      <c r="N106" s="80" t="n">
        <v>0.170680420551478</v>
      </c>
      <c r="O106" s="80" t="n">
        <v>0.170680420551478</v>
      </c>
      <c r="P106" s="80" t="n">
        <v>0.170680420551478</v>
      </c>
      <c r="Q106" s="80" t="n">
        <v>0.170680420551478</v>
      </c>
      <c r="R106" s="80" t="n">
        <v>0.170680420551478</v>
      </c>
    </row>
    <row r="107" customFormat="false" ht="12.75" hidden="false" customHeight="false" outlineLevel="0" collapsed="false">
      <c r="A107" s="76" t="s">
        <v>192</v>
      </c>
      <c r="B107" s="80" t="n">
        <f aca="false">B42/'OAT Income Statement'!B$4</f>
        <v>0.131739734179726</v>
      </c>
      <c r="C107" s="80" t="n">
        <f aca="false">C42/'OAT Income Statement'!C$4</f>
        <v>0.151316346398036</v>
      </c>
      <c r="D107" s="80" t="n">
        <f aca="false">D42/'OAT Income Statement'!D$4</f>
        <v>0.164192049561177</v>
      </c>
      <c r="E107" s="80" t="n">
        <f aca="false">E42/'OAT Income Statement'!E$4</f>
        <v>0.176964331997528</v>
      </c>
      <c r="F107" s="80" t="n">
        <f aca="false">F42/'OAT Income Statement'!F$4</f>
        <v>0.1910944412387</v>
      </c>
      <c r="G107" s="89" t="n">
        <f aca="false">SUM(B107:F107)/5</f>
        <v>0.163061380675033</v>
      </c>
      <c r="H107" s="76" t="s">
        <v>192</v>
      </c>
      <c r="I107" s="80" t="n">
        <v>0.131739734179726</v>
      </c>
      <c r="J107" s="80" t="n">
        <v>0.131739734179726</v>
      </c>
      <c r="K107" s="80" t="n">
        <v>0.131739734179726</v>
      </c>
      <c r="L107" s="80" t="n">
        <v>0.131739734179726</v>
      </c>
      <c r="M107" s="80" t="n">
        <v>0.131739734179726</v>
      </c>
      <c r="N107" s="80" t="n">
        <v>0.131739734179726</v>
      </c>
      <c r="O107" s="80" t="n">
        <v>0.131739734179726</v>
      </c>
      <c r="P107" s="80" t="n">
        <v>0.131739734179726</v>
      </c>
      <c r="Q107" s="80" t="n">
        <v>0.131739734179726</v>
      </c>
      <c r="R107" s="80" t="n">
        <v>0.131739734179726</v>
      </c>
    </row>
    <row r="108" customFormat="false" ht="12.75" hidden="false" customHeight="false" outlineLevel="0" collapsed="false">
      <c r="A108" s="76" t="s">
        <v>193</v>
      </c>
      <c r="B108" s="80" t="n">
        <f aca="false">B43/'OAT Income Statement'!B$4</f>
        <v>0.102757389406864</v>
      </c>
      <c r="C108" s="80" t="n">
        <f aca="false">C43/'OAT Income Statement'!C$4</f>
        <v>0.110704308812325</v>
      </c>
      <c r="D108" s="80" t="n">
        <f aca="false">D43/'OAT Income Statement'!D$4</f>
        <v>0.110149716055756</v>
      </c>
      <c r="E108" s="80" t="n">
        <f aca="false">E43/'OAT Income Statement'!E$4</f>
        <v>0.115417588771258</v>
      </c>
      <c r="F108" s="80" t="n">
        <f aca="false">F43/'OAT Income Statement'!F$4</f>
        <v>0.107501442585113</v>
      </c>
      <c r="G108" s="89" t="n">
        <f aca="false">SUM(B108:F108)/5</f>
        <v>0.109306089126263</v>
      </c>
      <c r="H108" s="76" t="s">
        <v>193</v>
      </c>
      <c r="I108" s="80" t="n">
        <v>0.102757389406864</v>
      </c>
      <c r="J108" s="80" t="n">
        <v>0.102757389406864</v>
      </c>
      <c r="K108" s="80" t="n">
        <v>0.102757389406864</v>
      </c>
      <c r="L108" s="80" t="n">
        <v>0.102757389406864</v>
      </c>
      <c r="M108" s="80" t="n">
        <v>0.102757389406864</v>
      </c>
      <c r="N108" s="80" t="n">
        <v>0.102757389406864</v>
      </c>
      <c r="O108" s="80" t="n">
        <v>0.102757389406864</v>
      </c>
      <c r="P108" s="80" t="n">
        <v>0.102757389406864</v>
      </c>
      <c r="Q108" s="80" t="n">
        <v>0.102757389406864</v>
      </c>
      <c r="R108" s="80" t="n">
        <v>0.102757389406864</v>
      </c>
    </row>
    <row r="109" customFormat="false" ht="12.75" hidden="false" customHeight="false" outlineLevel="0" collapsed="false">
      <c r="A109" s="76" t="s">
        <v>194</v>
      </c>
      <c r="C109" s="80"/>
      <c r="H109" s="76" t="s">
        <v>194</v>
      </c>
    </row>
    <row r="110" customFormat="false" ht="12.75" hidden="false" customHeight="false" outlineLevel="0" collapsed="false">
      <c r="A110" s="76" t="s">
        <v>195</v>
      </c>
      <c r="B110" s="80"/>
      <c r="C110" s="80"/>
      <c r="H110" s="76" t="s">
        <v>195</v>
      </c>
      <c r="I110" s="80"/>
    </row>
    <row r="111" customFormat="false" ht="12.75" hidden="false" customHeight="false" outlineLevel="0" collapsed="false">
      <c r="A111" s="76" t="s">
        <v>196</v>
      </c>
      <c r="C111" s="80"/>
      <c r="H111" s="76" t="s">
        <v>196</v>
      </c>
    </row>
    <row r="112" customFormat="false" ht="12.75" hidden="false" customHeight="false" outlineLevel="0" collapsed="false">
      <c r="A112" s="76" t="s">
        <v>197</v>
      </c>
      <c r="B112" s="80" t="n">
        <f aca="false">B47/'OAT Income Statement'!B$4</f>
        <v>0.0198373338623289</v>
      </c>
      <c r="C112" s="80" t="n">
        <f aca="false">C47/'OAT Income Statement'!C$4</f>
        <v>0.0211631253703547</v>
      </c>
      <c r="D112" s="80" t="n">
        <f aca="false">D47/'OAT Income Statement'!D$4</f>
        <v>0.0206504904491482</v>
      </c>
      <c r="E112" s="80" t="n">
        <f aca="false">E47/'OAT Income Statement'!E$4</f>
        <v>0.0199373965747553</v>
      </c>
      <c r="F112" s="80" t="n">
        <f aca="false">F47/'OAT Income Statement'!F$4</f>
        <v>0.0192344681669552</v>
      </c>
      <c r="G112" s="89" t="n">
        <f aca="false">SUM(B112:F112)/5</f>
        <v>0.0201645628847084</v>
      </c>
      <c r="H112" s="76" t="s">
        <v>197</v>
      </c>
      <c r="I112" s="80" t="n">
        <v>0.0198373338623289</v>
      </c>
      <c r="J112" s="80" t="n">
        <v>0.0198373338623289</v>
      </c>
      <c r="K112" s="80" t="n">
        <v>0.0198373338623289</v>
      </c>
      <c r="L112" s="80" t="n">
        <v>0.0198373338623289</v>
      </c>
      <c r="M112" s="80" t="n">
        <v>0.0198373338623289</v>
      </c>
      <c r="N112" s="80" t="n">
        <v>0.0198373338623289</v>
      </c>
      <c r="O112" s="80" t="n">
        <v>0.0198373338623289</v>
      </c>
      <c r="P112" s="80" t="n">
        <v>0.0198373338623289</v>
      </c>
      <c r="Q112" s="80" t="n">
        <v>0.0198373338623289</v>
      </c>
      <c r="R112" s="80" t="n">
        <v>0.0198373338623289</v>
      </c>
    </row>
    <row r="113" customFormat="false" ht="12.75" hidden="false" customHeight="false" outlineLevel="0" collapsed="false">
      <c r="A113" s="76" t="s">
        <v>198</v>
      </c>
      <c r="B113" s="80" t="n">
        <f aca="false">B48/'OAT Income Statement'!B$4</f>
        <v>-0.00539575481055346</v>
      </c>
      <c r="C113" s="80" t="n">
        <f aca="false">C48/'OAT Income Statement'!C$4</f>
        <v>-0.00814780326758656</v>
      </c>
      <c r="D113" s="80" t="n">
        <f aca="false">D48/'OAT Income Statement'!D$4</f>
        <v>-0.00999483737738771</v>
      </c>
      <c r="E113" s="80" t="n">
        <f aca="false">E48/'OAT Income Statement'!E$4</f>
        <v>-0.01140419084076</v>
      </c>
      <c r="F113" s="80" t="n">
        <f aca="false">F48/'OAT Income Statement'!F$4</f>
        <v>-0.0124831698403539</v>
      </c>
      <c r="G113" s="89" t="n">
        <f aca="false">SUM(B113:F113)/5</f>
        <v>-0.00948515122732833</v>
      </c>
      <c r="H113" s="76" t="s">
        <v>198</v>
      </c>
      <c r="I113" s="80" t="n">
        <v>-0.00539575481055346</v>
      </c>
      <c r="J113" s="80" t="n">
        <v>-0.00539575481055346</v>
      </c>
      <c r="K113" s="80" t="n">
        <v>-0.00539575481055346</v>
      </c>
      <c r="L113" s="80" t="n">
        <v>-0.00539575481055346</v>
      </c>
      <c r="M113" s="80" t="n">
        <v>-0.00539575481055346</v>
      </c>
      <c r="N113" s="80" t="n">
        <v>-0.00539575481055346</v>
      </c>
      <c r="O113" s="80" t="n">
        <v>-0.00539575481055346</v>
      </c>
      <c r="P113" s="80" t="n">
        <v>-0.00539575481055346</v>
      </c>
      <c r="Q113" s="80" t="n">
        <v>-0.00539575481055346</v>
      </c>
      <c r="R113" s="80" t="n">
        <v>-0.00539575481055346</v>
      </c>
    </row>
    <row r="114" customFormat="false" ht="12.75" hidden="false" customHeight="false" outlineLevel="0" collapsed="false">
      <c r="A114" s="76" t="s">
        <v>199</v>
      </c>
      <c r="B114" s="80"/>
      <c r="H114" s="76" t="s">
        <v>199</v>
      </c>
      <c r="I114" s="80"/>
      <c r="J114" s="80"/>
      <c r="K114" s="80"/>
      <c r="L114" s="80"/>
      <c r="M114" s="80"/>
      <c r="N114" s="80"/>
      <c r="O114" s="80"/>
      <c r="P114" s="80"/>
      <c r="Q114" s="80"/>
      <c r="R114" s="80"/>
    </row>
    <row r="115" customFormat="false" ht="12.75" hidden="false" customHeight="false" outlineLevel="0" collapsed="false">
      <c r="A115" s="76" t="s">
        <v>200</v>
      </c>
      <c r="B115" s="80" t="n">
        <f aca="false">B50/'OAT Income Statement'!B$4</f>
        <v>-0.0101567149375124</v>
      </c>
      <c r="C115" s="80" t="n">
        <f aca="false">C50/'OAT Income Statement'!C$4</f>
        <v>-0.00825361889443833</v>
      </c>
      <c r="D115" s="80" t="n">
        <f aca="false">D50/'OAT Income Statement'!D$4</f>
        <v>-0.0061744966442953</v>
      </c>
      <c r="E115" s="80" t="n">
        <f aca="false">E50/'OAT Income Statement'!E$4</f>
        <v>-0.00444603943617043</v>
      </c>
      <c r="F115" s="80" t="n">
        <f aca="false">F50/'OAT Income Statement'!F$4</f>
        <v>-0.00309674937487979</v>
      </c>
      <c r="G115" s="89" t="n">
        <f aca="false">SUM(B115:F115)/5</f>
        <v>-0.00642552385745925</v>
      </c>
      <c r="H115" s="76" t="s">
        <v>200</v>
      </c>
      <c r="I115" s="80" t="n">
        <v>-0.0101567149375124</v>
      </c>
      <c r="J115" s="80" t="n">
        <v>-0.0101567149375124</v>
      </c>
      <c r="K115" s="80" t="n">
        <v>-0.0101567149375124</v>
      </c>
      <c r="L115" s="80" t="n">
        <v>-0.0101567149375124</v>
      </c>
      <c r="M115" s="80" t="n">
        <v>-0.0101567149375124</v>
      </c>
      <c r="N115" s="80" t="n">
        <v>-0.0101567149375124</v>
      </c>
      <c r="O115" s="80" t="n">
        <v>-0.0101567149375124</v>
      </c>
      <c r="P115" s="80" t="n">
        <v>-0.0101567149375124</v>
      </c>
      <c r="Q115" s="80" t="n">
        <v>-0.0101567149375124</v>
      </c>
      <c r="R115" s="80" t="n">
        <v>-0.0101567149375124</v>
      </c>
    </row>
    <row r="116" customFormat="false" ht="12.75" hidden="false" customHeight="false" outlineLevel="0" collapsed="false">
      <c r="A116" s="76" t="s">
        <v>201</v>
      </c>
      <c r="B116" s="80"/>
      <c r="H116" s="76" t="s">
        <v>201</v>
      </c>
      <c r="I116" s="80"/>
      <c r="J116" s="80"/>
      <c r="K116" s="80"/>
      <c r="L116" s="80"/>
      <c r="M116" s="80"/>
      <c r="N116" s="80"/>
      <c r="O116" s="80"/>
      <c r="P116" s="80"/>
      <c r="Q116" s="80"/>
      <c r="R116" s="80"/>
    </row>
    <row r="117" customFormat="false" ht="12.75" hidden="false" customHeight="false" outlineLevel="0" collapsed="false">
      <c r="A117" s="76" t="s">
        <v>202</v>
      </c>
      <c r="H117" s="76" t="s">
        <v>202</v>
      </c>
    </row>
    <row r="118" customFormat="false" ht="12.75" hidden="false" customHeight="false" outlineLevel="0" collapsed="false">
      <c r="A118" s="76" t="s">
        <v>203</v>
      </c>
      <c r="B118" s="80" t="n">
        <f aca="false">B53/'OAT Income Statement'!B$4</f>
        <v>0.166633604443563</v>
      </c>
      <c r="C118" s="80" t="n">
        <f aca="false">C53/'OAT Income Statement'!C$4</f>
        <v>0.177770253110979</v>
      </c>
      <c r="D118" s="80" t="n">
        <f aca="false">D53/'OAT Income Statement'!D$4</f>
        <v>0.173464119772845</v>
      </c>
      <c r="E118" s="80" t="n">
        <f aca="false">E53/'OAT Income Statement'!E$4</f>
        <v>0.167474131227944</v>
      </c>
      <c r="F118" s="80" t="n">
        <f aca="false">F53/'OAT Income Statement'!F$4</f>
        <v>0.161569532602424</v>
      </c>
      <c r="G118" s="89" t="n">
        <f aca="false">SUM(B118:F118)/5</f>
        <v>0.169382328231551</v>
      </c>
      <c r="H118" s="76" t="s">
        <v>203</v>
      </c>
      <c r="I118" s="80" t="n">
        <v>0.166633604443563</v>
      </c>
      <c r="J118" s="80" t="n">
        <v>0.166633604443563</v>
      </c>
      <c r="K118" s="80" t="n">
        <v>0.166633604443563</v>
      </c>
      <c r="L118" s="80" t="n">
        <v>0.166633604443563</v>
      </c>
      <c r="M118" s="80" t="n">
        <v>0.166633604443563</v>
      </c>
      <c r="N118" s="80" t="n">
        <v>0.166633604443563</v>
      </c>
      <c r="O118" s="80" t="n">
        <v>0.166633604443563</v>
      </c>
      <c r="P118" s="80" t="n">
        <v>0.166633604443563</v>
      </c>
      <c r="Q118" s="80" t="n">
        <v>0.166633604443563</v>
      </c>
      <c r="R118" s="80" t="n">
        <v>0.166633604443563</v>
      </c>
    </row>
    <row r="119" customFormat="false" ht="12.75" hidden="false" customHeight="false" outlineLevel="0" collapsed="false">
      <c r="A119" s="76" t="s">
        <v>204</v>
      </c>
      <c r="B119" s="80" t="n">
        <f aca="false">B54/'OAT Income Statement'!B$4</f>
        <v>0.0270581233882166</v>
      </c>
      <c r="C119" s="80" t="n">
        <f aca="false">C54/'OAT Income Statement'!C$4</f>
        <v>0.0213112672479472</v>
      </c>
      <c r="D119" s="80" t="n">
        <f aca="false">D54/'OAT Income Statement'!D$4</f>
        <v>0.0162932369643779</v>
      </c>
      <c r="E119" s="80" t="n">
        <f aca="false">E54/'OAT Income Statement'!E$4</f>
        <v>0.00578184500667903</v>
      </c>
      <c r="F119" s="80"/>
      <c r="G119" s="89" t="n">
        <f aca="false">SUM(B119:F119)/5</f>
        <v>0.0140888945214441</v>
      </c>
      <c r="H119" s="76" t="s">
        <v>204</v>
      </c>
      <c r="I119" s="80" t="n">
        <v>0.0270581233882166</v>
      </c>
      <c r="J119" s="80" t="n">
        <v>0.0270581233882166</v>
      </c>
      <c r="K119" s="80" t="n">
        <v>0.0270581233882166</v>
      </c>
      <c r="L119" s="80" t="n">
        <v>0.0270581233882166</v>
      </c>
      <c r="M119" s="80" t="n">
        <v>0.0270581233882166</v>
      </c>
      <c r="N119" s="80" t="n">
        <v>0.0270581233882166</v>
      </c>
      <c r="O119" s="80" t="n">
        <v>0.0270581233882166</v>
      </c>
      <c r="P119" s="80" t="n">
        <v>0.0270581233882166</v>
      </c>
      <c r="Q119" s="80" t="n">
        <v>0.0270581233882166</v>
      </c>
      <c r="R119" s="80" t="n">
        <v>0.0270581233882166</v>
      </c>
    </row>
    <row r="120" customFormat="false" ht="12.75" hidden="false" customHeight="false" outlineLevel="0" collapsed="false">
      <c r="A120" s="76" t="s">
        <v>205</v>
      </c>
      <c r="B120" s="80" t="n">
        <f aca="false">B55/'OAT Income Statement'!B$4</f>
        <v>0.210612973616346</v>
      </c>
      <c r="C120" s="80" t="n">
        <f aca="false">C55/'OAT Income Statement'!C$4</f>
        <v>0.180860069415051</v>
      </c>
      <c r="D120" s="80" t="n">
        <f aca="false">D55/'OAT Income Statement'!D$4</f>
        <v>0.114775425916366</v>
      </c>
      <c r="E120" s="80" t="n">
        <f aca="false">E55/'OAT Income Statement'!E$4</f>
        <v>0.0859301792371952</v>
      </c>
      <c r="F120" s="80" t="n">
        <f aca="false">F55/'OAT Income Statement'!F$4</f>
        <v>0.292613964223889</v>
      </c>
      <c r="G120" s="89" t="n">
        <f aca="false">SUM(B120:F120)/5</f>
        <v>0.176958522481769</v>
      </c>
      <c r="H120" s="76" t="s">
        <v>205</v>
      </c>
      <c r="I120" s="80" t="n">
        <v>0.210612973616346</v>
      </c>
      <c r="J120" s="80" t="n">
        <v>0.210612973616346</v>
      </c>
      <c r="K120" s="80" t="n">
        <v>0.210612973616346</v>
      </c>
      <c r="L120" s="80" t="n">
        <v>0.210612973616346</v>
      </c>
      <c r="M120" s="80" t="n">
        <v>0.210612973616346</v>
      </c>
      <c r="N120" s="80" t="n">
        <v>0.210612973616346</v>
      </c>
      <c r="O120" s="80" t="n">
        <v>0.210612973616346</v>
      </c>
      <c r="P120" s="80" t="n">
        <v>0.210612973616346</v>
      </c>
      <c r="Q120" s="80" t="n">
        <v>0.210612973616346</v>
      </c>
      <c r="R120" s="80" t="n">
        <v>0.210612973616346</v>
      </c>
    </row>
    <row r="121" customFormat="false" ht="12.75" hidden="false" customHeight="false" outlineLevel="0" collapsed="false">
      <c r="A121" s="76" t="s">
        <v>206</v>
      </c>
      <c r="B121" s="80" t="n">
        <f aca="false">B56/'OAT Income Statement'!B$4</f>
        <v>-0.0220789525887721</v>
      </c>
      <c r="C121" s="80" t="n">
        <f aca="false">C56/'OAT Income Statement'!C$4</f>
        <v>-0.0201261322272073</v>
      </c>
      <c r="D121" s="80" t="n">
        <f aca="false">D56/'OAT Income Statement'!D$4</f>
        <v>-0.0165410428497677</v>
      </c>
      <c r="E121" s="80" t="n">
        <f aca="false">E56/'OAT Income Statement'!E$4</f>
        <v>-0.0164284147775983</v>
      </c>
      <c r="F121" s="80" t="n">
        <f aca="false">F56/'OAT Income Statement'!F$4</f>
        <v>-0.0131179072898634</v>
      </c>
      <c r="G121" s="89" t="n">
        <f aca="false">SUM(B121:F121)/5</f>
        <v>-0.0176584899466418</v>
      </c>
      <c r="H121" s="76" t="s">
        <v>206</v>
      </c>
      <c r="I121" s="80" t="n">
        <v>-0.0220789525887721</v>
      </c>
      <c r="J121" s="80" t="n">
        <v>-0.0220789525887721</v>
      </c>
      <c r="K121" s="80" t="n">
        <v>-0.0220789525887721</v>
      </c>
      <c r="L121" s="80" t="n">
        <v>-0.0220789525887721</v>
      </c>
      <c r="M121" s="80" t="n">
        <v>-0.0220789525887721</v>
      </c>
      <c r="N121" s="80" t="n">
        <v>-0.0220789525887721</v>
      </c>
      <c r="O121" s="80" t="n">
        <v>-0.0220789525887721</v>
      </c>
      <c r="P121" s="80" t="n">
        <v>-0.0220789525887721</v>
      </c>
      <c r="Q121" s="80" t="n">
        <v>-0.0220789525887721</v>
      </c>
      <c r="R121" s="80" t="n">
        <v>-0.0220789525887721</v>
      </c>
    </row>
    <row r="122" customFormat="false" ht="12.75" hidden="false" customHeight="false" outlineLevel="0" collapsed="false">
      <c r="A122" s="76" t="s">
        <v>207</v>
      </c>
      <c r="B122" s="80" t="n">
        <f aca="false">B57/'OAT Income Statement'!B$4</f>
        <v>-0.00420551477881373</v>
      </c>
      <c r="C122" s="80" t="n">
        <f aca="false">C57/'OAT Income Statement'!C$4</f>
        <v>-0.00962922204351139</v>
      </c>
      <c r="D122" s="80" t="n">
        <f aca="false">D57/'OAT Income Statement'!D$4</f>
        <v>-0.0139597315436242</v>
      </c>
      <c r="E122" s="80" t="n">
        <f aca="false">E57/'OAT Income Statement'!E$4</f>
        <v>-0.0181430308830273</v>
      </c>
      <c r="F122" s="80" t="n">
        <f aca="false">F57/'OAT Income Statement'!F$4</f>
        <v>-0.0198884400846317</v>
      </c>
      <c r="G122" s="89" t="n">
        <f aca="false">SUM(B122:F122)/5</f>
        <v>-0.0131651878667216</v>
      </c>
      <c r="H122" s="76" t="s">
        <v>207</v>
      </c>
      <c r="I122" s="80" t="n">
        <v>-0.00420551477881373</v>
      </c>
      <c r="J122" s="80" t="n">
        <v>-0.00420551477881373</v>
      </c>
      <c r="K122" s="80" t="n">
        <v>-0.00420551477881373</v>
      </c>
      <c r="L122" s="80" t="n">
        <v>-0.00420551477881373</v>
      </c>
      <c r="M122" s="80" t="n">
        <v>-0.00420551477881373</v>
      </c>
      <c r="N122" s="80" t="n">
        <v>-0.00420551477881373</v>
      </c>
      <c r="O122" s="80" t="n">
        <v>-0.00420551477881373</v>
      </c>
      <c r="P122" s="80" t="n">
        <v>-0.00420551477881373</v>
      </c>
      <c r="Q122" s="80" t="n">
        <v>-0.00420551477881373</v>
      </c>
      <c r="R122" s="80" t="n">
        <v>-0.00420551477881373</v>
      </c>
    </row>
    <row r="123" customFormat="false" ht="12.75" hidden="false" customHeight="false" outlineLevel="0" collapsed="false">
      <c r="A123" s="76" t="s">
        <v>208</v>
      </c>
      <c r="B123" s="80" t="n">
        <f aca="false">B58/'OAT Income Statement'!B$4</f>
        <v>-0.307657210870859</v>
      </c>
      <c r="C123" s="80" t="n">
        <f aca="false">C58/'OAT Income Statement'!C$4</f>
        <v>-0.308431389147549</v>
      </c>
      <c r="D123" s="80" t="n">
        <f aca="false">D58/'OAT Income Statement'!D$4</f>
        <v>-0.242849767681982</v>
      </c>
      <c r="E123" s="80" t="n">
        <f aca="false">E58/'OAT Income Statement'!E$4</f>
        <v>-0.179157445620751</v>
      </c>
      <c r="F123" s="80" t="n">
        <f aca="false">F58/'OAT Income Statement'!F$4</f>
        <v>-0.184612425466436</v>
      </c>
      <c r="G123" s="89" t="n">
        <f aca="false">SUM(B123:F123)/5</f>
        <v>-0.244541647757515</v>
      </c>
      <c r="H123" s="76" t="s">
        <v>208</v>
      </c>
      <c r="I123" s="80" t="n">
        <v>-0.307657210870859</v>
      </c>
      <c r="J123" s="80" t="n">
        <v>-0.307657210870859</v>
      </c>
      <c r="K123" s="80" t="n">
        <v>-0.307657210870859</v>
      </c>
      <c r="L123" s="80" t="n">
        <v>-0.307657210870859</v>
      </c>
      <c r="M123" s="80" t="n">
        <v>-0.307657210870859</v>
      </c>
      <c r="N123" s="80" t="n">
        <v>-0.307657210870859</v>
      </c>
      <c r="O123" s="80" t="n">
        <v>-0.307657210870859</v>
      </c>
      <c r="P123" s="80" t="n">
        <v>-0.307657210870859</v>
      </c>
      <c r="Q123" s="80" t="n">
        <v>-0.307657210870859</v>
      </c>
      <c r="R123" s="80" t="n">
        <v>-0.307657210870859</v>
      </c>
    </row>
    <row r="124" customFormat="false" ht="12.75" hidden="false" customHeight="false" outlineLevel="0" collapsed="false">
      <c r="A124" s="76"/>
      <c r="H124" s="76"/>
    </row>
    <row r="125" customFormat="false" ht="12.75" hidden="false" customHeight="false" outlineLevel="0" collapsed="false">
      <c r="A125" s="76" t="s">
        <v>209</v>
      </c>
      <c r="B125" s="80" t="n">
        <f aca="false">B60/'OAT Income Statement'!B$4</f>
        <v>0.0703630232096806</v>
      </c>
      <c r="C125" s="80" t="n">
        <f aca="false">C60/'OAT Income Statement'!C$4</f>
        <v>0.0417548463557098</v>
      </c>
      <c r="D125" s="80" t="n">
        <f aca="false">D60/'OAT Income Statement'!D$4</f>
        <v>0.0311822405782137</v>
      </c>
      <c r="E125" s="80" t="n">
        <f aca="false">E60/'OAT Income Statement'!E$4</f>
        <v>0.045457264190442</v>
      </c>
      <c r="F125" s="80" t="n">
        <f aca="false">F60/'OAT Income Statement'!F$4</f>
        <v>0.236564723985382</v>
      </c>
      <c r="G125" s="89" t="n">
        <f aca="false">SUM(B125:F125)/5</f>
        <v>0.0850644196638856</v>
      </c>
      <c r="H125" s="76" t="s">
        <v>209</v>
      </c>
      <c r="I125" s="80" t="n">
        <v>0.0703630232096806</v>
      </c>
      <c r="J125" s="80" t="n">
        <v>0.0703630232096806</v>
      </c>
      <c r="K125" s="80" t="n">
        <v>0.0703630232096806</v>
      </c>
      <c r="L125" s="80" t="n">
        <v>0.0703630232096806</v>
      </c>
      <c r="M125" s="80" t="n">
        <v>0.0703630232096806</v>
      </c>
      <c r="N125" s="80" t="n">
        <v>0.0703630232096806</v>
      </c>
      <c r="O125" s="80" t="n">
        <v>0.0703630232096806</v>
      </c>
      <c r="P125" s="80" t="n">
        <v>0.0703630232096806</v>
      </c>
      <c r="Q125" s="80" t="n">
        <v>0.0703630232096806</v>
      </c>
      <c r="R125" s="80" t="n">
        <v>0.0703630232096806</v>
      </c>
    </row>
    <row r="126" customFormat="false" ht="12.75" hidden="false" customHeight="false" outlineLevel="0" collapsed="false">
      <c r="A126" s="76"/>
      <c r="H126" s="76"/>
    </row>
    <row r="127" customFormat="false" ht="12.75" hidden="false" customHeight="false" outlineLevel="0" collapsed="false">
      <c r="A127" s="76" t="s">
        <v>210</v>
      </c>
      <c r="B127" s="80" t="n">
        <f aca="false">B62/'OAT Income Statement'!B$4</f>
        <v>0.479825431462012</v>
      </c>
      <c r="C127" s="80" t="n">
        <f aca="false">C62/'OAT Income Statement'!C$4</f>
        <v>0.507110810124439</v>
      </c>
      <c r="D127" s="80" t="n">
        <f aca="false">D62/'OAT Income Statement'!D$4</f>
        <v>0.518389261744967</v>
      </c>
      <c r="E127" s="80" t="n">
        <f aca="false">E62/'OAT Income Statement'!E$4</f>
        <v>0.53771158562115</v>
      </c>
      <c r="F127" s="80" t="n">
        <f aca="false">F62/'OAT Income Statement'!F$4</f>
        <v>0.845239469128679</v>
      </c>
      <c r="G127" s="89" t="n">
        <f aca="false">SUM(B127:F127)/5</f>
        <v>0.577655311616249</v>
      </c>
      <c r="H127" s="76" t="s">
        <v>210</v>
      </c>
      <c r="I127" s="80" t="n">
        <v>0.479825431462012</v>
      </c>
      <c r="J127" s="80" t="n">
        <v>0.479825431462012</v>
      </c>
      <c r="K127" s="80" t="n">
        <v>0.479825431462012</v>
      </c>
      <c r="L127" s="80" t="n">
        <v>0.479825431462012</v>
      </c>
      <c r="M127" s="80" t="n">
        <v>0.479825431462012</v>
      </c>
      <c r="N127" s="80" t="n">
        <v>0.479825431462012</v>
      </c>
      <c r="O127" s="80" t="n">
        <v>0.479825431462012</v>
      </c>
      <c r="P127" s="80" t="n">
        <v>0.479825431462012</v>
      </c>
      <c r="Q127" s="80" t="n">
        <v>0.479825431462012</v>
      </c>
      <c r="R127" s="80" t="n">
        <v>0.479825431462012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0" man="true" max="16383" min="0"/>
    <brk id="64" man="true" max="16383" min="0"/>
  </rowBreaks>
  <colBreaks count="1" manualBreakCount="1">
    <brk id="7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89"/>
  <sheetViews>
    <sheetView showFormulas="false" showGridLines="tru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C31" activeCellId="0" sqref="C3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31.99"/>
    <col collapsed="false" customWidth="true" hidden="false" outlineLevel="0" max="3" min="2" style="0" width="10.49"/>
    <col collapsed="false" customWidth="true" hidden="false" outlineLevel="0" max="4" min="4" style="0" width="27.65"/>
    <col collapsed="false" customWidth="true" hidden="false" outlineLevel="0" max="5" min="5" style="0" width="12.65"/>
    <col collapsed="false" customWidth="true" hidden="false" outlineLevel="0" max="6" min="6" style="0" width="10.65"/>
    <col collapsed="false" customWidth="true" hidden="false" outlineLevel="0" max="14" min="7" style="0" width="12.65"/>
  </cols>
  <sheetData>
    <row r="1" customFormat="false" ht="12.75" hidden="false" customHeight="false" outlineLevel="0" collapsed="false">
      <c r="F1" s="76"/>
      <c r="G1" s="76" t="s">
        <v>213</v>
      </c>
      <c r="H1" s="76"/>
      <c r="I1" s="76"/>
    </row>
    <row r="2" customFormat="false" ht="12.75" hidden="false" customHeight="false" outlineLevel="0" collapsed="false">
      <c r="F2" s="76" t="s">
        <v>214</v>
      </c>
      <c r="G2" s="76"/>
      <c r="H2" s="76"/>
      <c r="I2" s="76"/>
    </row>
    <row r="6" customFormat="false" ht="11.25" hidden="false" customHeight="false" outlineLevel="0" collapsed="false">
      <c r="A6" s="97"/>
      <c r="B6" s="98" t="s">
        <v>215</v>
      </c>
      <c r="C6" s="98" t="s">
        <v>215</v>
      </c>
      <c r="D6" s="99" t="s">
        <v>216</v>
      </c>
      <c r="E6" s="98" t="s">
        <v>217</v>
      </c>
      <c r="F6" s="98" t="s">
        <v>217</v>
      </c>
      <c r="G6" s="98" t="s">
        <v>217</v>
      </c>
      <c r="H6" s="98" t="s">
        <v>217</v>
      </c>
      <c r="I6" s="98" t="s">
        <v>217</v>
      </c>
      <c r="J6" s="98" t="s">
        <v>217</v>
      </c>
      <c r="K6" s="98" t="s">
        <v>217</v>
      </c>
      <c r="L6" s="98" t="s">
        <v>217</v>
      </c>
      <c r="M6" s="98" t="s">
        <v>217</v>
      </c>
      <c r="N6" s="98" t="s">
        <v>217</v>
      </c>
    </row>
    <row r="7" customFormat="false" ht="11.25" hidden="false" customHeight="false" outlineLevel="0" collapsed="false">
      <c r="A7" s="100" t="s">
        <v>218</v>
      </c>
      <c r="B7" s="101" t="n">
        <v>1999</v>
      </c>
      <c r="C7" s="101" t="n">
        <f aca="false">+B7+1</f>
        <v>2000</v>
      </c>
      <c r="D7" s="102"/>
      <c r="E7" s="101" t="n">
        <f aca="false">+C7+1</f>
        <v>2001</v>
      </c>
      <c r="F7" s="101" t="n">
        <f aca="false">E7+1</f>
        <v>2002</v>
      </c>
      <c r="G7" s="101" t="n">
        <f aca="false">F7+1</f>
        <v>2003</v>
      </c>
      <c r="H7" s="101" t="n">
        <f aca="false">G7+1</f>
        <v>2004</v>
      </c>
      <c r="I7" s="101" t="n">
        <f aca="false">H7+1</f>
        <v>2005</v>
      </c>
      <c r="J7" s="101" t="n">
        <f aca="false">I7+1</f>
        <v>2006</v>
      </c>
      <c r="K7" s="101" t="n">
        <f aca="false">J7+1</f>
        <v>2007</v>
      </c>
      <c r="L7" s="101" t="n">
        <f aca="false">K7+1</f>
        <v>2008</v>
      </c>
      <c r="M7" s="101" t="n">
        <f aca="false">L7+1</f>
        <v>2009</v>
      </c>
      <c r="N7" s="103" t="n">
        <f aca="false">M7+1</f>
        <v>2010</v>
      </c>
    </row>
    <row r="8" customFormat="false" ht="12.75" hidden="false" customHeight="false" outlineLevel="0" collapsed="false">
      <c r="A8" s="6" t="s">
        <v>219</v>
      </c>
      <c r="B8" s="104" t="n">
        <f aca="false">'OAT Income Statement'!C4</f>
        <v>4725.2</v>
      </c>
      <c r="C8" s="104" t="n">
        <f aca="false">'OAT Income Statement'!B4</f>
        <v>5041</v>
      </c>
      <c r="D8" s="6"/>
      <c r="E8" s="105" t="n">
        <f aca="false">'OAT Income Statement'!V5</f>
        <v>5377.9059087446</v>
      </c>
      <c r="F8" s="105" t="n">
        <f aca="false">'OAT Income Statement'!W5</f>
        <v>5737.32830059713</v>
      </c>
      <c r="G8" s="105" t="n">
        <f aca="false">'OAT Income Statement'!X5</f>
        <v>6120.77202304879</v>
      </c>
      <c r="H8" s="105" t="n">
        <f aca="false">'OAT Income Statement'!Y5</f>
        <v>6529.84249728878</v>
      </c>
      <c r="I8" s="105" t="n">
        <f aca="false">'OAT Income Statement'!Z5</f>
        <v>6966.25243986133</v>
      </c>
      <c r="J8" s="105" t="n">
        <f aca="false">'OAT Income Statement'!AA5</f>
        <v>7431.82903355222</v>
      </c>
      <c r="K8" s="105" t="n">
        <f aca="false">'OAT Income Statement'!AB5</f>
        <v>7928.5215775283</v>
      </c>
      <c r="L8" s="105" t="n">
        <f aca="false">'OAT Income Statement'!AC5</f>
        <v>8458.40964875988</v>
      </c>
      <c r="M8" s="105" t="n">
        <f aca="false">'OAT Income Statement'!AD5</f>
        <v>9023.71180889667</v>
      </c>
      <c r="N8" s="105" t="n">
        <f aca="false">'OAT Income Statement'!AE5</f>
        <v>9626.79489305175</v>
      </c>
    </row>
    <row r="9" customFormat="false" ht="12.75" hidden="false" customHeight="false" outlineLevel="0" collapsed="false">
      <c r="A9" s="106" t="s">
        <v>220</v>
      </c>
      <c r="B9" s="104" t="n">
        <f aca="false">SUM(B10:B13)</f>
        <v>4164.7</v>
      </c>
      <c r="C9" s="104" t="n">
        <f aca="false">SUM(C10:C13)</f>
        <v>4390.1</v>
      </c>
      <c r="D9" s="107"/>
      <c r="E9" s="105" t="n">
        <f aca="false">SUM(E10:E13)</f>
        <v>4683.50421146195</v>
      </c>
      <c r="F9" s="105" t="n">
        <f aca="false">SUM(F10:F13)</f>
        <v>4996.51755057557</v>
      </c>
      <c r="G9" s="105" t="n">
        <f aca="false">SUM(G10:G13)</f>
        <v>5330.450557109</v>
      </c>
      <c r="H9" s="105" t="n">
        <f aca="false">SUM(H10:H13)</f>
        <v>5686.70135833118</v>
      </c>
      <c r="I9" s="105" t="n">
        <f aca="false">SUM(I10:I13)</f>
        <v>6066.76152276041</v>
      </c>
      <c r="J9" s="105" t="n">
        <f aca="false">SUM(J10:J13)</f>
        <v>6472.22230513739</v>
      </c>
      <c r="K9" s="105" t="n">
        <f aca="false">SUM(K10:K13)</f>
        <v>6904.78130876949</v>
      </c>
      <c r="L9" s="105" t="n">
        <f aca="false">SUM(L10:L13)</f>
        <v>7366.2495931404</v>
      </c>
      <c r="M9" s="105" t="n">
        <f aca="false">SUM(M10:M13)</f>
        <v>7858.5592565438</v>
      </c>
      <c r="N9" s="105" t="n">
        <f aca="false">SUM(N10:N13)</f>
        <v>8383.77152548829</v>
      </c>
    </row>
    <row r="10" customFormat="false" ht="12.75" hidden="false" customHeight="false" outlineLevel="0" collapsed="false">
      <c r="A10" s="6" t="s">
        <v>221</v>
      </c>
      <c r="B10" s="105" t="n">
        <f aca="false">'OAT Income Statement'!C5</f>
        <v>2136.8</v>
      </c>
      <c r="C10" s="105" t="n">
        <f aca="false">'OAT Income Statement'!B5</f>
        <v>2288.3</v>
      </c>
      <c r="D10" s="108"/>
      <c r="E10" s="105" t="n">
        <f aca="false">E$8*'OAT Income Statement'!J36</f>
        <v>2441.23429696098</v>
      </c>
      <c r="F10" s="105" t="n">
        <f aca="false">F$8*'OAT Income Statement'!K36</f>
        <v>2604.38967471859</v>
      </c>
      <c r="G10" s="105" t="n">
        <f aca="false">G$8*'OAT Income Statement'!L36</f>
        <v>2778.44924029806</v>
      </c>
      <c r="H10" s="105" t="n">
        <f aca="false">H$8*'OAT Income Statement'!M36</f>
        <v>2964.14175491885</v>
      </c>
      <c r="I10" s="105" t="n">
        <f aca="false">I$8*'OAT Income Statement'!N36</f>
        <v>3162.24468520823</v>
      </c>
      <c r="J10" s="105" t="n">
        <f aca="false">J$8*'OAT Income Statement'!O36</f>
        <v>3373.58745833714</v>
      </c>
      <c r="K10" s="105" t="n">
        <f aca="false">K$8*'OAT Income Statement'!P36</f>
        <v>3599.05493470701</v>
      </c>
      <c r="L10" s="105" t="n">
        <f aca="false">L$8*'OAT Income Statement'!Q36</f>
        <v>3839.59111272709</v>
      </c>
      <c r="M10" s="105" t="n">
        <f aca="false">M$8*'OAT Income Statement'!R36</f>
        <v>4096.20308119386</v>
      </c>
      <c r="N10" s="105" t="n">
        <f aca="false">N$8*'OAT Income Statement'!S36</f>
        <v>4369.96523582034</v>
      </c>
    </row>
    <row r="11" customFormat="false" ht="12.75" hidden="false" customHeight="false" outlineLevel="0" collapsed="false">
      <c r="A11" s="6" t="s">
        <v>222</v>
      </c>
      <c r="B11" s="105" t="n">
        <f aca="false">'OAT Income Statement'!C8</f>
        <v>1904.1</v>
      </c>
      <c r="C11" s="105" t="n">
        <f aca="false">'OAT Income Statement'!B8</f>
        <v>1968.8</v>
      </c>
      <c r="D11" s="96"/>
      <c r="E11" s="105" t="n">
        <f aca="false">E8*'OAT Income Statement'!J39</f>
        <v>2100.38110556167</v>
      </c>
      <c r="F11" s="105" t="n">
        <f aca="false">F8*'OAT Income Statement'!K39</f>
        <v>2240.75619087793</v>
      </c>
      <c r="G11" s="105" t="n">
        <f aca="false">G8*'OAT Income Statement'!L39</f>
        <v>2390.5129853161</v>
      </c>
      <c r="H11" s="105" t="n">
        <f aca="false">H8*'OAT Income Statement'!M39</f>
        <v>2550.27849804843</v>
      </c>
      <c r="I11" s="105" t="n">
        <f aca="false">I8*'OAT Income Statement'!N39</f>
        <v>2720.72164324519</v>
      </c>
      <c r="J11" s="105" t="n">
        <f aca="false">J8*'OAT Income Statement'!O39</f>
        <v>2902.55604071764</v>
      </c>
      <c r="K11" s="105" t="n">
        <f aca="false">K8*'OAT Income Statement'!P39</f>
        <v>3096.5430037369</v>
      </c>
      <c r="L11" s="105" t="n">
        <f aca="false">L8*'OAT Income Statement'!Q39</f>
        <v>3303.49472653808</v>
      </c>
      <c r="M11" s="105" t="n">
        <f aca="false">M8*'OAT Income Statement'!R39</f>
        <v>3524.27768485534</v>
      </c>
      <c r="N11" s="105" t="n">
        <f aca="false">N8*'OAT Income Statement'!S39</f>
        <v>3759.81626372551</v>
      </c>
    </row>
    <row r="12" customFormat="false" ht="12.75" hidden="false" customHeight="false" outlineLevel="0" collapsed="false">
      <c r="A12" s="6" t="s">
        <v>223</v>
      </c>
      <c r="B12" s="105" t="n">
        <f aca="false">'OAT Cash Flow'!D9</f>
        <v>123.8</v>
      </c>
      <c r="C12" s="105" t="n">
        <f aca="false">'OAT Cash Flow'!C9</f>
        <v>133</v>
      </c>
      <c r="D12" s="96" t="s">
        <v>224</v>
      </c>
      <c r="E12" s="109" t="n">
        <f aca="false">($C$12/$C$55)*E55</f>
        <v>141.888808939304</v>
      </c>
      <c r="F12" s="109" t="n">
        <f aca="false">($C$12/$C$55)*F55</f>
        <v>151.371684979055</v>
      </c>
      <c r="G12" s="109" t="n">
        <f aca="false">($C$12/$C$55)*G55</f>
        <v>161.48833149484</v>
      </c>
      <c r="H12" s="109" t="n">
        <f aca="false">($C$12/$C$55)*H55</f>
        <v>172.281105363898</v>
      </c>
      <c r="I12" s="109" t="n">
        <f aca="false">($C$12/$C$55)*I55</f>
        <v>183.795194306994</v>
      </c>
      <c r="J12" s="109" t="n">
        <f aca="false">($C$12/$C$55)*J55</f>
        <v>196.078806082612</v>
      </c>
      <c r="K12" s="109" t="n">
        <f aca="false">($C$12/$C$55)*K55</f>
        <v>209.183370325583</v>
      </c>
      <c r="L12" s="109" t="n">
        <f aca="false">($C$12/$C$55)*L55</f>
        <v>223.163753875236</v>
      </c>
      <c r="M12" s="109" t="n">
        <f aca="false">($C$12/$C$55)*M55</f>
        <v>238.078490494596</v>
      </c>
      <c r="N12" s="109" t="n">
        <f aca="false">($C$12/$C$55)*N55</f>
        <v>253.990025942448</v>
      </c>
    </row>
    <row r="13" customFormat="false" ht="12.75" hidden="false" customHeight="false" outlineLevel="0" collapsed="false">
      <c r="A13" s="6" t="s">
        <v>225</v>
      </c>
      <c r="B13" s="110"/>
      <c r="C13" s="110"/>
      <c r="D13" s="96" t="s">
        <v>226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</row>
    <row r="14" customFormat="false" ht="12.75" hidden="false" customHeight="false" outlineLevel="0" collapsed="false">
      <c r="A14" s="106" t="s">
        <v>227</v>
      </c>
      <c r="B14" s="104" t="n">
        <f aca="false">B8-B9</f>
        <v>560.5</v>
      </c>
      <c r="C14" s="104" t="n">
        <f aca="false">C8-C9</f>
        <v>650.9</v>
      </c>
      <c r="D14" s="107"/>
      <c r="E14" s="105" t="n">
        <f aca="false">E8-E9</f>
        <v>694.401697282654</v>
      </c>
      <c r="F14" s="105" t="n">
        <f aca="false">F8-F9</f>
        <v>740.810750021557</v>
      </c>
      <c r="G14" s="105" t="n">
        <f aca="false">G8-G9</f>
        <v>790.321465939784</v>
      </c>
      <c r="H14" s="105" t="n">
        <f aca="false">H8-H9</f>
        <v>843.141138957601</v>
      </c>
      <c r="I14" s="105" t="n">
        <f aca="false">I8-I9</f>
        <v>899.490917100919</v>
      </c>
      <c r="J14" s="105" t="n">
        <f aca="false">J8-J9</f>
        <v>959.606728414826</v>
      </c>
      <c r="K14" s="105" t="n">
        <f aca="false">K8-K9</f>
        <v>1023.74026875881</v>
      </c>
      <c r="L14" s="105" t="n">
        <f aca="false">L8-L9</f>
        <v>1092.16005561948</v>
      </c>
      <c r="M14" s="105" t="n">
        <f aca="false">M8-M9</f>
        <v>1165.15255235287</v>
      </c>
      <c r="N14" s="105" t="n">
        <f aca="false">N8-N9</f>
        <v>1243.02336756346</v>
      </c>
    </row>
    <row r="15" customFormat="false" ht="12.75" hidden="false" customHeight="false" outlineLevel="0" collapsed="false">
      <c r="A15" s="111" t="s">
        <v>228</v>
      </c>
      <c r="B15" s="110" t="n">
        <f aca="false">'OAT Income Statement'!C13</f>
        <v>61.9</v>
      </c>
      <c r="C15" s="110" t="n">
        <f aca="false">'OAT Income Statement'!B13</f>
        <v>54</v>
      </c>
      <c r="D15" s="111"/>
      <c r="E15" s="109" t="n">
        <f aca="false">E8*'OAT Income Statement'!J44</f>
        <v>57.6089900956573</v>
      </c>
      <c r="F15" s="109" t="n">
        <f aca="false">F8*'OAT Income Statement'!K44</f>
        <v>61.459180367436</v>
      </c>
      <c r="G15" s="109" t="n">
        <f aca="false">G8*'OAT Income Statement'!L44</f>
        <v>65.5666909828674</v>
      </c>
      <c r="H15" s="109" t="n">
        <f aca="false">H8*'OAT Income Statement'!M44</f>
        <v>69.9487194710562</v>
      </c>
      <c r="I15" s="109" t="n">
        <f aca="false">I8*'OAT Income Statement'!N44</f>
        <v>74.6236127261479</v>
      </c>
      <c r="J15" s="109" t="n">
        <f aca="false">J8*'OAT Income Statement'!O44</f>
        <v>79.6109438230153</v>
      </c>
      <c r="K15" s="109" t="n">
        <f aca="false">K8*'OAT Income Statement'!P44</f>
        <v>84.9315939667781</v>
      </c>
      <c r="L15" s="109" t="n">
        <f aca="false">L8*'OAT Income Statement'!Q44</f>
        <v>90.6078399192687</v>
      </c>
      <c r="M15" s="109" t="n">
        <f aca="false">M8*'OAT Income Statement'!R44</f>
        <v>96.6634472684825</v>
      </c>
      <c r="N15" s="109" t="n">
        <f aca="false">N8*'OAT Income Statement'!S44</f>
        <v>103.12376993152</v>
      </c>
    </row>
    <row r="16" customFormat="false" ht="12.75" hidden="false" customHeight="false" outlineLevel="0" collapsed="false">
      <c r="A16" s="70" t="s">
        <v>229</v>
      </c>
      <c r="B16" s="105" t="n">
        <f aca="false">B14-B15</f>
        <v>498.6</v>
      </c>
      <c r="C16" s="105" t="n">
        <f aca="false">C14-C15</f>
        <v>596.9</v>
      </c>
      <c r="D16" s="70"/>
      <c r="E16" s="105" t="n">
        <f aca="false">E14-E15</f>
        <v>636.792707186997</v>
      </c>
      <c r="F16" s="105" t="n">
        <f aca="false">F14-F15</f>
        <v>679.351569654121</v>
      </c>
      <c r="G16" s="105" t="n">
        <f aca="false">G14-G15</f>
        <v>724.754774956916</v>
      </c>
      <c r="H16" s="105" t="n">
        <f aca="false">H14-H15</f>
        <v>773.192419486544</v>
      </c>
      <c r="I16" s="105" t="n">
        <f aca="false">I14-I15</f>
        <v>824.867304374772</v>
      </c>
      <c r="J16" s="105" t="n">
        <f aca="false">J14-J15</f>
        <v>879.99578459181</v>
      </c>
      <c r="K16" s="105" t="n">
        <f aca="false">K14-K15</f>
        <v>938.808674792034</v>
      </c>
      <c r="L16" s="105" t="n">
        <f aca="false">L14-L15</f>
        <v>1001.55221570021</v>
      </c>
      <c r="M16" s="105" t="n">
        <f aca="false">M14-M15</f>
        <v>1068.48910508439</v>
      </c>
      <c r="N16" s="105" t="n">
        <f aca="false">N14-N15</f>
        <v>1139.89959763194</v>
      </c>
    </row>
    <row r="17" customFormat="false" ht="12.75" hidden="false" customHeight="false" outlineLevel="0" collapsed="false">
      <c r="A17" s="11" t="s">
        <v>230</v>
      </c>
      <c r="B17" s="110" t="n">
        <f aca="false">'OAT Income Statement'!C18</f>
        <v>163.3</v>
      </c>
      <c r="C17" s="110" t="n">
        <f aca="false">'OAT Income Statement'!B18</f>
        <v>190.5</v>
      </c>
      <c r="D17" s="112" t="n">
        <f aca="false">'OAT Income Statement'!B18/'OAT Income Statement'!B17</f>
        <v>0.345672291780076</v>
      </c>
      <c r="E17" s="105" t="n">
        <f aca="false">E16*$D$17</f>
        <v>220.121594482168</v>
      </c>
      <c r="F17" s="105" t="n">
        <f aca="false">F16*$D$17</f>
        <v>234.833014006732</v>
      </c>
      <c r="G17" s="105" t="n">
        <f aca="false">G16*$D$17</f>
        <v>250.527644037911</v>
      </c>
      <c r="H17" s="105" t="n">
        <f aca="false">H16*$D$17</f>
        <v>267.271195630896</v>
      </c>
      <c r="I17" s="105" t="n">
        <f aca="false">I16*$D$17</f>
        <v>285.133771517681</v>
      </c>
      <c r="J17" s="105" t="n">
        <f aca="false">J16*$D$17</f>
        <v>304.190159616657</v>
      </c>
      <c r="K17" s="105" t="n">
        <f aca="false">K16*$D$17</f>
        <v>324.520146158379</v>
      </c>
      <c r="L17" s="105" t="n">
        <f aca="false">L16*$D$17</f>
        <v>346.208849738506</v>
      </c>
      <c r="M17" s="105" t="n">
        <f aca="false">M16*$D$17</f>
        <v>369.347077696564</v>
      </c>
      <c r="N17" s="105" t="n">
        <f aca="false">N16*$D$17</f>
        <v>394.031706312618</v>
      </c>
    </row>
    <row r="18" customFormat="false" ht="12.75" hidden="false" customHeight="false" outlineLevel="0" collapsed="false">
      <c r="A18" s="113" t="s">
        <v>231</v>
      </c>
      <c r="B18" s="104" t="n">
        <f aca="false">B16-B17</f>
        <v>335.3</v>
      </c>
      <c r="C18" s="104" t="n">
        <f aca="false">C16-C17</f>
        <v>406.4</v>
      </c>
      <c r="D18" s="107"/>
      <c r="E18" s="105" t="n">
        <f aca="false">E16-E17</f>
        <v>416.671112704829</v>
      </c>
      <c r="F18" s="105" t="n">
        <f aca="false">F16-F17</f>
        <v>444.518555647389</v>
      </c>
      <c r="G18" s="105" t="n">
        <f aca="false">G16-G17</f>
        <v>474.227130919006</v>
      </c>
      <c r="H18" s="105" t="n">
        <f aca="false">H16-H17</f>
        <v>505.921223855649</v>
      </c>
      <c r="I18" s="105" t="n">
        <f aca="false">I16-I17</f>
        <v>539.733532857091</v>
      </c>
      <c r="J18" s="105" t="n">
        <f aca="false">J16-J17</f>
        <v>575.805624975153</v>
      </c>
      <c r="K18" s="105" t="n">
        <f aca="false">K16-K17</f>
        <v>614.288528633655</v>
      </c>
      <c r="L18" s="105" t="n">
        <f aca="false">L16-L17</f>
        <v>655.343365961707</v>
      </c>
      <c r="M18" s="105" t="n">
        <f aca="false">M16-M17</f>
        <v>699.142027387828</v>
      </c>
      <c r="N18" s="105" t="n">
        <f aca="false">N16-N17</f>
        <v>745.867891319319</v>
      </c>
    </row>
    <row r="19" customFormat="false" ht="12.75" hidden="false" customHeight="false" outlineLevel="0" collapsed="false">
      <c r="A19" s="84" t="s">
        <v>232</v>
      </c>
      <c r="B19" s="105" t="n">
        <f aca="false">B15*(1-(B17/B16))</f>
        <v>41.6266947452868</v>
      </c>
      <c r="C19" s="105" t="n">
        <f aca="false">C15*(1-(C17/C16))</f>
        <v>36.7659574468085</v>
      </c>
      <c r="D19" s="96"/>
      <c r="E19" s="105" t="n">
        <f aca="false">E15*(1-(E17/E16))</f>
        <v>37.6951584621557</v>
      </c>
      <c r="F19" s="105" t="n">
        <f aca="false">F15*(1-(F17/F16))</f>
        <v>40.2144446388993</v>
      </c>
      <c r="G19" s="105" t="n">
        <f aca="false">G15*(1-(G17/G16))</f>
        <v>42.9021026463836</v>
      </c>
      <c r="H19" s="105" t="n">
        <f aca="false">H15*(1-(H17/H16))</f>
        <v>45.7693853044145</v>
      </c>
      <c r="I19" s="105" t="n">
        <f aca="false">I15*(1-(I17/I16))</f>
        <v>48.8282974941915</v>
      </c>
      <c r="J19" s="105" t="n">
        <f aca="false">J15*(1-(J17/J16))</f>
        <v>52.0916464209387</v>
      </c>
      <c r="K19" s="105" t="n">
        <f aca="false">K15*(1-(K17/K16))</f>
        <v>55.573095235747</v>
      </c>
      <c r="L19" s="105" t="n">
        <f aca="false">L15*(1-(L17/L16))</f>
        <v>59.2872202411328</v>
      </c>
      <c r="M19" s="105" t="n">
        <f aca="false">M15*(1-(M17/M16))</f>
        <v>63.2495719198236</v>
      </c>
      <c r="N19" s="105" t="n">
        <f aca="false">N15*(1-(N17/N16))</f>
        <v>67.4767400422904</v>
      </c>
    </row>
    <row r="20" customFormat="false" ht="12.75" hidden="false" customHeight="false" outlineLevel="0" collapsed="false">
      <c r="A20" s="76" t="s">
        <v>233</v>
      </c>
      <c r="B20" s="105" t="n">
        <f aca="false">B18+B19</f>
        <v>376.926694745287</v>
      </c>
      <c r="C20" s="105" t="n">
        <f aca="false">C18+C19</f>
        <v>443.165957446808</v>
      </c>
      <c r="D20" s="114"/>
      <c r="E20" s="105" t="n">
        <f aca="false">E18+E19</f>
        <v>454.366271166984</v>
      </c>
      <c r="F20" s="105" t="n">
        <f aca="false">F18+F19</f>
        <v>484.733000286288</v>
      </c>
      <c r="G20" s="105" t="n">
        <f aca="false">G18+G19</f>
        <v>517.129233565389</v>
      </c>
      <c r="H20" s="105" t="n">
        <f aca="false">H18+H19</f>
        <v>551.690609160063</v>
      </c>
      <c r="I20" s="105" t="n">
        <f aca="false">I18+I19</f>
        <v>588.561830351282</v>
      </c>
      <c r="J20" s="105" t="n">
        <f aca="false">J18+J19</f>
        <v>627.897271396092</v>
      </c>
      <c r="K20" s="105" t="n">
        <f aca="false">K18+K19</f>
        <v>669.861623869402</v>
      </c>
      <c r="L20" s="105" t="n">
        <f aca="false">L18+L19</f>
        <v>714.630586202839</v>
      </c>
      <c r="M20" s="105" t="n">
        <f aca="false">M18+M19</f>
        <v>762.391599307651</v>
      </c>
      <c r="N20" s="105" t="n">
        <f aca="false">N18+N19</f>
        <v>813.344631361609</v>
      </c>
    </row>
    <row r="21" customFormat="false" ht="12.75" hidden="false" customHeight="false" outlineLevel="0" collapsed="false">
      <c r="A21" s="70" t="s">
        <v>234</v>
      </c>
      <c r="B21" s="105" t="n">
        <f aca="false">B12</f>
        <v>123.8</v>
      </c>
      <c r="C21" s="105" t="n">
        <f aca="false">C12</f>
        <v>133</v>
      </c>
      <c r="D21" s="96"/>
      <c r="E21" s="115" t="n">
        <f aca="false">+E12</f>
        <v>141.888808939304</v>
      </c>
      <c r="F21" s="115" t="n">
        <f aca="false">+F12</f>
        <v>151.371684979055</v>
      </c>
      <c r="G21" s="115" t="n">
        <f aca="false">+G12</f>
        <v>161.48833149484</v>
      </c>
      <c r="H21" s="115" t="n">
        <f aca="false">+H12</f>
        <v>172.281105363898</v>
      </c>
      <c r="I21" s="115" t="n">
        <f aca="false">+I12</f>
        <v>183.795194306994</v>
      </c>
      <c r="J21" s="115" t="n">
        <f aca="false">+J12</f>
        <v>196.078806082612</v>
      </c>
      <c r="K21" s="115" t="n">
        <f aca="false">+K12</f>
        <v>209.183370325583</v>
      </c>
      <c r="L21" s="115" t="n">
        <f aca="false">+L12</f>
        <v>223.163753875236</v>
      </c>
      <c r="M21" s="115" t="n">
        <f aca="false">+M12</f>
        <v>238.078490494596</v>
      </c>
      <c r="N21" s="115" t="n">
        <f aca="false">+N12</f>
        <v>253.990025942448</v>
      </c>
    </row>
    <row r="22" customFormat="false" ht="12.75" hidden="false" customHeight="false" outlineLevel="0" collapsed="false">
      <c r="A22" s="70" t="s">
        <v>235</v>
      </c>
      <c r="B22" s="105" t="n">
        <f aca="false">-('OAT Balance Sheet'!C27-'OAT Balance Sheet'!D27)</f>
        <v>23.5</v>
      </c>
      <c r="C22" s="105" t="n">
        <f aca="false">-('OAT Balance Sheet'!B27-'OAT Balance Sheet'!C27)</f>
        <v>-0</v>
      </c>
      <c r="D22" s="116" t="s">
        <v>236</v>
      </c>
      <c r="E22" s="115" t="n">
        <f aca="false">C56-E56+C57-E57</f>
        <v>3.96402691949548</v>
      </c>
      <c r="F22" s="115" t="n">
        <f aca="false">E56-F56+E57-F57</f>
        <v>3.7143400705106</v>
      </c>
      <c r="G22" s="115" t="n">
        <f aca="false">F56-G56+F57-G57</f>
        <v>3.44796586291457</v>
      </c>
      <c r="H22" s="115" t="n">
        <f aca="false">G56-H56+G57-H57</f>
        <v>3.16378902796758</v>
      </c>
      <c r="I22" s="115" t="n">
        <f aca="false">H56-I56+H57-I57</f>
        <v>2.86061976000688</v>
      </c>
      <c r="J22" s="115" t="n">
        <f aca="false">I56-J56+I57-J57</f>
        <v>2.53718873490956</v>
      </c>
      <c r="K22" s="115" t="n">
        <f aca="false">J56-K56+J57-K57</f>
        <v>2.19214179562329</v>
      </c>
      <c r="L22" s="115" t="n">
        <f aca="false">K56-L56+K57-L57</f>
        <v>1.82403428251438</v>
      </c>
      <c r="M22" s="115" t="n">
        <f aca="false">L56-M56+L57-M57</f>
        <v>1.43132498479535</v>
      </c>
      <c r="N22" s="115" t="n">
        <f aca="false">M56-N56+M57-N57</f>
        <v>1.01236968770705</v>
      </c>
    </row>
    <row r="23" customFormat="false" ht="12.75" hidden="false" customHeight="false" outlineLevel="0" collapsed="false">
      <c r="A23" s="70" t="s">
        <v>237</v>
      </c>
      <c r="B23" s="105" t="n">
        <f aca="false">-('OAT Balance Sheet'!C43-'OAT Balance Sheet'!D43)</f>
        <v>10.3</v>
      </c>
      <c r="C23" s="105" t="n">
        <f aca="false">-('OAT Balance Sheet'!B43-'OAT Balance Sheet'!C43)</f>
        <v>5.10000000000002</v>
      </c>
      <c r="D23" s="116" t="s">
        <v>236</v>
      </c>
      <c r="E23" s="115" t="n">
        <f aca="false">C65-E65</f>
        <v>-34.6195716583426</v>
      </c>
      <c r="F23" s="115" t="n">
        <f aca="false">E65-F65</f>
        <v>-36.9333066811362</v>
      </c>
      <c r="G23" s="115" t="n">
        <f aca="false">F65-G65</f>
        <v>-39.4016759035824</v>
      </c>
      <c r="H23" s="115" t="n">
        <f aca="false">G65-H65</f>
        <v>-42.0350140163293</v>
      </c>
      <c r="I23" s="115" t="n">
        <f aca="false">H65-I65</f>
        <v>-44.8443464099543</v>
      </c>
      <c r="J23" s="115" t="n">
        <f aca="false">I65-J65</f>
        <v>-47.8414353366163</v>
      </c>
      <c r="K23" s="115" t="n">
        <f aca="false">J65-K65</f>
        <v>-51.0388291568363</v>
      </c>
      <c r="L23" s="115" t="n">
        <f aca="false">K65-L65</f>
        <v>-54.449914877595</v>
      </c>
      <c r="M23" s="115" t="n">
        <f aca="false">L65-M65</f>
        <v>-58.0889742017176</v>
      </c>
      <c r="N23" s="115" t="n">
        <f aca="false">M65-N65</f>
        <v>-61.9712433232156</v>
      </c>
    </row>
    <row r="24" customFormat="false" ht="12.75" hidden="false" customHeight="false" outlineLevel="0" collapsed="false">
      <c r="A24" s="11" t="s">
        <v>238</v>
      </c>
      <c r="B24" s="110" t="n">
        <v>0</v>
      </c>
      <c r="C24" s="110" t="n">
        <v>0</v>
      </c>
      <c r="D24" s="117" t="s">
        <v>236</v>
      </c>
      <c r="E24" s="118" t="n">
        <v>0</v>
      </c>
      <c r="F24" s="118" t="n">
        <v>0</v>
      </c>
      <c r="G24" s="118" t="n">
        <v>0</v>
      </c>
      <c r="H24" s="118" t="n">
        <v>0</v>
      </c>
      <c r="I24" s="118" t="n">
        <v>0</v>
      </c>
      <c r="J24" s="118" t="n">
        <v>0</v>
      </c>
      <c r="K24" s="118" t="n">
        <v>0</v>
      </c>
      <c r="L24" s="118" t="n">
        <v>0</v>
      </c>
      <c r="M24" s="118" t="n">
        <v>0</v>
      </c>
      <c r="N24" s="118" t="n">
        <v>0</v>
      </c>
    </row>
    <row r="25" customFormat="false" ht="12.75" hidden="false" customHeight="false" outlineLevel="0" collapsed="false">
      <c r="A25" s="76" t="s">
        <v>239</v>
      </c>
      <c r="B25" s="105" t="n">
        <f aca="false">SUM(B20:B24)</f>
        <v>534.526694745287</v>
      </c>
      <c r="C25" s="105" t="n">
        <f aca="false">SUM(C20:C24)</f>
        <v>581.265957446808</v>
      </c>
      <c r="D25" s="114"/>
      <c r="E25" s="119" t="n">
        <f aca="false">SUM(E20:E24)</f>
        <v>565.599535367441</v>
      </c>
      <c r="F25" s="119" t="n">
        <f aca="false">SUM(F20:F24)</f>
        <v>602.885718654718</v>
      </c>
      <c r="G25" s="119" t="n">
        <f aca="false">SUM(G20:G24)</f>
        <v>642.663855019561</v>
      </c>
      <c r="H25" s="119" t="n">
        <f aca="false">SUM(H20:H24)</f>
        <v>685.100489535599</v>
      </c>
      <c r="I25" s="119" t="n">
        <f aca="false">SUM(I20:I24)</f>
        <v>730.373298008329</v>
      </c>
      <c r="J25" s="119" t="n">
        <f aca="false">SUM(J20:J24)</f>
        <v>778.671830876997</v>
      </c>
      <c r="K25" s="119" t="n">
        <f aca="false">SUM(K20:K24)</f>
        <v>830.198306833772</v>
      </c>
      <c r="L25" s="119" t="n">
        <f aca="false">SUM(L20:L24)</f>
        <v>885.168459482994</v>
      </c>
      <c r="M25" s="119" t="n">
        <f aca="false">SUM(M20:M24)</f>
        <v>943.812440585325</v>
      </c>
      <c r="N25" s="119" t="n">
        <f aca="false">SUM(N20:N24)</f>
        <v>1006.37578366855</v>
      </c>
    </row>
    <row r="26" customFormat="false" ht="12.75" hidden="false" customHeight="false" outlineLevel="0" collapsed="false">
      <c r="A26" s="41" t="s">
        <v>240</v>
      </c>
      <c r="B26" s="105" t="n">
        <f aca="false">-('OAT Balance Sheet'!C7-'OAT Balance Sheet'!D7)</f>
        <v>29.1</v>
      </c>
      <c r="C26" s="105" t="n">
        <f aca="false">-('OAT Balance Sheet'!B7-'OAT Balance Sheet'!C7)</f>
        <v>-43.7</v>
      </c>
      <c r="D26" s="96" t="s">
        <v>236</v>
      </c>
      <c r="E26" s="115" t="n">
        <f aca="false">IF(E50=0,0,C50-E50)</f>
        <v>-19.9162786760349</v>
      </c>
      <c r="F26" s="115" t="n">
        <f aca="false">E50-F50</f>
        <v>-21.2473463146305</v>
      </c>
      <c r="G26" s="115" t="n">
        <f aca="false">F50-G50</f>
        <v>-22.6673733962695</v>
      </c>
      <c r="H26" s="115" t="n">
        <f aca="false">G50-H50</f>
        <v>-24.1823053607454</v>
      </c>
      <c r="I26" s="115" t="n">
        <f aca="false">H50-I50</f>
        <v>-25.7984850003211</v>
      </c>
      <c r="J26" s="115" t="n">
        <f aca="false">I50-J50</f>
        <v>-27.5226790160457</v>
      </c>
      <c r="K26" s="115" t="n">
        <f aca="false">J50-K50</f>
        <v>-29.3621063489136</v>
      </c>
      <c r="L26" s="115" t="n">
        <f aca="false">K50-L50</f>
        <v>-31.3244684044851</v>
      </c>
      <c r="M26" s="115" t="n">
        <f aca="false">L50-M50</f>
        <v>-33.4179812975132</v>
      </c>
      <c r="N26" s="115" t="n">
        <f aca="false">M50-N50</f>
        <v>-35.6514102515797</v>
      </c>
    </row>
    <row r="27" customFormat="false" ht="12.75" hidden="false" customHeight="false" outlineLevel="0" collapsed="false">
      <c r="A27" s="41" t="s">
        <v>241</v>
      </c>
      <c r="B27" s="105" t="n">
        <f aca="false">-(('OAT Balance Sheet'!C14-'OAT Balance Sheet'!D14)+('OAT Balance Sheet'!C13-'OAT Balance Sheet'!D13))</f>
        <v>18.3</v>
      </c>
      <c r="C27" s="105" t="n">
        <f aca="false">-(('OAT Balance Sheet'!B14-'OAT Balance Sheet'!C14)+('OAT Balance Sheet'!B13-'OAT Balance Sheet'!C13))</f>
        <v>-81.9</v>
      </c>
      <c r="D27" s="96" t="s">
        <v>236</v>
      </c>
      <c r="E27" s="115" t="n">
        <f aca="false">IF(E53=0,0,C51+C53-E51-E53)</f>
        <v>-96.8634174214849</v>
      </c>
      <c r="F27" s="115" t="n">
        <f aca="false">E51+E53-F51-F53</f>
        <v>-38.5803325196192</v>
      </c>
      <c r="G27" s="115" t="n">
        <f aca="false">F51+F53-G51-G53</f>
        <v>-41.1587776668504</v>
      </c>
      <c r="H27" s="115" t="n">
        <f aca="false">G51+G53-H51-H53</f>
        <v>-43.9095484251656</v>
      </c>
      <c r="I27" s="115" t="n">
        <f aca="false">H51+H53-I51-I53</f>
        <v>-46.8441618579658</v>
      </c>
      <c r="J27" s="115" t="n">
        <f aca="false">I51+I53-J51-J53</f>
        <v>-49.9749047502762</v>
      </c>
      <c r="K27" s="115" t="n">
        <f aca="false">J51+J53-K51-K53</f>
        <v>-53.3148850516682</v>
      </c>
      <c r="L27" s="115" t="n">
        <f aca="false">K51+K53-L51-L53</f>
        <v>-56.8780867572714</v>
      </c>
      <c r="M27" s="115" t="n">
        <f aca="false">L51+L53-M51-M53</f>
        <v>-60.6794284566591</v>
      </c>
      <c r="N27" s="115" t="n">
        <f aca="false">M51+M53-N51-N53</f>
        <v>-64.7348257957374</v>
      </c>
    </row>
    <row r="28" customFormat="false" ht="12.75" hidden="false" customHeight="false" outlineLevel="0" collapsed="false">
      <c r="A28" s="41" t="s">
        <v>242</v>
      </c>
      <c r="B28" s="105" t="n">
        <f aca="false">-('OAT Balance Sheet'!C35-'OAT Balance Sheet'!D35)</f>
        <v>-45.2</v>
      </c>
      <c r="C28" s="105" t="n">
        <f aca="false">-('OAT Balance Sheet'!B35-'OAT Balance Sheet'!C35)</f>
        <v>1.29999999999998</v>
      </c>
      <c r="D28" s="96" t="s">
        <v>236</v>
      </c>
      <c r="E28" s="115" t="n">
        <f aca="false">IF(E60=0,0,+E60-C60)</f>
        <v>14.1886777279269</v>
      </c>
      <c r="F28" s="115" t="n">
        <f aca="false">+F60-E60</f>
        <v>15.136951753678</v>
      </c>
      <c r="G28" s="115" t="n">
        <f aca="false">+G60-F60</f>
        <v>16.1486019195571</v>
      </c>
      <c r="H28" s="115" t="n">
        <f aca="false">+H60-G60</f>
        <v>17.2278638526385</v>
      </c>
      <c r="I28" s="115" t="n">
        <f aca="false">+I60-H60</f>
        <v>18.3792562602959</v>
      </c>
      <c r="J28" s="115" t="n">
        <f aca="false">+J60-I60</f>
        <v>19.6075998493507</v>
      </c>
      <c r="K28" s="115" t="n">
        <f aca="false">+K60-J60</f>
        <v>20.9180375096454</v>
      </c>
      <c r="L28" s="115" t="n">
        <f aca="false">+L60-K60</f>
        <v>22.316055846551</v>
      </c>
      <c r="M28" s="115" t="n">
        <f aca="false">+M60-L60</f>
        <v>23.8075081525573</v>
      </c>
      <c r="N28" s="115" t="n">
        <f aca="false">+N60-M60</f>
        <v>25.3986389141288</v>
      </c>
    </row>
    <row r="29" customFormat="false" ht="12.75" hidden="false" customHeight="false" outlineLevel="0" collapsed="false">
      <c r="A29" s="111" t="s">
        <v>243</v>
      </c>
      <c r="B29" s="110" t="n">
        <f aca="false">-(('OAT Balance Sheet'!C36-'OAT Balance Sheet'!D36)+('OAT Balance Sheet'!C37-'OAT Balance Sheet'!D37)+('OAT Balance Sheet'!C39-'OAT Balance Sheet'!D39))</f>
        <v>110.4</v>
      </c>
      <c r="C29" s="110" t="n">
        <f aca="false">-(('OAT Balance Sheet'!B36-'OAT Balance Sheet'!C36)+('OAT Balance Sheet'!B37-'OAT Balance Sheet'!C37)+('OAT Balance Sheet'!B39-'OAT Balance Sheet'!C39))</f>
        <v>27.2</v>
      </c>
      <c r="D29" s="79" t="s">
        <v>236</v>
      </c>
      <c r="E29" s="118" t="n">
        <f aca="false">IF(E61=0,0,E61-C61)</f>
        <v>33.6103910945569</v>
      </c>
      <c r="F29" s="118" t="n">
        <f aca="false">F61-E61</f>
        <v>35.8566794014351</v>
      </c>
      <c r="G29" s="118" t="n">
        <f aca="false">G61-F61</f>
        <v>38.2530942314896</v>
      </c>
      <c r="H29" s="118" t="n">
        <f aca="false">H61-G61</f>
        <v>40.8096690131505</v>
      </c>
      <c r="I29" s="118" t="n">
        <f aca="false">I61-H61</f>
        <v>43.537107740475</v>
      </c>
      <c r="J29" s="118" t="n">
        <f aca="false">J61-I61</f>
        <v>46.446829789159</v>
      </c>
      <c r="K29" s="118" t="n">
        <f aca="false">K61-J61</f>
        <v>49.551017727747</v>
      </c>
      <c r="L29" s="118" t="n">
        <f aca="false">L61-K61</f>
        <v>52.8626683242135</v>
      </c>
      <c r="M29" s="118" t="n">
        <f aca="false">M61-L61</f>
        <v>56.3956469614745</v>
      </c>
      <c r="N29" s="118" t="n">
        <f aca="false">N61-M61</f>
        <v>60.1647456896624</v>
      </c>
    </row>
    <row r="30" customFormat="false" ht="12.75" hidden="false" customHeight="false" outlineLevel="0" collapsed="false">
      <c r="A30" s="76" t="s">
        <v>244</v>
      </c>
      <c r="B30" s="105" t="n">
        <f aca="false">SUM(B25:B29)</f>
        <v>647.126694745287</v>
      </c>
      <c r="C30" s="105" t="n">
        <f aca="false">SUM(C25:C29)</f>
        <v>484.165957446808</v>
      </c>
      <c r="D30" s="114"/>
      <c r="E30" s="119" t="n">
        <f aca="false">SUM(E25:E29)</f>
        <v>496.618908092405</v>
      </c>
      <c r="F30" s="119" t="n">
        <f aca="false">SUM(F25:F29)</f>
        <v>594.051670975581</v>
      </c>
      <c r="G30" s="119" t="n">
        <f aca="false">SUM(G25:G29)</f>
        <v>633.239400107488</v>
      </c>
      <c r="H30" s="119" t="n">
        <f aca="false">SUM(H25:H29)</f>
        <v>675.046168615477</v>
      </c>
      <c r="I30" s="119" t="n">
        <f aca="false">SUM(I25:I29)</f>
        <v>719.647015150813</v>
      </c>
      <c r="J30" s="119" t="n">
        <f aca="false">SUM(J25:J29)</f>
        <v>767.228676749184</v>
      </c>
      <c r="K30" s="119" t="n">
        <f aca="false">SUM(K25:K29)</f>
        <v>817.990370670583</v>
      </c>
      <c r="L30" s="119" t="n">
        <f aca="false">SUM(L25:L29)</f>
        <v>872.144628492002</v>
      </c>
      <c r="M30" s="119" t="n">
        <f aca="false">SUM(M25:M29)</f>
        <v>929.918185945184</v>
      </c>
      <c r="N30" s="119" t="n">
        <f aca="false">SUM(N25:N29)</f>
        <v>991.552932225023</v>
      </c>
    </row>
    <row r="31" customFormat="false" ht="12.75" hidden="false" customHeight="false" outlineLevel="0" collapsed="false">
      <c r="A31" s="70" t="s">
        <v>245</v>
      </c>
      <c r="B31" s="120" t="n">
        <f aca="false">'OAT Balance Sheet'!D25-'OAT Balance Sheet'!C25-'OAT Cash Flow'!D9</f>
        <v>-160.3</v>
      </c>
      <c r="C31" s="121" t="n">
        <f aca="false">B55-C55-'OAT Cash Flow'!C9</f>
        <v>-146.3</v>
      </c>
      <c r="D31" s="96"/>
      <c r="E31" s="115" t="n">
        <f aca="false">IF(E55=0,0,+C55-E55-E21)</f>
        <v>-216.741936849234</v>
      </c>
      <c r="F31" s="115" t="n">
        <f aca="false">+E55-F55-F21</f>
        <v>-231.227483208539</v>
      </c>
      <c r="G31" s="115" t="n">
        <f aca="false">+F55-G55-G21</f>
        <v>-246.681144259343</v>
      </c>
      <c r="H31" s="115" t="n">
        <f aca="false">+G55-H55-H21</f>
        <v>-263.167622155961</v>
      </c>
      <c r="I31" s="115" t="n">
        <f aca="false">+H55-I55-I21</f>
        <v>-280.75594330149</v>
      </c>
      <c r="J31" s="115" t="n">
        <f aca="false">+I55-J55-J21</f>
        <v>-299.519747350971</v>
      </c>
      <c r="K31" s="115" t="n">
        <f aca="false">+J55-K55-K21</f>
        <v>-319.537595529554</v>
      </c>
      <c r="L31" s="115" t="n">
        <f aca="false">+K55-L55-L21</f>
        <v>-340.893299556522</v>
      </c>
      <c r="M31" s="115" t="n">
        <f aca="false">+L55-M55-M21</f>
        <v>-363.676272552364</v>
      </c>
      <c r="N31" s="115" t="n">
        <f aca="false">+M55-N55-N21</f>
        <v>-387.98190339805</v>
      </c>
    </row>
    <row r="32" customFormat="false" ht="12.75" hidden="false" customHeight="false" outlineLevel="0" collapsed="false">
      <c r="A32" s="76" t="s">
        <v>246</v>
      </c>
      <c r="B32" s="105" t="n">
        <f aca="false">B30-B31</f>
        <v>807.426694745287</v>
      </c>
      <c r="C32" s="105" t="n">
        <f aca="false">C30-C31</f>
        <v>630.465957446808</v>
      </c>
      <c r="D32" s="76"/>
      <c r="E32" s="119" t="n">
        <f aca="false">E30+E31</f>
        <v>279.876971243171</v>
      </c>
      <c r="F32" s="119" t="n">
        <f aca="false">F30+F31</f>
        <v>362.824187767042</v>
      </c>
      <c r="G32" s="119" t="n">
        <f aca="false">G30+G31</f>
        <v>386.558255848146</v>
      </c>
      <c r="H32" s="119" t="n">
        <f aca="false">H30+H31</f>
        <v>411.878546459516</v>
      </c>
      <c r="I32" s="119" t="n">
        <f aca="false">I30+I31</f>
        <v>438.891071849323</v>
      </c>
      <c r="J32" s="119" t="n">
        <f aca="false">J30+J31</f>
        <v>467.708929398213</v>
      </c>
      <c r="K32" s="119" t="n">
        <f aca="false">K30+K31</f>
        <v>498.452775141029</v>
      </c>
      <c r="L32" s="119" t="n">
        <f aca="false">L30+L31</f>
        <v>531.25132893548</v>
      </c>
      <c r="M32" s="119" t="n">
        <f aca="false">M30+M31</f>
        <v>566.24191339282</v>
      </c>
      <c r="N32" s="119" t="n">
        <f aca="false">N30+N31</f>
        <v>603.571028826973</v>
      </c>
    </row>
    <row r="33" customFormat="false" ht="12.75" hidden="false" customHeight="false" outlineLevel="0" collapsed="false">
      <c r="A33" s="76" t="s">
        <v>247</v>
      </c>
      <c r="B33" s="70"/>
      <c r="C33" s="122" t="n">
        <f aca="false">'OAT Inputs'!E11</f>
        <v>7</v>
      </c>
      <c r="D33" s="97"/>
      <c r="E33" s="119"/>
      <c r="F33" s="119"/>
      <c r="G33" s="119"/>
      <c r="H33" s="119"/>
      <c r="I33" s="119"/>
      <c r="J33" s="119"/>
      <c r="K33" s="119"/>
      <c r="L33" s="119"/>
      <c r="M33" s="119"/>
      <c r="N33" s="123" t="n">
        <f aca="false">((+N14+N13+N12)*$C$33)</f>
        <v>10479.0937545413</v>
      </c>
    </row>
    <row r="34" customFormat="false" ht="12.75" hidden="false" customHeight="false" outlineLevel="0" collapsed="false">
      <c r="A34" s="76" t="s">
        <v>248</v>
      </c>
      <c r="B34" s="70"/>
      <c r="C34" s="124"/>
      <c r="D34" s="97"/>
      <c r="E34" s="119" t="n">
        <f aca="false">SUM(E32:E33)</f>
        <v>279.876971243171</v>
      </c>
      <c r="F34" s="119" t="n">
        <f aca="false">SUM(F32:F33)</f>
        <v>362.824187767042</v>
      </c>
      <c r="G34" s="119" t="n">
        <f aca="false">SUM(G32:G33)</f>
        <v>386.558255848146</v>
      </c>
      <c r="H34" s="119" t="n">
        <f aca="false">SUM(H32:H33)</f>
        <v>411.878546459516</v>
      </c>
      <c r="I34" s="119" t="n">
        <f aca="false">SUM(I32:I33)</f>
        <v>438.891071849323</v>
      </c>
      <c r="J34" s="119" t="n">
        <f aca="false">SUM(J32:J33)</f>
        <v>467.708929398213</v>
      </c>
      <c r="K34" s="119" t="n">
        <f aca="false">SUM(K32:K33)</f>
        <v>498.452775141029</v>
      </c>
      <c r="L34" s="119" t="n">
        <f aca="false">SUM(L32:L33)</f>
        <v>531.25132893548</v>
      </c>
      <c r="M34" s="119" t="n">
        <f aca="false">SUM(M32:M33)</f>
        <v>566.24191339282</v>
      </c>
      <c r="N34" s="119" t="n">
        <f aca="false">SUM(N32:N33)</f>
        <v>11082.6647833683</v>
      </c>
    </row>
    <row r="35" customFormat="false" ht="12.75" hidden="false" customHeight="false" outlineLevel="0" collapsed="false">
      <c r="A35" s="76"/>
      <c r="B35" s="70"/>
      <c r="C35" s="124"/>
      <c r="D35" s="97"/>
      <c r="E35" s="119"/>
      <c r="F35" s="119"/>
      <c r="G35" s="119"/>
      <c r="H35" s="119"/>
      <c r="I35" s="119"/>
      <c r="J35" s="119"/>
      <c r="K35" s="119"/>
      <c r="L35" s="119"/>
      <c r="M35" s="119"/>
      <c r="N35" s="125"/>
    </row>
    <row r="36" customFormat="false" ht="12.75" hidden="false" customHeight="false" outlineLevel="0" collapsed="false">
      <c r="A36" s="76" t="s">
        <v>249</v>
      </c>
      <c r="B36" s="70"/>
      <c r="C36" s="126" t="n">
        <f aca="false">'OAT Inputs'!E10</f>
        <v>0.12</v>
      </c>
      <c r="E36" s="127" t="n">
        <f aca="false">NPV(C36,E34:N34)</f>
        <v>5774.57883192448</v>
      </c>
      <c r="F36" s="119"/>
      <c r="G36" s="119"/>
      <c r="H36" s="119"/>
      <c r="I36" s="119"/>
      <c r="J36" s="119"/>
      <c r="K36" s="119"/>
      <c r="L36" s="119"/>
      <c r="M36" s="119"/>
      <c r="N36" s="125"/>
    </row>
    <row r="37" customFormat="false" ht="12.75" hidden="false" customHeight="false" outlineLevel="0" collapsed="false">
      <c r="A37" s="128" t="s">
        <v>250</v>
      </c>
      <c r="B37" s="70"/>
      <c r="C37" s="115"/>
      <c r="E37" s="129" t="n">
        <f aca="false">IF(E36=0,0,-(C67))</f>
        <v>-793.7</v>
      </c>
      <c r="F37" s="130"/>
      <c r="G37" s="130"/>
      <c r="H37" s="131"/>
      <c r="I37" s="130"/>
      <c r="J37" s="130"/>
      <c r="K37" s="130"/>
      <c r="L37" s="130"/>
      <c r="M37" s="130"/>
      <c r="N37" s="130"/>
    </row>
    <row r="38" customFormat="false" ht="12.75" hidden="false" customHeight="false" outlineLevel="0" collapsed="false">
      <c r="A38" s="40" t="s">
        <v>251</v>
      </c>
      <c r="B38" s="70"/>
      <c r="C38" s="115"/>
      <c r="D38" s="86"/>
      <c r="E38" s="132" t="n">
        <v>0</v>
      </c>
      <c r="F38" s="115"/>
      <c r="G38" s="115"/>
      <c r="H38" s="115"/>
      <c r="I38" s="115"/>
      <c r="J38" s="115"/>
      <c r="K38" s="115"/>
      <c r="L38" s="115"/>
      <c r="M38" s="115"/>
      <c r="N38" s="115"/>
    </row>
    <row r="39" customFormat="false" ht="12.75" hidden="false" customHeight="false" outlineLevel="0" collapsed="false">
      <c r="A39" s="40" t="s">
        <v>252</v>
      </c>
      <c r="B39" s="70"/>
      <c r="C39" s="133"/>
      <c r="D39" s="34"/>
      <c r="E39" s="129" t="n">
        <f aca="false">SUM(E36:E38)</f>
        <v>4980.87883192448</v>
      </c>
      <c r="F39" s="133"/>
      <c r="G39" s="133"/>
      <c r="H39" s="133"/>
      <c r="I39" s="133"/>
      <c r="J39" s="133"/>
      <c r="K39" s="133"/>
      <c r="L39" s="133"/>
      <c r="M39" s="133"/>
      <c r="N39" s="133"/>
    </row>
    <row r="40" customFormat="false" ht="12.75" hidden="false" customHeight="false" outlineLevel="0" collapsed="false">
      <c r="A40" s="70" t="s">
        <v>253</v>
      </c>
      <c r="B40" s="70"/>
      <c r="C40" s="115"/>
      <c r="D40" s="86"/>
      <c r="E40" s="129" t="n">
        <f aca="false">'OAT Inputs'!E30/1000000</f>
        <v>131.933</v>
      </c>
      <c r="F40" s="115"/>
      <c r="G40" s="115"/>
      <c r="H40" s="115"/>
      <c r="I40" s="115"/>
      <c r="J40" s="115"/>
      <c r="K40" s="115"/>
      <c r="L40" s="115"/>
      <c r="M40" s="115"/>
      <c r="N40" s="115"/>
    </row>
    <row r="41" customFormat="false" ht="12.75" hidden="false" customHeight="false" outlineLevel="0" collapsed="false">
      <c r="A41" s="134" t="s">
        <v>254</v>
      </c>
      <c r="B41" s="70"/>
      <c r="C41" s="119"/>
      <c r="D41" s="135"/>
      <c r="E41" s="136" t="n">
        <f aca="false">E39/E40</f>
        <v>37.7530930997133</v>
      </c>
      <c r="F41" s="137"/>
      <c r="G41" s="137"/>
      <c r="H41" s="137"/>
      <c r="I41" s="137"/>
      <c r="J41" s="137"/>
      <c r="K41" s="137"/>
      <c r="L41" s="137"/>
      <c r="M41" s="137"/>
      <c r="N41" s="137"/>
    </row>
    <row r="42" customFormat="false" ht="12.75" hidden="false" customHeight="false" outlineLevel="0" collapsed="false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</row>
    <row r="43" customFormat="false" ht="12.75" hidden="false" customHeight="false" outlineLevel="0" collapsed="false">
      <c r="A43" s="114" t="s">
        <v>255</v>
      </c>
      <c r="B43" s="70"/>
      <c r="C43" s="70"/>
      <c r="D43" s="96"/>
      <c r="E43" s="70"/>
      <c r="F43" s="70"/>
      <c r="G43" s="70"/>
      <c r="H43" s="70"/>
      <c r="I43" s="70"/>
      <c r="J43" s="70"/>
      <c r="K43" s="70"/>
      <c r="L43" s="70"/>
      <c r="M43" s="70"/>
      <c r="N43" s="70"/>
    </row>
    <row r="44" customFormat="false" ht="12.75" hidden="false" customHeight="false" outlineLevel="0" collapsed="false">
      <c r="A44" s="114" t="n">
        <f aca="false">+A3</f>
        <v>0</v>
      </c>
      <c r="B44" s="70"/>
      <c r="C44" s="70"/>
      <c r="D44" s="96"/>
      <c r="E44" s="70"/>
      <c r="F44" s="70"/>
      <c r="G44" s="70"/>
      <c r="H44" s="70"/>
      <c r="I44" s="70"/>
      <c r="J44" s="70"/>
      <c r="K44" s="70"/>
      <c r="L44" s="70"/>
      <c r="M44" s="70"/>
      <c r="N44" s="70"/>
    </row>
    <row r="45" customFormat="false" ht="12.75" hidden="false" customHeight="false" outlineLevel="0" collapsed="false">
      <c r="A45" s="114" t="s">
        <v>256</v>
      </c>
      <c r="B45" s="70"/>
      <c r="C45" s="70"/>
      <c r="D45" s="96"/>
      <c r="E45" s="70"/>
      <c r="F45" s="70"/>
      <c r="G45" s="70"/>
      <c r="H45" s="70"/>
      <c r="I45" s="70"/>
      <c r="J45" s="70"/>
      <c r="K45" s="70"/>
      <c r="L45" s="70"/>
      <c r="M45" s="70"/>
      <c r="N45" s="70"/>
    </row>
    <row r="46" customFormat="false" ht="12.75" hidden="false" customHeight="false" outlineLevel="0" collapsed="false">
      <c r="A46" s="114"/>
      <c r="B46" s="70"/>
      <c r="C46" s="70"/>
      <c r="D46" s="96"/>
      <c r="E46" s="70"/>
      <c r="F46" s="70"/>
      <c r="G46" s="70"/>
      <c r="H46" s="70"/>
      <c r="I46" s="70"/>
      <c r="J46" s="70"/>
      <c r="K46" s="70"/>
      <c r="L46" s="70"/>
      <c r="M46" s="70"/>
      <c r="N46" s="70"/>
    </row>
    <row r="47" customFormat="false" ht="12.75" hidden="false" customHeight="false" outlineLevel="0" collapsed="false">
      <c r="A47" s="76"/>
      <c r="B47" s="138" t="str">
        <f aca="false">+B6</f>
        <v>Actual</v>
      </c>
      <c r="C47" s="138" t="str">
        <f aca="false">+C6</f>
        <v>Actual</v>
      </c>
      <c r="D47" s="86"/>
      <c r="E47" s="138" t="str">
        <f aca="false">+E6</f>
        <v>Forecast</v>
      </c>
      <c r="F47" s="138" t="str">
        <f aca="false">+F6</f>
        <v>Forecast</v>
      </c>
      <c r="G47" s="138" t="str">
        <f aca="false">+G6</f>
        <v>Forecast</v>
      </c>
      <c r="H47" s="138" t="str">
        <f aca="false">+H6</f>
        <v>Forecast</v>
      </c>
      <c r="I47" s="138" t="str">
        <f aca="false">+I6</f>
        <v>Forecast</v>
      </c>
      <c r="J47" s="138" t="str">
        <f aca="false">+J6</f>
        <v>Forecast</v>
      </c>
      <c r="K47" s="138" t="str">
        <f aca="false">+K6</f>
        <v>Forecast</v>
      </c>
      <c r="L47" s="138" t="str">
        <f aca="false">+L6</f>
        <v>Forecast</v>
      </c>
      <c r="M47" s="138" t="str">
        <f aca="false">+M6</f>
        <v>Forecast</v>
      </c>
      <c r="N47" s="138" t="str">
        <f aca="false">+N6</f>
        <v>Forecast</v>
      </c>
    </row>
    <row r="48" customFormat="false" ht="12.75" hidden="false" customHeight="false" outlineLevel="0" collapsed="false">
      <c r="A48" s="139" t="s">
        <v>218</v>
      </c>
      <c r="B48" s="140" t="n">
        <f aca="false">+B7</f>
        <v>1999</v>
      </c>
      <c r="C48" s="140" t="n">
        <f aca="false">+C7</f>
        <v>2000</v>
      </c>
      <c r="D48" s="102" t="s">
        <v>257</v>
      </c>
      <c r="E48" s="140" t="n">
        <f aca="false">+E7</f>
        <v>2001</v>
      </c>
      <c r="F48" s="140" t="n">
        <f aca="false">+F7</f>
        <v>2002</v>
      </c>
      <c r="G48" s="140" t="n">
        <f aca="false">+G7</f>
        <v>2003</v>
      </c>
      <c r="H48" s="140" t="n">
        <f aca="false">+H7</f>
        <v>2004</v>
      </c>
      <c r="I48" s="140" t="n">
        <f aca="false">+I7</f>
        <v>2005</v>
      </c>
      <c r="J48" s="140" t="n">
        <f aca="false">+J7</f>
        <v>2006</v>
      </c>
      <c r="K48" s="140" t="n">
        <f aca="false">+K7</f>
        <v>2007</v>
      </c>
      <c r="L48" s="140" t="n">
        <f aca="false">+L7</f>
        <v>2008</v>
      </c>
      <c r="M48" s="140" t="n">
        <f aca="false">+M7</f>
        <v>2009</v>
      </c>
      <c r="N48" s="141" t="n">
        <f aca="false">+N7</f>
        <v>2010</v>
      </c>
    </row>
    <row r="49" customFormat="false" ht="12.75" hidden="false" customHeight="false" outlineLevel="0" collapsed="false">
      <c r="A49" s="70" t="s">
        <v>258</v>
      </c>
      <c r="B49" s="142" t="n">
        <f aca="false">'OAT Balance Sheet'!C5</f>
        <v>282.9</v>
      </c>
      <c r="C49" s="142" t="n">
        <f aca="false">'OAT Balance Sheet'!B5</f>
        <v>174.3</v>
      </c>
      <c r="D49" s="116"/>
      <c r="E49" s="105" t="n">
        <f aca="false">E8*'OAT Balance Sheet'!I70</f>
        <v>185.949018030983</v>
      </c>
      <c r="F49" s="105" t="n">
        <f aca="false">F8*'OAT Balance Sheet'!J70</f>
        <v>198.376576630446</v>
      </c>
      <c r="G49" s="105" t="n">
        <f aca="false">G8*'OAT Balance Sheet'!K70</f>
        <v>211.634708116922</v>
      </c>
      <c r="H49" s="105" t="n">
        <f aca="false">H8*'OAT Balance Sheet'!L70</f>
        <v>225.778922292687</v>
      </c>
      <c r="I49" s="105" t="n">
        <f aca="false">I8*'OAT Balance Sheet'!M70</f>
        <v>240.868438854955</v>
      </c>
      <c r="J49" s="105" t="n">
        <f aca="false">J8*'OAT Balance Sheet'!N70</f>
        <v>256.966435339844</v>
      </c>
      <c r="K49" s="105" t="n">
        <f aca="false">K8*'OAT Balance Sheet'!O70</f>
        <v>274.140311637212</v>
      </c>
      <c r="L49" s="105" t="n">
        <f aca="false">L8*'OAT Balance Sheet'!P70</f>
        <v>292.461972183862</v>
      </c>
      <c r="M49" s="105" t="n">
        <f aca="false">M8*'OAT Balance Sheet'!Q70</f>
        <v>312.008127016602</v>
      </c>
      <c r="N49" s="105" t="n">
        <f aca="false">N8*'OAT Balance Sheet'!R70</f>
        <v>332.86061294563</v>
      </c>
    </row>
    <row r="50" customFormat="false" ht="12.75" hidden="false" customHeight="false" outlineLevel="0" collapsed="false">
      <c r="A50" s="70" t="s">
        <v>259</v>
      </c>
      <c r="B50" s="143" t="n">
        <f aca="false">'OAT Balance Sheet'!C7</f>
        <v>254.3</v>
      </c>
      <c r="C50" s="143" t="n">
        <f aca="false">'OAT Balance Sheet'!B7</f>
        <v>298</v>
      </c>
      <c r="D50" s="116"/>
      <c r="E50" s="143" t="n">
        <f aca="false">E8*'OAT Balance Sheet'!I72</f>
        <v>317.916278676035</v>
      </c>
      <c r="F50" s="143" t="n">
        <f aca="false">F8*'OAT Balance Sheet'!J72</f>
        <v>339.163624990665</v>
      </c>
      <c r="G50" s="143" t="n">
        <f aca="false">G8*'OAT Balance Sheet'!K72</f>
        <v>361.830998386935</v>
      </c>
      <c r="H50" s="143" t="n">
        <f aca="false">H8*'OAT Balance Sheet'!L72</f>
        <v>386.01330374768</v>
      </c>
      <c r="I50" s="143" t="n">
        <f aca="false">I8*'OAT Balance Sheet'!M72</f>
        <v>411.811788748001</v>
      </c>
      <c r="J50" s="143" t="n">
        <f aca="false">J8*'OAT Balance Sheet'!N72</f>
        <v>439.334467764047</v>
      </c>
      <c r="K50" s="143" t="n">
        <f aca="false">K8*'OAT Balance Sheet'!O72</f>
        <v>468.696574112961</v>
      </c>
      <c r="L50" s="143" t="n">
        <f aca="false">L8*'OAT Balance Sheet'!P72</f>
        <v>500.021042517446</v>
      </c>
      <c r="M50" s="143" t="n">
        <f aca="false">M8*'OAT Balance Sheet'!Q72</f>
        <v>533.439023814959</v>
      </c>
      <c r="N50" s="143" t="n">
        <f aca="false">N8*'OAT Balance Sheet'!R72</f>
        <v>569.090434066539</v>
      </c>
    </row>
    <row r="51" customFormat="false" ht="12.75" hidden="false" customHeight="false" outlineLevel="0" collapsed="false">
      <c r="A51" s="70" t="s">
        <v>260</v>
      </c>
      <c r="B51" s="143" t="n">
        <f aca="false">'OAT Balance Sheet'!C13</f>
        <v>266.2</v>
      </c>
      <c r="C51" s="143" t="n">
        <f aca="false">'OAT Balance Sheet'!B13</f>
        <v>287.4</v>
      </c>
      <c r="D51" s="116"/>
      <c r="E51" s="143" t="n">
        <f aca="false">E8*'OAT Balance Sheet'!I78</f>
        <v>306.607847286887</v>
      </c>
      <c r="F51" s="143" t="n">
        <f aca="false">F8*'OAT Balance Sheet'!J78</f>
        <v>327.099415511132</v>
      </c>
      <c r="G51" s="143" t="n">
        <f aca="false">G8*'OAT Balance Sheet'!K78</f>
        <v>348.960499786594</v>
      </c>
      <c r="H51" s="143" t="n">
        <f aca="false">H8*'OAT Balance Sheet'!L78</f>
        <v>372.282629184843</v>
      </c>
      <c r="I51" s="143" t="n">
        <f aca="false">I8*'OAT Balance Sheet'!M78</f>
        <v>397.163449953609</v>
      </c>
      <c r="J51" s="143" t="n">
        <f aca="false">J8*'OAT Balance Sheet'!N78</f>
        <v>423.707134346937</v>
      </c>
      <c r="K51" s="143" t="n">
        <f aca="false">K8*'OAT Balance Sheet'!O78</f>
        <v>452.024816778741</v>
      </c>
      <c r="L51" s="143" t="n">
        <f aca="false">L8*'OAT Balance Sheet'!P78</f>
        <v>482.235059125886</v>
      </c>
      <c r="M51" s="143" t="n">
        <f aca="false">M8*'OAT Balance Sheet'!Q78</f>
        <v>514.464347128924</v>
      </c>
      <c r="N51" s="143" t="n">
        <f aca="false">N8*'OAT Balance Sheet'!R78</f>
        <v>548.84761996887</v>
      </c>
    </row>
    <row r="52" customFormat="false" ht="12.75" hidden="false" customHeight="false" outlineLevel="0" collapsed="false">
      <c r="A52" s="70" t="s">
        <v>261</v>
      </c>
      <c r="B52" s="143" t="n">
        <v>0</v>
      </c>
      <c r="C52" s="143" t="n">
        <v>0</v>
      </c>
      <c r="D52" s="116"/>
      <c r="E52" s="143"/>
      <c r="F52" s="143"/>
      <c r="G52" s="143"/>
      <c r="H52" s="143"/>
      <c r="I52" s="143"/>
      <c r="J52" s="143"/>
      <c r="K52" s="143"/>
      <c r="L52" s="143"/>
      <c r="M52" s="143"/>
      <c r="N52" s="143"/>
    </row>
    <row r="53" customFormat="false" ht="12.75" hidden="false" customHeight="false" outlineLevel="0" collapsed="false">
      <c r="A53" s="11" t="s">
        <v>262</v>
      </c>
      <c r="B53" s="144" t="n">
        <f aca="false">'OAT Balance Sheet'!B14</f>
        <v>253.7</v>
      </c>
      <c r="C53" s="144" t="n">
        <f aca="false">'OAT Balance Sheet'!C14</f>
        <v>193</v>
      </c>
      <c r="D53" s="117"/>
      <c r="E53" s="144" t="n">
        <f aca="false">E8*'OAT Balance Sheet'!I79</f>
        <v>270.655570134598</v>
      </c>
      <c r="F53" s="144" t="n">
        <f aca="false">F8*'OAT Balance Sheet'!J79</f>
        <v>288.744334429972</v>
      </c>
      <c r="G53" s="144" t="n">
        <f aca="false">G8*'OAT Balance Sheet'!K79</f>
        <v>308.04202782136</v>
      </c>
      <c r="H53" s="144" t="n">
        <f aca="false">H8*'OAT Balance Sheet'!L79</f>
        <v>328.629446848277</v>
      </c>
      <c r="I53" s="144" t="n">
        <f aca="false">I8*'OAT Balance Sheet'!M79</f>
        <v>350.592787937476</v>
      </c>
      <c r="J53" s="144" t="n">
        <f aca="false">J8*'OAT Balance Sheet'!N79</f>
        <v>374.024008294425</v>
      </c>
      <c r="K53" s="144" t="n">
        <f aca="false">K8*'OAT Balance Sheet'!O79</f>
        <v>399.021210914289</v>
      </c>
      <c r="L53" s="144" t="n">
        <f aca="false">L8*'OAT Balance Sheet'!P79</f>
        <v>425.689055324416</v>
      </c>
      <c r="M53" s="144" t="n">
        <f aca="false">M8*'OAT Balance Sheet'!Q79</f>
        <v>454.139195778037</v>
      </c>
      <c r="N53" s="144" t="n">
        <f aca="false">N8*'OAT Balance Sheet'!R79</f>
        <v>484.490748733828</v>
      </c>
    </row>
    <row r="54" customFormat="false" ht="12.75" hidden="false" customHeight="false" outlineLevel="0" collapsed="false">
      <c r="A54" s="70" t="s">
        <v>263</v>
      </c>
      <c r="B54" s="143" t="n">
        <f aca="false">SUM(B49:B53)</f>
        <v>1057.1</v>
      </c>
      <c r="C54" s="143" t="n">
        <f aca="false">SUM(C49:C53)</f>
        <v>952.7</v>
      </c>
      <c r="D54" s="116"/>
      <c r="E54" s="143" t="n">
        <f aca="false">SUM(E49:E53)</f>
        <v>1081.1287141285</v>
      </c>
      <c r="F54" s="143" t="n">
        <f aca="false">SUM(F49:F53)</f>
        <v>1153.38395156222</v>
      </c>
      <c r="G54" s="143" t="n">
        <f aca="false">SUM(G49:G53)</f>
        <v>1230.46823411181</v>
      </c>
      <c r="H54" s="143" t="n">
        <f aca="false">SUM(H49:H53)</f>
        <v>1312.70430207349</v>
      </c>
      <c r="I54" s="143" t="n">
        <f aca="false">SUM(I49:I53)</f>
        <v>1400.43646549404</v>
      </c>
      <c r="J54" s="143" t="n">
        <f aca="false">SUM(J49:J53)</f>
        <v>1494.03204574525</v>
      </c>
      <c r="K54" s="143" t="n">
        <f aca="false">SUM(K49:K53)</f>
        <v>1593.8829134432</v>
      </c>
      <c r="L54" s="143" t="n">
        <f aca="false">SUM(L49:L53)</f>
        <v>1700.40712915161</v>
      </c>
      <c r="M54" s="143" t="n">
        <f aca="false">SUM(M49:M53)</f>
        <v>1814.05069373852</v>
      </c>
      <c r="N54" s="143" t="n">
        <f aca="false">SUM(N49:N53)</f>
        <v>1935.28941571487</v>
      </c>
    </row>
    <row r="55" customFormat="false" ht="12.75" hidden="false" customHeight="false" outlineLevel="0" collapsed="false">
      <c r="A55" s="70" t="s">
        <v>264</v>
      </c>
      <c r="B55" s="143" t="n">
        <f aca="false">'OAT Balance Sheet'!C25</f>
        <v>1106.7</v>
      </c>
      <c r="C55" s="143" t="n">
        <f aca="false">'OAT Balance Sheet'!B25</f>
        <v>1120</v>
      </c>
      <c r="D55" s="145"/>
      <c r="E55" s="143" t="n">
        <f aca="false">E8*'OAT Balance Sheet'!I90</f>
        <v>1194.85312790993</v>
      </c>
      <c r="F55" s="143" t="n">
        <f aca="false">F8*'OAT Balance Sheet'!J90</f>
        <v>1274.70892613941</v>
      </c>
      <c r="G55" s="143" t="n">
        <f aca="false">G8*'OAT Balance Sheet'!K90</f>
        <v>1359.90173890392</v>
      </c>
      <c r="H55" s="143" t="n">
        <f aca="false">H8*'OAT Balance Sheet'!L90</f>
        <v>1450.78825569598</v>
      </c>
      <c r="I55" s="143" t="n">
        <f aca="false">I8*'OAT Balance Sheet'!M90</f>
        <v>1547.74900469048</v>
      </c>
      <c r="J55" s="143" t="n">
        <f aca="false">J8*'OAT Balance Sheet'!N90</f>
        <v>1651.18994595883</v>
      </c>
      <c r="K55" s="143" t="n">
        <f aca="false">K8*'OAT Balance Sheet'!O90</f>
        <v>1761.54417116281</v>
      </c>
      <c r="L55" s="143" t="n">
        <f aca="false">L8*'OAT Balance Sheet'!P90</f>
        <v>1879.27371684409</v>
      </c>
      <c r="M55" s="143" t="n">
        <f aca="false">M8*'OAT Balance Sheet'!Q90</f>
        <v>2004.87149890186</v>
      </c>
      <c r="N55" s="143" t="n">
        <f aca="false">N8*'OAT Balance Sheet'!R90</f>
        <v>2138.86337635746</v>
      </c>
    </row>
    <row r="56" customFormat="false" ht="12.75" hidden="false" customHeight="false" outlineLevel="0" collapsed="false">
      <c r="A56" s="70" t="s">
        <v>63</v>
      </c>
      <c r="B56" s="143" t="n">
        <f aca="false">'OAT Balance Sheet'!C26</f>
        <v>236.9</v>
      </c>
      <c r="C56" s="143" t="n">
        <f aca="false">'OAT Balance Sheet'!B26</f>
        <v>229.2</v>
      </c>
      <c r="D56" s="145" t="s">
        <v>265</v>
      </c>
      <c r="E56" s="143" t="n">
        <f aca="false">C56-(B56-C56)</f>
        <v>221.5</v>
      </c>
      <c r="F56" s="143" t="n">
        <f aca="false">E56-($B$56-$C$56)</f>
        <v>213.8</v>
      </c>
      <c r="G56" s="143" t="n">
        <f aca="false">F56-($B$56-$C$56)</f>
        <v>206.1</v>
      </c>
      <c r="H56" s="143" t="n">
        <f aca="false">G56-($B$56-$C$56)</f>
        <v>198.4</v>
      </c>
      <c r="I56" s="143" t="n">
        <f aca="false">H56-($B$56-$C$56)</f>
        <v>190.7</v>
      </c>
      <c r="J56" s="143" t="n">
        <f aca="false">I56-($B$56-$C$56)</f>
        <v>183</v>
      </c>
      <c r="K56" s="143" t="n">
        <f aca="false">J56-($B$56-$C$56)</f>
        <v>175.3</v>
      </c>
      <c r="L56" s="143" t="n">
        <f aca="false">K56-($B$56-$C$56)</f>
        <v>167.6</v>
      </c>
      <c r="M56" s="143" t="n">
        <f aca="false">L56-($B$56-$C$56)</f>
        <v>159.9</v>
      </c>
      <c r="N56" s="143" t="n">
        <f aca="false">M56-($B$56-$C$56)</f>
        <v>152.2</v>
      </c>
    </row>
    <row r="57" customFormat="false" ht="12.75" hidden="false" customHeight="false" outlineLevel="0" collapsed="false">
      <c r="A57" s="11" t="s">
        <v>266</v>
      </c>
      <c r="B57" s="144" t="n">
        <f aca="false">'OAT Balance Sheet'!C27</f>
        <v>55.9</v>
      </c>
      <c r="C57" s="144" t="n">
        <f aca="false">'OAT Balance Sheet'!B27</f>
        <v>55.9</v>
      </c>
      <c r="D57" s="117"/>
      <c r="E57" s="144" t="n">
        <f aca="false">E8*'OAT Balance Sheet'!I92</f>
        <v>59.6359730805045</v>
      </c>
      <c r="F57" s="144" t="n">
        <f aca="false">F8*'OAT Balance Sheet'!J92</f>
        <v>63.6216330099939</v>
      </c>
      <c r="G57" s="144" t="n">
        <f aca="false">G8*'OAT Balance Sheet'!K92</f>
        <v>67.8736671470794</v>
      </c>
      <c r="H57" s="144" t="n">
        <f aca="false">H8*'OAT Balance Sheet'!L92</f>
        <v>72.4098781191118</v>
      </c>
      <c r="I57" s="144" t="n">
        <f aca="false">I8*'OAT Balance Sheet'!M92</f>
        <v>77.249258359105</v>
      </c>
      <c r="J57" s="144" t="n">
        <f aca="false">J8*'OAT Balance Sheet'!N92</f>
        <v>82.4120696241954</v>
      </c>
      <c r="K57" s="144" t="n">
        <f aca="false">K8*'OAT Balance Sheet'!O92</f>
        <v>87.9199278285721</v>
      </c>
      <c r="L57" s="144" t="n">
        <f aca="false">L8*'OAT Balance Sheet'!P92</f>
        <v>93.7958935460578</v>
      </c>
      <c r="M57" s="144" t="n">
        <f aca="false">M8*'OAT Balance Sheet'!Q92</f>
        <v>100.064568561262</v>
      </c>
      <c r="N57" s="144" t="n">
        <f aca="false">N8*'OAT Balance Sheet'!R92</f>
        <v>106.752198873555</v>
      </c>
    </row>
    <row r="58" customFormat="false" ht="12.75" hidden="false" customHeight="false" outlineLevel="0" collapsed="false">
      <c r="A58" s="11" t="s">
        <v>267</v>
      </c>
      <c r="B58" s="144" t="n">
        <f aca="false">SUM(B55:B57)</f>
        <v>1399.5</v>
      </c>
      <c r="C58" s="144" t="n">
        <f aca="false">SUM(C55:C57)</f>
        <v>1405.1</v>
      </c>
      <c r="D58" s="111"/>
      <c r="E58" s="144" t="n">
        <f aca="false">SUM(E55:E57)</f>
        <v>1475.98910099043</v>
      </c>
      <c r="F58" s="144" t="n">
        <f aca="false">SUM(F55:F57)</f>
        <v>1552.13055914941</v>
      </c>
      <c r="G58" s="144" t="n">
        <f aca="false">SUM(G55:G57)</f>
        <v>1633.875406051</v>
      </c>
      <c r="H58" s="144" t="n">
        <f aca="false">SUM(H55:H57)</f>
        <v>1721.59813381509</v>
      </c>
      <c r="I58" s="144" t="n">
        <f aca="false">SUM(I55:I57)</f>
        <v>1815.69826304958</v>
      </c>
      <c r="J58" s="144" t="n">
        <f aca="false">SUM(J55:J57)</f>
        <v>1916.60201558303</v>
      </c>
      <c r="K58" s="144" t="n">
        <f aca="false">SUM(K55:K57)</f>
        <v>2024.76409899138</v>
      </c>
      <c r="L58" s="144" t="n">
        <f aca="false">SUM(L55:L57)</f>
        <v>2140.66961039015</v>
      </c>
      <c r="M58" s="144" t="n">
        <f aca="false">SUM(M55:M57)</f>
        <v>2264.83606746312</v>
      </c>
      <c r="N58" s="144" t="n">
        <f aca="false">SUM(N55:N57)</f>
        <v>2397.81557523102</v>
      </c>
    </row>
    <row r="59" customFormat="false" ht="12.75" hidden="false" customHeight="false" outlineLevel="0" collapsed="false">
      <c r="A59" s="70"/>
      <c r="B59" s="143"/>
      <c r="C59" s="143"/>
      <c r="D59" s="70"/>
      <c r="E59" s="143"/>
      <c r="F59" s="143"/>
      <c r="G59" s="143"/>
      <c r="H59" s="143"/>
      <c r="I59" s="143"/>
      <c r="J59" s="143"/>
      <c r="K59" s="143"/>
      <c r="L59" s="143"/>
      <c r="M59" s="143"/>
      <c r="N59" s="143"/>
    </row>
    <row r="60" customFormat="false" ht="12.75" hidden="false" customHeight="false" outlineLevel="0" collapsed="false">
      <c r="A60" s="70" t="s">
        <v>268</v>
      </c>
      <c r="B60" s="143" t="n">
        <f aca="false">'OAT Balance Sheet'!C35</f>
        <v>213.6</v>
      </c>
      <c r="C60" s="143" t="n">
        <f aca="false">'OAT Balance Sheet'!B35</f>
        <v>212.3</v>
      </c>
      <c r="D60" s="116"/>
      <c r="E60" s="143" t="n">
        <f aca="false">E8*'OAT Balance Sheet'!I100</f>
        <v>226.488677727927</v>
      </c>
      <c r="F60" s="143" t="n">
        <f aca="false">F8*'OAT Balance Sheet'!J100</f>
        <v>241.625629481605</v>
      </c>
      <c r="G60" s="143" t="n">
        <f aca="false">G8*'OAT Balance Sheet'!K100</f>
        <v>257.774231401162</v>
      </c>
      <c r="H60" s="143" t="n">
        <f aca="false">H8*'OAT Balance Sheet'!L100</f>
        <v>275.0020952538</v>
      </c>
      <c r="I60" s="143" t="n">
        <f aca="false">I8*'OAT Balance Sheet'!M100</f>
        <v>293.381351514096</v>
      </c>
      <c r="J60" s="143" t="n">
        <f aca="false">J8*'OAT Balance Sheet'!N100</f>
        <v>312.988951363447</v>
      </c>
      <c r="K60" s="143" t="n">
        <f aca="false">K8*'OAT Balance Sheet'!O100</f>
        <v>333.906988873093</v>
      </c>
      <c r="L60" s="143" t="n">
        <f aca="false">L8*'OAT Balance Sheet'!P100</f>
        <v>356.223044719643</v>
      </c>
      <c r="M60" s="143" t="n">
        <f aca="false">M8*'OAT Balance Sheet'!Q100</f>
        <v>380.030552872201</v>
      </c>
      <c r="N60" s="143" t="n">
        <f aca="false">N8*'OAT Balance Sheet'!R100</f>
        <v>405.429191786329</v>
      </c>
    </row>
    <row r="61" customFormat="false" ht="12.75" hidden="false" customHeight="false" outlineLevel="0" collapsed="false">
      <c r="A61" s="11" t="s">
        <v>269</v>
      </c>
      <c r="B61" s="144" t="n">
        <f aca="false">'OAT Balance Sheet'!C39+'OAT Balance Sheet'!C37+'OAT Balance Sheet'!C36</f>
        <v>530.1</v>
      </c>
      <c r="C61" s="144" t="n">
        <f aca="false">'OAT Balance Sheet'!B39+'OAT Balance Sheet'!B37+'OAT Balance Sheet'!B36</f>
        <v>502.9</v>
      </c>
      <c r="D61" s="117"/>
      <c r="E61" s="144" t="n">
        <f aca="false">(E8*'OAT Balance Sheet'!I101)+(E8*'OAT Balance Sheet'!I102)+(E8*'OAT Balance Sheet'!I104)</f>
        <v>536.510391094557</v>
      </c>
      <c r="F61" s="144" t="n">
        <f aca="false">(F8*'OAT Balance Sheet'!J101)+(F8*'OAT Balance Sheet'!J102)+(F8*'OAT Balance Sheet'!J104)</f>
        <v>572.367070495992</v>
      </c>
      <c r="G61" s="144" t="n">
        <f aca="false">(G8*'OAT Balance Sheet'!K101)+(G8*'OAT Balance Sheet'!K102)+(G8*'OAT Balance Sheet'!K104)</f>
        <v>610.620164727482</v>
      </c>
      <c r="H61" s="144" t="n">
        <f aca="false">(H8*'OAT Balance Sheet'!L101)+(H8*'OAT Balance Sheet'!L102)+(H8*'OAT Balance Sheet'!L104)</f>
        <v>651.429833740632</v>
      </c>
      <c r="I61" s="144" t="n">
        <f aca="false">(I8*'OAT Balance Sheet'!M101)+(I8*'OAT Balance Sheet'!M102)+(I8*'OAT Balance Sheet'!M104)</f>
        <v>694.966941481107</v>
      </c>
      <c r="J61" s="144" t="n">
        <f aca="false">(J8*'OAT Balance Sheet'!N101)+(J8*'OAT Balance Sheet'!N102)+(J8*'OAT Balance Sheet'!N104)</f>
        <v>741.413771270266</v>
      </c>
      <c r="K61" s="144" t="n">
        <f aca="false">(K8*'OAT Balance Sheet'!O101)+(K8*'OAT Balance Sheet'!O102)+(K8*'OAT Balance Sheet'!O104)</f>
        <v>790.964788998013</v>
      </c>
      <c r="L61" s="144" t="n">
        <f aca="false">(L8*'OAT Balance Sheet'!P101)+(L8*'OAT Balance Sheet'!P102)+(L8*'OAT Balance Sheet'!P104)</f>
        <v>843.827457322227</v>
      </c>
      <c r="M61" s="144" t="n">
        <f aca="false">(M8*'OAT Balance Sheet'!Q101)+(M8*'OAT Balance Sheet'!Q102)+(M8*'OAT Balance Sheet'!Q104)</f>
        <v>900.223104283701</v>
      </c>
      <c r="N61" s="144" t="n">
        <f aca="false">(N8*'OAT Balance Sheet'!R101)+(N8*'OAT Balance Sheet'!R102)+(N8*'OAT Balance Sheet'!R104)</f>
        <v>960.387849973364</v>
      </c>
    </row>
    <row r="62" customFormat="false" ht="12.75" hidden="false" customHeight="false" outlineLevel="0" collapsed="false">
      <c r="A62" s="70" t="s">
        <v>270</v>
      </c>
      <c r="B62" s="143" t="n">
        <f aca="false">SUM(B60:B61)</f>
        <v>743.7</v>
      </c>
      <c r="C62" s="143" t="n">
        <f aca="false">SUM(C60:C61)</f>
        <v>715.2</v>
      </c>
      <c r="D62" s="96"/>
      <c r="E62" s="143" t="n">
        <f aca="false">SUM(E60:E61)</f>
        <v>762.999068822484</v>
      </c>
      <c r="F62" s="143" t="n">
        <f aca="false">SUM(F60:F61)</f>
        <v>813.992699977597</v>
      </c>
      <c r="G62" s="143" t="n">
        <f aca="false">SUM(G60:G61)</f>
        <v>868.394396128644</v>
      </c>
      <c r="H62" s="143" t="n">
        <f aca="false">SUM(H60:H61)</f>
        <v>926.431928994433</v>
      </c>
      <c r="I62" s="143" t="n">
        <f aca="false">SUM(I60:I61)</f>
        <v>988.348292995204</v>
      </c>
      <c r="J62" s="143" t="n">
        <f aca="false">SUM(J60:J61)</f>
        <v>1054.40272263371</v>
      </c>
      <c r="K62" s="143" t="n">
        <f aca="false">SUM(K60:K61)</f>
        <v>1124.87177787111</v>
      </c>
      <c r="L62" s="143" t="n">
        <f aca="false">SUM(L60:L61)</f>
        <v>1200.05050204187</v>
      </c>
      <c r="M62" s="143" t="n">
        <f aca="false">SUM(M60:M61)</f>
        <v>1280.2536571559</v>
      </c>
      <c r="N62" s="143" t="n">
        <f aca="false">SUM(N60:N61)</f>
        <v>1365.81704175969</v>
      </c>
    </row>
    <row r="63" customFormat="false" ht="12.75" hidden="false" customHeight="false" outlineLevel="0" collapsed="false">
      <c r="A63" s="6"/>
      <c r="B63" s="143"/>
      <c r="C63" s="143"/>
      <c r="D63" s="96"/>
      <c r="E63" s="143"/>
      <c r="F63" s="143"/>
      <c r="G63" s="143"/>
      <c r="H63" s="143"/>
      <c r="I63" s="143"/>
      <c r="J63" s="143"/>
      <c r="K63" s="143"/>
      <c r="L63" s="143"/>
      <c r="M63" s="143"/>
      <c r="N63" s="143"/>
    </row>
    <row r="64" customFormat="false" ht="12.75" hidden="false" customHeight="false" outlineLevel="0" collapsed="false">
      <c r="A64" s="6" t="s">
        <v>271</v>
      </c>
      <c r="B64" s="143" t="n">
        <v>0</v>
      </c>
      <c r="C64" s="143" t="n">
        <v>0</v>
      </c>
      <c r="D64" s="96"/>
      <c r="E64" s="143"/>
      <c r="F64" s="143"/>
      <c r="G64" s="143"/>
      <c r="H64" s="143"/>
      <c r="I64" s="143"/>
      <c r="J64" s="143"/>
      <c r="K64" s="143"/>
      <c r="L64" s="143"/>
      <c r="M64" s="143"/>
      <c r="N64" s="143"/>
    </row>
    <row r="65" customFormat="false" ht="12.75" hidden="false" customHeight="false" outlineLevel="0" collapsed="false">
      <c r="A65" s="6" t="s">
        <v>272</v>
      </c>
      <c r="B65" s="143" t="n">
        <f aca="false">'OAT Balance Sheet'!C43</f>
        <v>523.1</v>
      </c>
      <c r="C65" s="143" t="n">
        <f aca="false">'OAT Balance Sheet'!B43</f>
        <v>518</v>
      </c>
      <c r="D65" s="96"/>
      <c r="E65" s="143" t="n">
        <f aca="false">E8*'OAT Balance Sheet'!I108</f>
        <v>552.619571658343</v>
      </c>
      <c r="F65" s="143" t="n">
        <f aca="false">F8*'OAT Balance Sheet'!J108</f>
        <v>589.552878339479</v>
      </c>
      <c r="G65" s="143" t="n">
        <f aca="false">G8*'OAT Balance Sheet'!K108</f>
        <v>628.954554243061</v>
      </c>
      <c r="H65" s="143" t="n">
        <f aca="false">H8*'OAT Balance Sheet'!L108</f>
        <v>670.989568259391</v>
      </c>
      <c r="I65" s="143" t="n">
        <f aca="false">I8*'OAT Balance Sheet'!M108</f>
        <v>715.833914669345</v>
      </c>
      <c r="J65" s="143" t="n">
        <f aca="false">J8*'OAT Balance Sheet'!N108</f>
        <v>763.675350005961</v>
      </c>
      <c r="K65" s="143" t="n">
        <f aca="false">K8*'OAT Balance Sheet'!O108</f>
        <v>814.714179162797</v>
      </c>
      <c r="L65" s="143" t="n">
        <f aca="false">L8*'OAT Balance Sheet'!P108</f>
        <v>869.164094040392</v>
      </c>
      <c r="M65" s="143" t="n">
        <f aca="false">M8*'OAT Balance Sheet'!Q108</f>
        <v>927.25306824211</v>
      </c>
      <c r="N65" s="143" t="n">
        <f aca="false">N8*'OAT Balance Sheet'!R108</f>
        <v>989.224311565326</v>
      </c>
    </row>
    <row r="66" customFormat="false" ht="12.75" hidden="false" customHeight="false" outlineLevel="0" collapsed="false">
      <c r="A66" s="6" t="s">
        <v>273</v>
      </c>
      <c r="B66" s="143"/>
      <c r="C66" s="143"/>
      <c r="D66" s="116" t="s">
        <v>274</v>
      </c>
      <c r="E66" s="143"/>
      <c r="F66" s="143"/>
      <c r="G66" s="143"/>
      <c r="H66" s="143"/>
      <c r="I66" s="143"/>
      <c r="J66" s="143"/>
      <c r="K66" s="143"/>
      <c r="L66" s="143"/>
      <c r="M66" s="143"/>
      <c r="N66" s="143"/>
    </row>
    <row r="67" customFormat="false" ht="12.75" hidden="false" customHeight="false" outlineLevel="0" collapsed="false">
      <c r="A67" s="11" t="s">
        <v>275</v>
      </c>
      <c r="B67" s="144" t="n">
        <f aca="false">'OAT Balance Sheet'!C33+'OAT Balance Sheet'!C34+'OAT Balance Sheet'!C42</f>
        <v>869.5</v>
      </c>
      <c r="C67" s="144" t="n">
        <f aca="false">'OAT Balance Sheet'!B33+'OAT Balance Sheet'!B34+'OAT Balance Sheet'!B42</f>
        <v>793.7</v>
      </c>
      <c r="D67" s="79" t="s">
        <v>276</v>
      </c>
      <c r="E67" s="144" t="n">
        <f aca="false">($C$67/$C$58)*E58</f>
        <v>833.743185151312</v>
      </c>
      <c r="F67" s="144" t="n">
        <f aca="false">($C$67/$C$58)*F58</f>
        <v>876.753273643787</v>
      </c>
      <c r="G67" s="144" t="n">
        <f aca="false">($C$67/$C$58)*G58</f>
        <v>922.928552973223</v>
      </c>
      <c r="H67" s="144" t="n">
        <f aca="false">($C$67/$C$58)*H58</f>
        <v>972.48056281335</v>
      </c>
      <c r="I67" s="144" t="n">
        <f aca="false">($C$67/$C$58)*I58</f>
        <v>1025.63498070063</v>
      </c>
      <c r="J67" s="144" t="n">
        <f aca="false">($C$67/$C$58)*J58</f>
        <v>1082.63256691214</v>
      </c>
      <c r="K67" s="144" t="n">
        <f aca="false">($C$67/$C$58)*K58</f>
        <v>1143.73017249267</v>
      </c>
      <c r="L67" s="144" t="n">
        <f aca="false">($C$67/$C$58)*L58</f>
        <v>1209.20181465139</v>
      </c>
      <c r="M67" s="144" t="n">
        <f aca="false">($C$67/$C$58)*M58</f>
        <v>1279.33982403066</v>
      </c>
      <c r="N67" s="144" t="n">
        <f aca="false">($C$67/$C$58)*N58</f>
        <v>1354.45606865053</v>
      </c>
    </row>
    <row r="68" customFormat="false" ht="12.75" hidden="false" customHeight="false" outlineLevel="0" collapsed="false">
      <c r="A68" s="70" t="s">
        <v>277</v>
      </c>
      <c r="B68" s="142" t="n">
        <f aca="false">SUM(B62:B67)</f>
        <v>2136.3</v>
      </c>
      <c r="C68" s="142" t="n">
        <f aca="false">SUM(C62:C67)</f>
        <v>2026.9</v>
      </c>
      <c r="D68" s="96"/>
      <c r="E68" s="142" t="n">
        <f aca="false">SUM(E62:E67)</f>
        <v>2149.36182563214</v>
      </c>
      <c r="F68" s="142" t="n">
        <f aca="false">SUM(F62:F67)</f>
        <v>2280.29885196086</v>
      </c>
      <c r="G68" s="142" t="n">
        <f aca="false">SUM(G62:G67)</f>
        <v>2420.27750334493</v>
      </c>
      <c r="H68" s="142" t="n">
        <f aca="false">SUM(H62:H67)</f>
        <v>2569.90206006717</v>
      </c>
      <c r="I68" s="142" t="n">
        <f aca="false">SUM(I62:I67)</f>
        <v>2729.81718836518</v>
      </c>
      <c r="J68" s="142" t="n">
        <f aca="false">SUM(J62:J67)</f>
        <v>2900.71063955182</v>
      </c>
      <c r="K68" s="142" t="n">
        <f aca="false">SUM(K62:K67)</f>
        <v>3083.31612952658</v>
      </c>
      <c r="L68" s="142" t="n">
        <f aca="false">SUM(L62:L67)</f>
        <v>3278.41641073365</v>
      </c>
      <c r="M68" s="142" t="n">
        <f aca="false">SUM(M62:M67)</f>
        <v>3486.84654942867</v>
      </c>
      <c r="N68" s="142" t="n">
        <f aca="false">SUM(N62:N67)</f>
        <v>3709.49742197555</v>
      </c>
    </row>
    <row r="69" customFormat="false" ht="12.75" hidden="false" customHeight="false" outlineLevel="0" collapsed="false">
      <c r="A69" s="11" t="s">
        <v>278</v>
      </c>
      <c r="B69" s="146"/>
      <c r="C69" s="146"/>
      <c r="D69" s="79" t="s">
        <v>279</v>
      </c>
      <c r="E69" s="144"/>
      <c r="F69" s="144"/>
      <c r="G69" s="144"/>
      <c r="H69" s="144"/>
      <c r="I69" s="144"/>
      <c r="J69" s="144"/>
      <c r="K69" s="144"/>
      <c r="L69" s="144"/>
      <c r="M69" s="144"/>
      <c r="N69" s="144"/>
    </row>
    <row r="70" customFormat="false" ht="12.75" hidden="false" customHeight="false" outlineLevel="0" collapsed="false">
      <c r="A70" s="113" t="s">
        <v>280</v>
      </c>
      <c r="B70" s="147"/>
      <c r="C70" s="147"/>
      <c r="D70" s="107"/>
      <c r="E70" s="148"/>
      <c r="F70" s="148"/>
      <c r="G70" s="148"/>
      <c r="H70" s="148"/>
      <c r="I70" s="148"/>
      <c r="J70" s="148"/>
      <c r="K70" s="148"/>
      <c r="L70" s="148"/>
      <c r="M70" s="148"/>
      <c r="N70" s="148"/>
    </row>
    <row r="71" customFormat="false" ht="12.75" hidden="false" customHeight="false" outlineLevel="0" collapsed="false">
      <c r="A71" s="70" t="s">
        <v>281</v>
      </c>
      <c r="B71" s="142"/>
      <c r="C71" s="142"/>
      <c r="D71" s="96" t="s">
        <v>282</v>
      </c>
      <c r="E71" s="143"/>
      <c r="F71" s="143"/>
      <c r="G71" s="143"/>
      <c r="H71" s="143"/>
      <c r="I71" s="143"/>
      <c r="J71" s="143"/>
      <c r="K71" s="143"/>
      <c r="L71" s="143"/>
      <c r="M71" s="143"/>
      <c r="N71" s="143"/>
    </row>
    <row r="72" customFormat="false" ht="12.75" hidden="false" customHeight="false" outlineLevel="0" collapsed="false">
      <c r="A72" s="70"/>
      <c r="B72" s="142"/>
      <c r="C72" s="142"/>
      <c r="D72" s="70"/>
      <c r="E72" s="143"/>
      <c r="F72" s="143"/>
      <c r="G72" s="143"/>
      <c r="H72" s="143"/>
      <c r="I72" s="143"/>
      <c r="J72" s="143"/>
      <c r="K72" s="143"/>
      <c r="L72" s="143"/>
      <c r="M72" s="143"/>
      <c r="N72" s="143"/>
    </row>
    <row r="73" customFormat="false" ht="12.75" hidden="false" customHeight="false" outlineLevel="0" collapsed="false">
      <c r="A73" s="70" t="s">
        <v>283</v>
      </c>
      <c r="B73" s="142"/>
      <c r="C73" s="142"/>
      <c r="D73" s="70"/>
      <c r="E73" s="143"/>
      <c r="F73" s="143"/>
      <c r="G73" s="143"/>
      <c r="H73" s="143"/>
      <c r="I73" s="143"/>
      <c r="J73" s="143"/>
      <c r="K73" s="143"/>
      <c r="L73" s="143"/>
      <c r="M73" s="143"/>
      <c r="N73" s="143"/>
    </row>
    <row r="74" customFormat="false" ht="12.75" hidden="false" customHeight="false" outlineLevel="0" collapsed="false">
      <c r="A74" s="70" t="s">
        <v>284</v>
      </c>
      <c r="B74" s="142"/>
      <c r="C74" s="142"/>
      <c r="D74" s="116" t="s">
        <v>285</v>
      </c>
      <c r="E74" s="143"/>
      <c r="F74" s="143"/>
      <c r="G74" s="143"/>
      <c r="H74" s="143"/>
      <c r="I74" s="143"/>
      <c r="J74" s="143"/>
      <c r="K74" s="143"/>
      <c r="L74" s="143"/>
      <c r="M74" s="143"/>
      <c r="N74" s="143"/>
    </row>
    <row r="75" customFormat="false" ht="12.75" hidden="false" customHeight="false" outlineLevel="0" collapsed="false">
      <c r="A75" s="70" t="s">
        <v>286</v>
      </c>
      <c r="B75" s="142"/>
      <c r="C75" s="142"/>
      <c r="D75" s="116" t="s">
        <v>236</v>
      </c>
      <c r="E75" s="143"/>
      <c r="F75" s="143"/>
      <c r="G75" s="143"/>
      <c r="H75" s="143"/>
      <c r="I75" s="143"/>
      <c r="J75" s="143"/>
      <c r="K75" s="143"/>
      <c r="L75" s="143"/>
      <c r="M75" s="143"/>
      <c r="N75" s="143"/>
    </row>
    <row r="76" customFormat="false" ht="12.75" hidden="false" customHeight="false" outlineLevel="0" collapsed="false">
      <c r="A76" s="70" t="s">
        <v>287</v>
      </c>
      <c r="B76" s="142"/>
      <c r="C76" s="142"/>
      <c r="D76" s="116"/>
      <c r="E76" s="143"/>
      <c r="F76" s="143"/>
      <c r="G76" s="143"/>
      <c r="H76" s="143"/>
      <c r="I76" s="143"/>
      <c r="J76" s="143"/>
      <c r="K76" s="143"/>
      <c r="L76" s="143"/>
      <c r="M76" s="143"/>
      <c r="N76" s="143"/>
    </row>
    <row r="77" customFormat="false" ht="12.75" hidden="false" customHeight="false" outlineLevel="0" collapsed="false">
      <c r="A77" s="70" t="s">
        <v>288</v>
      </c>
      <c r="B77" s="142"/>
      <c r="C77" s="142"/>
      <c r="D77" s="116" t="s">
        <v>236</v>
      </c>
      <c r="E77" s="143"/>
      <c r="F77" s="143"/>
      <c r="G77" s="143"/>
      <c r="H77" s="143"/>
      <c r="I77" s="143"/>
      <c r="J77" s="143"/>
      <c r="K77" s="143"/>
      <c r="L77" s="143"/>
      <c r="M77" s="143"/>
      <c r="N77" s="143"/>
    </row>
    <row r="78" customFormat="false" ht="12.75" hidden="false" customHeight="false" outlineLevel="0" collapsed="false">
      <c r="A78" s="70" t="s">
        <v>289</v>
      </c>
      <c r="B78" s="142"/>
      <c r="C78" s="142"/>
      <c r="D78" s="116"/>
      <c r="E78" s="143"/>
      <c r="F78" s="143"/>
      <c r="G78" s="143"/>
      <c r="H78" s="143"/>
      <c r="I78" s="143"/>
      <c r="J78" s="143"/>
      <c r="K78" s="143"/>
      <c r="L78" s="143"/>
      <c r="M78" s="143"/>
      <c r="N78" s="143"/>
    </row>
    <row r="79" customFormat="false" ht="12.75" hidden="false" customHeight="false" outlineLevel="0" collapsed="false">
      <c r="A79" s="70" t="s">
        <v>290</v>
      </c>
      <c r="B79" s="142"/>
      <c r="C79" s="142"/>
      <c r="D79" s="116" t="s">
        <v>236</v>
      </c>
      <c r="E79" s="143"/>
      <c r="F79" s="143"/>
      <c r="G79" s="143"/>
      <c r="H79" s="143"/>
      <c r="I79" s="143"/>
      <c r="J79" s="143"/>
      <c r="K79" s="143"/>
      <c r="L79" s="143"/>
      <c r="M79" s="143"/>
      <c r="N79" s="143"/>
    </row>
    <row r="80" customFormat="false" ht="12.75" hidden="false" customHeight="false" outlineLevel="0" collapsed="false">
      <c r="A80" s="70"/>
      <c r="B80" s="142"/>
      <c r="C80" s="142"/>
      <c r="D80" s="116" t="s">
        <v>282</v>
      </c>
      <c r="E80" s="143"/>
      <c r="F80" s="143"/>
      <c r="G80" s="143"/>
      <c r="H80" s="143"/>
      <c r="I80" s="143"/>
      <c r="J80" s="143"/>
      <c r="K80" s="143"/>
      <c r="L80" s="143"/>
      <c r="M80" s="143"/>
      <c r="N80" s="143"/>
    </row>
    <row r="81" customFormat="false" ht="12.75" hidden="false" customHeight="false" outlineLevel="0" collapsed="false">
      <c r="A81" s="70"/>
      <c r="B81" s="142"/>
      <c r="C81" s="142"/>
      <c r="D81" s="149"/>
      <c r="E81" s="143"/>
      <c r="F81" s="143"/>
      <c r="G81" s="143"/>
      <c r="H81" s="143"/>
      <c r="I81" s="143"/>
      <c r="J81" s="143"/>
      <c r="K81" s="143"/>
      <c r="L81" s="143"/>
      <c r="M81" s="143"/>
      <c r="N81" s="143"/>
    </row>
    <row r="82" customFormat="false" ht="12.75" hidden="false" customHeight="false" outlineLevel="0" collapsed="false">
      <c r="A82" s="70" t="s">
        <v>291</v>
      </c>
      <c r="B82" s="142"/>
      <c r="C82" s="142"/>
      <c r="D82" s="116" t="s">
        <v>292</v>
      </c>
      <c r="E82" s="143"/>
      <c r="F82" s="143"/>
      <c r="G82" s="143"/>
      <c r="H82" s="143"/>
      <c r="I82" s="143"/>
      <c r="J82" s="143"/>
      <c r="K82" s="143"/>
      <c r="L82" s="143"/>
      <c r="M82" s="143"/>
      <c r="N82" s="143"/>
    </row>
    <row r="83" customFormat="false" ht="12.75" hidden="false" customHeight="false" outlineLevel="0" collapsed="false">
      <c r="A83" s="70" t="s">
        <v>293</v>
      </c>
      <c r="B83" s="142"/>
      <c r="C83" s="142"/>
      <c r="D83" s="116"/>
      <c r="E83" s="143"/>
      <c r="F83" s="143"/>
      <c r="G83" s="143"/>
      <c r="H83" s="143"/>
      <c r="I83" s="143"/>
      <c r="J83" s="143"/>
      <c r="K83" s="143"/>
      <c r="L83" s="143"/>
      <c r="M83" s="143"/>
      <c r="N83" s="143"/>
    </row>
    <row r="84" customFormat="false" ht="12.75" hidden="false" customHeight="false" outlineLevel="0" collapsed="false">
      <c r="A84" s="76" t="s">
        <v>294</v>
      </c>
      <c r="B84" s="142"/>
      <c r="C84" s="142"/>
      <c r="D84" s="150" t="s">
        <v>295</v>
      </c>
      <c r="E84" s="143"/>
      <c r="F84" s="143"/>
      <c r="G84" s="143"/>
      <c r="H84" s="143"/>
      <c r="I84" s="143"/>
      <c r="J84" s="143"/>
      <c r="K84" s="143"/>
      <c r="L84" s="143"/>
      <c r="M84" s="143"/>
      <c r="N84" s="143"/>
    </row>
    <row r="85" customFormat="false" ht="12.75" hidden="false" customHeight="false" outlineLevel="0" collapsed="false">
      <c r="A85" s="70" t="s">
        <v>296</v>
      </c>
      <c r="B85" s="142"/>
      <c r="C85" s="142"/>
      <c r="D85" s="150" t="s">
        <v>297</v>
      </c>
      <c r="E85" s="143"/>
      <c r="F85" s="143"/>
      <c r="G85" s="143"/>
      <c r="H85" s="143"/>
      <c r="I85" s="143"/>
      <c r="J85" s="143"/>
      <c r="K85" s="143"/>
      <c r="L85" s="143"/>
      <c r="M85" s="143"/>
      <c r="N85" s="143"/>
    </row>
    <row r="86" customFormat="false" ht="12.75" hidden="false" customHeight="false" outlineLevel="0" collapsed="false">
      <c r="A86" s="70" t="s">
        <v>298</v>
      </c>
      <c r="B86" s="142"/>
      <c r="C86" s="142"/>
      <c r="D86" s="116" t="s">
        <v>299</v>
      </c>
      <c r="E86" s="143"/>
      <c r="F86" s="143"/>
      <c r="G86" s="143"/>
      <c r="H86" s="143"/>
      <c r="I86" s="143"/>
      <c r="J86" s="143"/>
      <c r="K86" s="143"/>
      <c r="L86" s="143"/>
      <c r="M86" s="143"/>
      <c r="N86" s="143"/>
    </row>
    <row r="87" customFormat="false" ht="12.75" hidden="false" customHeight="false" outlineLevel="0" collapsed="false">
      <c r="A87" s="70" t="s">
        <v>300</v>
      </c>
      <c r="B87" s="142"/>
      <c r="C87" s="142"/>
      <c r="D87" s="116" t="s">
        <v>301</v>
      </c>
      <c r="E87" s="143"/>
      <c r="F87" s="143"/>
      <c r="G87" s="143"/>
      <c r="H87" s="143"/>
      <c r="I87" s="143"/>
      <c r="J87" s="143"/>
      <c r="K87" s="143"/>
      <c r="L87" s="143"/>
      <c r="M87" s="143"/>
      <c r="N87" s="143"/>
    </row>
    <row r="88" customFormat="false" ht="12.75" hidden="false" customHeight="false" outlineLevel="0" collapsed="false">
      <c r="A88" s="76" t="s">
        <v>302</v>
      </c>
      <c r="B88" s="142"/>
      <c r="C88" s="142"/>
      <c r="D88" s="116"/>
      <c r="E88" s="143"/>
      <c r="F88" s="143"/>
      <c r="G88" s="143"/>
      <c r="H88" s="143"/>
      <c r="I88" s="143"/>
      <c r="J88" s="143"/>
      <c r="K88" s="143"/>
      <c r="L88" s="143"/>
      <c r="M88" s="143"/>
      <c r="N88" s="143"/>
    </row>
    <row r="89" customFormat="false" ht="12.75" hidden="false" customHeight="false" outlineLevel="0" collapsed="false">
      <c r="A89" s="76" t="s">
        <v>303</v>
      </c>
      <c r="B89" s="142"/>
      <c r="C89" s="142"/>
      <c r="D89" s="150" t="s">
        <v>304</v>
      </c>
      <c r="E89" s="143"/>
      <c r="F89" s="143"/>
      <c r="G89" s="143"/>
      <c r="H89" s="143"/>
      <c r="I89" s="143"/>
      <c r="J89" s="143"/>
      <c r="K89" s="143"/>
      <c r="L89" s="143"/>
      <c r="M89" s="143"/>
      <c r="N89" s="1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2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E28" activeCellId="0" sqref="E28"/>
    </sheetView>
  </sheetViews>
  <sheetFormatPr defaultColWidth="9.28515625" defaultRowHeight="11.2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2001-04-06T22:41:02Z</dcterms:created>
  <dc:creator>Prentice Sellers</dc:creator>
  <dc:description/>
  <dc:language>en-US</dc:language>
  <cp:lastModifiedBy>jdasovic</cp:lastModifiedBy>
  <cp:lastPrinted>2001-04-12T21:22:37Z</cp:lastPrinted>
  <dcterms:modified xsi:type="dcterms:W3CDTF">2001-04-16T03:35:01Z</dcterms:modified>
  <cp:revision>0</cp:revision>
  <dc:subject/>
  <dc:title/>
</cp:coreProperties>
</file>