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28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comments26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comments18.xml" ContentType="application/vnd.openxmlformats-officedocument.spreadsheetml.comments+xml"/>
  <Override PartName="/xl/theme/theme1.xml" ContentType="application/vnd.openxmlformats-officedocument.theme+xml"/>
  <Override PartName="/xl/worksheets/_rels/sheet10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19.xml" ContentType="application/vnd.openxmlformats-officedocument.spreadsheetml.comment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" sheetId="1" state="visible" r:id="rId3"/>
    <sheet name="Natural Gas" sheetId="2" state="visible" r:id="rId4"/>
    <sheet name="East Power" sheetId="3" state="visible" r:id="rId5"/>
    <sheet name="West Power" sheetId="4" state="visible" r:id="rId6"/>
    <sheet name="Canada" sheetId="5" state="visible" r:id="rId7"/>
    <sheet name="Office of the Chair" sheetId="6" state="visible" r:id="rId8"/>
    <sheet name="Fin Ops" sheetId="7" state="visible" r:id="rId9"/>
    <sheet name="Mexico" sheetId="8" state="hidden" r:id="rId10"/>
    <sheet name="Cash Ops" sheetId="9" state="visible" r:id="rId11"/>
    <sheet name="SAP" sheetId="10" state="hidden" r:id="rId12"/>
    <sheet name="Tax" sheetId="11" state="visible" r:id="rId13"/>
    <sheet name="Reg Affairs" sheetId="12" state="visible" r:id="rId14"/>
    <sheet name="Credit" sheetId="13" state="visible" r:id="rId15"/>
    <sheet name="Research" sheetId="14" state="hidden" r:id="rId16"/>
    <sheet name="Mkt Risk" sheetId="15" state="visible" r:id="rId17"/>
    <sheet name="EOPs" sheetId="16" state="visible" r:id="rId18"/>
    <sheet name="HR" sheetId="17" state="visible" r:id="rId19"/>
    <sheet name="IT Dev-EOL" sheetId="18" state="visible" r:id="rId20"/>
    <sheet name="IT Infra" sheetId="19" state="visible" r:id="rId21"/>
    <sheet name="EOL Support" sheetId="20" state="visible" r:id="rId22"/>
    <sheet name="Canada Support" sheetId="21" state="visible" r:id="rId23"/>
    <sheet name="Legal" sheetId="22" state="visible" r:id="rId24"/>
    <sheet name="Fundies-All" sheetId="23" state="visible" r:id="rId25"/>
    <sheet name="Struct" sheetId="24" state="visible" r:id="rId26"/>
    <sheet name="Weather" sheetId="25" state="visible" r:id="rId27"/>
    <sheet name="IT Dev" sheetId="26" state="hidden" r:id="rId28"/>
    <sheet name="IT EOL" sheetId="27" state="hidden" r:id="rId29"/>
    <sheet name="IT All" sheetId="28" state="hidden" r:id="rId30"/>
    <sheet name="Fundies-Hou" sheetId="29" state="hidden" r:id="rId31"/>
    <sheet name="Competitive Ana" sheetId="30" state="hidden" r:id="rId32"/>
    <sheet name="Gas - Fund" sheetId="31" state="hidden" r:id="rId33"/>
    <sheet name="East - Fund" sheetId="32" state="hidden" r:id="rId34"/>
    <sheet name="West - Fund" sheetId="33" state="hidden" r:id="rId35"/>
    <sheet name="West - Struct" sheetId="34" state="hidden" r:id="rId36"/>
    <sheet name="Gas - Struct" sheetId="35" state="hidden" r:id="rId37"/>
    <sheet name="East - Struct" sheetId="36" state="hidden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function="false" hidden="false" localSheetId="4" name="_xlnm.Print_Area" vbProcedure="false">Canada!$B$1:$L$39</definedName>
    <definedName function="false" hidden="false" localSheetId="20" name="_xlnm.Print_Area" vbProcedure="false">'Canada Support'!$A$1:$N$51</definedName>
    <definedName function="false" hidden="false" localSheetId="8" name="_xlnm.Print_Area" vbProcedure="false">'Cash Ops'!$B$1:$H$29</definedName>
    <definedName function="false" hidden="false" localSheetId="29" name="_xlnm.Print_Area" vbProcedure="false">'Competitive Ana'!$B$1:$L$43</definedName>
    <definedName function="false" hidden="false" localSheetId="12" name="_xlnm.Print_Area" vbProcedure="false">Credit!$A$1:$M$40</definedName>
    <definedName function="false" hidden="false" localSheetId="31" name="_xlnm.Print_Area" vbProcedure="false">'East - Fund'!$B$1:$H$29</definedName>
    <definedName function="false" hidden="false" localSheetId="35" name="_xlnm.Print_Area" vbProcedure="false">'East - Struct'!$B$1:$H$29</definedName>
    <definedName function="false" hidden="false" localSheetId="2" name="_xlnm.Print_Area" vbProcedure="false">'East Power'!$B$1:$H$29</definedName>
    <definedName function="false" hidden="false" localSheetId="19" name="_xlnm.Print_Area" vbProcedure="false">'EOL Support'!$A$1:$P$39</definedName>
    <definedName function="false" hidden="false" localSheetId="15" name="_xlnm.Print_Area" vbProcedure="false">EOPs!$A$1:$M$39</definedName>
    <definedName function="false" hidden="false" localSheetId="6" name="_xlnm.Print_Area" vbProcedure="false">'Fin Ops'!$B$1:$H$29</definedName>
    <definedName function="false" hidden="false" localSheetId="22" name="_xlnm.Print_Area" vbProcedure="false">'Fundies-All'!$B$1:$L$34</definedName>
    <definedName function="false" hidden="false" localSheetId="28" name="_xlnm.Print_Area" vbProcedure="false">'Fundies-Hou'!$B$1:$L$34</definedName>
    <definedName function="false" hidden="false" localSheetId="30" name="_xlnm.Print_Area" vbProcedure="false">'Gas - Fund'!$B$1:$L$34</definedName>
    <definedName function="false" hidden="false" localSheetId="34" name="_xlnm.Print_Area" vbProcedure="false">'Gas - Struct'!$B$1:$L$34</definedName>
    <definedName function="false" hidden="false" localSheetId="16" name="_xlnm.Print_Area" vbProcedure="false">HR!$B$1:$L$40</definedName>
    <definedName function="false" hidden="false" localSheetId="27" name="_xlnm.Print_Area" vbProcedure="false">'IT All'!$B$1:$O$49</definedName>
    <definedName function="false" hidden="false" localSheetId="25" name="_xlnm.Print_Area" vbProcedure="false">'IT Dev'!$B$1:$O$49</definedName>
    <definedName function="false" hidden="false" localSheetId="17" name="_xlnm.Print_Area" vbProcedure="false">'IT Dev-EOL'!$B$1:$O$49</definedName>
    <definedName function="false" hidden="false" localSheetId="26" name="_xlnm.Print_Area" vbProcedure="false">'IT EOL'!$B$1:$M$39</definedName>
    <definedName function="false" hidden="false" localSheetId="18" name="_xlnm.Print_Area" vbProcedure="false">'IT Infra'!$B$1:$R$46</definedName>
    <definedName function="false" hidden="false" localSheetId="21" name="_xlnm.Print_Area" vbProcedure="false">Legal!$B$1:$F$29</definedName>
    <definedName function="false" hidden="false" localSheetId="7" name="_xlnm.Print_Area" vbProcedure="false">Mexico!$B$1:$F$29</definedName>
    <definedName function="false" hidden="false" localSheetId="14" name="_xlnm.Print_Area" vbProcedure="false">'Mkt Risk'!$B$1:$M$41</definedName>
    <definedName function="false" hidden="false" localSheetId="1" name="_xlnm.Print_Area" vbProcedure="false">'Natural Gas'!$B$1:$L$34</definedName>
    <definedName function="false" hidden="false" localSheetId="5" name="_xlnm.Print_Area" vbProcedure="false">'Office of the Chair'!$B$1:$M$40</definedName>
    <definedName function="false" hidden="false" localSheetId="11" name="_xlnm.Print_Area" vbProcedure="false">'Reg Affairs'!$B$1:$L$39</definedName>
    <definedName function="false" hidden="false" localSheetId="13" name="_xlnm.Print_Area" vbProcedure="false">Research!$B$1:$M$41</definedName>
    <definedName function="false" hidden="false" localSheetId="9" name="_xlnm.Print_Area" vbProcedure="false">SAP!$B$1:$M$40</definedName>
    <definedName function="false" hidden="false" localSheetId="23" name="_xlnm.Print_Area" vbProcedure="false">Struct!$B$1:$O$35</definedName>
    <definedName function="false" hidden="false" localSheetId="0" name="_xlnm.Print_Area" vbProcedure="false">'Summary 2002'!$A$1:$T$89</definedName>
    <definedName function="false" hidden="false" localSheetId="10" name="_xlnm.Print_Area" vbProcedure="false">Tax!$B$1:$F$29</definedName>
    <definedName function="false" hidden="false" localSheetId="24" name="_xlnm.Print_Area" vbProcedure="false">Weather!$B$1:$L$34</definedName>
    <definedName function="false" hidden="false" localSheetId="32" name="_xlnm.Print_Area" vbProcedure="false">'West - Fund'!$B$1:$O$35</definedName>
    <definedName function="false" hidden="false" localSheetId="33" name="_xlnm.Print_Area" vbProcedure="false">'West - Struct'!$B$1:$O$35</definedName>
    <definedName function="false" hidden="false" localSheetId="3" name="_xlnm.Print_Area" vbProcedure="false">'West Power'!$B$1:$O$35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7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3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1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2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2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<sst xmlns="http://schemas.openxmlformats.org/spreadsheetml/2006/main" count="2857" uniqueCount="222">
  <si>
    <t xml:space="preserve">Enron North America</t>
  </si>
  <si>
    <t xml:space="preserve">2002 Expenses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</si>
  <si>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</si>
  <si>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</si>
  <si>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</si>
  <si>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</si>
  <si>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</si>
  <si>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</si>
  <si>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</si>
  <si>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</si>
  <si>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Trading/Orig (includes Mexico)</t>
  </si>
  <si>
    <t xml:space="preserve"> </t>
  </si>
  <si>
    <t xml:space="preserve">East Power Trading/Orig</t>
  </si>
  <si>
    <t xml:space="preserve">West Power Trading/Origination- Portland</t>
  </si>
  <si>
    <t xml:space="preserve">Canada Gas/Power Trading/Orig</t>
  </si>
  <si>
    <t xml:space="preserve">Mexico</t>
  </si>
  <si>
    <t xml:space="preserve">HPL/Upstream/Bridgeline</t>
  </si>
  <si>
    <t xml:space="preserve">Merchant</t>
  </si>
  <si>
    <t xml:space="preserve">Office of the Chairman</t>
  </si>
  <si>
    <t xml:space="preserve">Total Commercial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</si>
  <si>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</si>
  <si>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</si>
  <si>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</si>
  <si>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</si>
  <si>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</si>
  <si>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</si>
  <si>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</si>
  <si>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</si>
  <si>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</si>
  <si>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</si>
  <si>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</si>
  <si>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</si>
  <si>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</si>
  <si>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</si>
  <si>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</si>
  <si>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</si>
  <si>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</si>
  <si>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</si>
  <si>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</si>
  <si>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</si>
  <si>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</si>
  <si>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</si>
  <si>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</si>
  <si>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</si>
  <si>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</si>
  <si>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</si>
  <si>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</si>
  <si>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</si>
  <si>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</si>
  <si>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</si>
  <si>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</si>
  <si>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</si>
  <si>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</si>
  <si>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</si>
  <si>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</si>
  <si>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</si>
  <si>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</si>
  <si>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</si>
  <si>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</si>
  <si>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</si>
  <si>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</si>
  <si>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</si>
  <si>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</si>
  <si>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</si>
  <si>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</si>
  <si>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</si>
  <si>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</si>
  <si>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</si>
  <si>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</si>
  <si>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</si>
  <si>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</si>
  <si>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</si>
  <si>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</si>
  <si>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</si>
  <si>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</si>
  <si>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</si>
  <si>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</si>
  <si>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</si>
  <si>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</si>
  <si>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</si>
  <si>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</si>
  <si>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</si>
  <si>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</si>
  <si>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</si>
  <si>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</si>
  <si>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</si>
  <si>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</si>
  <si>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</si>
  <si>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</si>
  <si>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</si>
  <si>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</si>
  <si>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</si>
  <si>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</si>
  <si>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</si>
  <si>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</si>
  <si>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</si>
  <si>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</si>
  <si>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</si>
  <si>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</si>
  <si>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</si>
  <si>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</si>
  <si>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</si>
  <si>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</si>
  <si>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</si>
  <si>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</si>
  <si>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</si>
  <si>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</si>
  <si>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</si>
  <si>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</si>
  <si>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</si>
  <si>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</si>
  <si>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</si>
  <si>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</si>
  <si>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</si>
  <si>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</si>
  <si>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</si>
  <si>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</si>
  <si>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</si>
  <si>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</si>
  <si>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</si>
  <si>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</si>
  <si>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</si>
  <si>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</si>
  <si>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</si>
  <si>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</si>
  <si>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</si>
  <si>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West Power </t>
  </si>
  <si>
    <t xml:space="preserve">% of </t>
  </si>
  <si>
    <t xml:space="preserve">Total Exp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</si>
  <si>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</si>
  <si>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</si>
  <si>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</si>
  <si>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</si>
  <si>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</si>
  <si>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</si>
  <si>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</si>
  <si>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</si>
  <si>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</si>
  <si>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</si>
  <si>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</si>
  <si>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</si>
  <si>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</si>
  <si>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</si>
  <si>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</si>
  <si>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</si>
  <si>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</si>
  <si>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</si>
  <si>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</si>
  <si>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</si>
  <si>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</si>
  <si>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</si>
  <si>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</si>
  <si>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</si>
  <si>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</si>
  <si>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</si>
  <si>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</si>
  <si>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</si>
  <si>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</si>
  <si>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</si>
  <si>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</si>
  <si>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</si>
  <si>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</si>
  <si>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</si>
  <si>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</si>
  <si>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</si>
  <si>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</si>
  <si>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</si>
  <si>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</si>
  <si>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</si>
  <si>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</si>
  <si>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</si>
  <si>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</si>
  <si>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</si>
  <si>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</si>
  <si>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</si>
  <si>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</si>
  <si>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</si>
  <si>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</si>
  <si>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</si>
  <si>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</si>
  <si>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</si>
  <si>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</si>
  <si>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</si>
  <si>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</si>
  <si>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</si>
  <si>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</si>
  <si>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</si>
  <si>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</si>
  <si>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</si>
  <si>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</si>
  <si>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</si>
  <si>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</si>
  <si>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</si>
  <si>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</si>
  <si>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</si>
  <si>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</si>
  <si>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</si>
  <si>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</si>
  <si>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</si>
  <si>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</si>
  <si>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</si>
  <si>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</si>
  <si>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</si>
  <si>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</si>
  <si>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</si>
  <si>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</si>
  <si>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</si>
  <si>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</si>
  <si>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</si>
  <si>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</si>
  <si>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</si>
  <si>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</si>
  <si>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</si>
  <si>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</si>
  <si>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</si>
  <si>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</si>
  <si>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Natural Gas Fundamentals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</si>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</sst>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externalLink" Target="externalLinks/externalLink1.xml"/><Relationship Id="rId4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5.xml"/><Relationship Id="rId44" Type="http://schemas.openxmlformats.org/officeDocument/2006/relationships/externalLink" Target="externalLinks/externalLink6.xml"/><Relationship Id="rId4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2.xml"/><Relationship Id="rId5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15.xml"/><Relationship Id="rId54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20.xml"/><Relationship Id="rId5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2.v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vmlDrawing" Target="../drawings/vmlDrawing3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4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5.v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comments" Target="../comments28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2</v>
      </c>
      <c r="I4" s="1"/>
      <c r="J4" s="4" t="n">
        <v>2000</v>
      </c>
      <c r="L4" s="4" t="s">
        <v>3</v>
      </c>
      <c r="N4" s="4" t="n">
        <v>2001</v>
      </c>
      <c r="P4" s="4" t="s">
        <v>4</v>
      </c>
      <c r="T4" s="4" t="s">
        <v>4</v>
      </c>
    </row>
    <row r="5" customFormat="false" ht="13.5" hidden="false" customHeight="false" outlineLevel="0" collapsed="false">
      <c r="E5" s="4" t="s">
        <v>5</v>
      </c>
      <c r="G5" s="5" t="s">
        <v>6</v>
      </c>
      <c r="H5" s="6" t="s">
        <v>7</v>
      </c>
      <c r="I5" s="1"/>
      <c r="J5" s="6" t="s">
        <v>8</v>
      </c>
      <c r="K5" s="1"/>
      <c r="L5" s="6" t="s">
        <v>7</v>
      </c>
      <c r="M5" s="7"/>
      <c r="N5" s="6" t="s">
        <v>8</v>
      </c>
      <c r="O5" s="7"/>
      <c r="P5" s="6" t="s">
        <v>7</v>
      </c>
      <c r="R5" s="4" t="s">
        <v>9</v>
      </c>
      <c r="T5" s="6" t="s">
        <v>8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10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11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11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12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13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14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15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16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11</v>
      </c>
      <c r="K19" s="12"/>
      <c r="L19" s="11"/>
      <c r="M19" s="12"/>
      <c r="N19" s="14" t="s">
        <v>11</v>
      </c>
      <c r="O19" s="12"/>
      <c r="P19" s="11"/>
      <c r="Q19" s="12"/>
      <c r="R19" s="11"/>
      <c r="T19" s="14" t="s">
        <v>11</v>
      </c>
      <c r="V19" s="16"/>
    </row>
    <row r="20" customFormat="false" ht="12.75" hidden="true" customHeight="false" outlineLevel="0" collapsed="false">
      <c r="B20" s="0" t="s">
        <v>17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18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19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20</v>
      </c>
      <c r="H26" s="25" t="n">
        <v>14</v>
      </c>
      <c r="I26" s="26"/>
      <c r="J26" s="13" t="n">
        <v>128</v>
      </c>
      <c r="L26" s="14" t="n">
        <v>7.9</v>
      </c>
      <c r="M26" s="0" t="s">
        <v>11</v>
      </c>
      <c r="N26" s="14" t="n">
        <v>122</v>
      </c>
      <c r="P26" s="11" t="n">
        <v>6.8</v>
      </c>
      <c r="R26" s="27" t="n">
        <f aca="false">G26-P26</f>
        <v>-6.8</v>
      </c>
      <c r="T26" s="14" t="n">
        <v>45</v>
      </c>
      <c r="U26" s="0" t="s">
        <v>11</v>
      </c>
      <c r="V26" s="0" t="s">
        <v>11</v>
      </c>
      <c r="W26" s="0" t="s">
        <v>11</v>
      </c>
      <c r="X26" s="0" t="s">
        <v>11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7"/>
      <c r="T27" s="14"/>
    </row>
    <row r="28" customFormat="false" ht="12.75" hidden="false" customHeight="false" outlineLevel="0" collapsed="false">
      <c r="B28" s="0" t="s">
        <v>21</v>
      </c>
      <c r="E28" s="0" t="s">
        <v>11</v>
      </c>
      <c r="H28" s="14" t="n">
        <v>5.7</v>
      </c>
      <c r="I28" s="16"/>
      <c r="J28" s="13" t="n">
        <v>30</v>
      </c>
      <c r="L28" s="14" t="n">
        <v>2.5</v>
      </c>
      <c r="M28" s="0" t="s">
        <v>11</v>
      </c>
      <c r="N28" s="14" t="n">
        <f aca="false">28+7</f>
        <v>35</v>
      </c>
      <c r="P28" s="11" t="n">
        <f aca="false">1.1+1</f>
        <v>2.1</v>
      </c>
      <c r="R28" s="27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11</v>
      </c>
      <c r="N29" s="14"/>
      <c r="P29" s="11"/>
      <c r="R29" s="27"/>
      <c r="T29" s="14"/>
    </row>
    <row r="30" customFormat="false" ht="12.75" hidden="false" customHeight="false" outlineLevel="0" collapsed="false">
      <c r="B30" s="0" t="s">
        <v>22</v>
      </c>
      <c r="H30" s="14" t="n">
        <v>11.4</v>
      </c>
      <c r="I30" s="16"/>
      <c r="J30" s="15" t="s">
        <v>11</v>
      </c>
      <c r="L30" s="14" t="n">
        <v>9.5</v>
      </c>
      <c r="M30" s="0" t="s">
        <v>11</v>
      </c>
      <c r="N30" s="13"/>
      <c r="P30" s="11" t="n">
        <v>2.2</v>
      </c>
      <c r="R30" s="27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11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23</v>
      </c>
      <c r="H32" s="14" t="n">
        <v>11.4</v>
      </c>
      <c r="I32" s="16"/>
      <c r="J32" s="15" t="s">
        <v>11</v>
      </c>
      <c r="L32" s="25" t="n">
        <v>7.3</v>
      </c>
      <c r="N32" s="15"/>
      <c r="P32" s="11" t="n">
        <v>2.3</v>
      </c>
      <c r="R32" s="27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24</v>
      </c>
      <c r="H34" s="14" t="n">
        <v>1.2</v>
      </c>
      <c r="I34" s="16"/>
      <c r="J34" s="15" t="n">
        <v>0</v>
      </c>
      <c r="L34" s="14" t="n">
        <v>0.7</v>
      </c>
      <c r="M34" s="0" t="s">
        <v>11</v>
      </c>
      <c r="N34" s="14" t="n">
        <v>26</v>
      </c>
      <c r="P34" s="11" t="n">
        <v>2.2</v>
      </c>
      <c r="R34" s="27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7"/>
      <c r="T35" s="14"/>
    </row>
    <row r="36" customFormat="false" ht="12.75" hidden="true" customHeight="false" outlineLevel="0" collapsed="false">
      <c r="B36" s="0" t="s">
        <v>25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7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11</v>
      </c>
      <c r="L37" s="14"/>
      <c r="N37" s="14" t="s">
        <v>11</v>
      </c>
      <c r="P37" s="11"/>
      <c r="R37" s="14"/>
      <c r="T37" s="14" t="s">
        <v>11</v>
      </c>
    </row>
    <row r="38" customFormat="false" ht="12.75" hidden="false" customHeight="false" outlineLevel="0" collapsed="false">
      <c r="B38" s="0" t="s">
        <v>26</v>
      </c>
      <c r="H38" s="14"/>
      <c r="I38" s="16"/>
      <c r="J38" s="15" t="s">
        <v>11</v>
      </c>
      <c r="L38" s="14"/>
      <c r="M38" s="0" t="s">
        <v>11</v>
      </c>
      <c r="N38" s="14"/>
      <c r="P38" s="11"/>
      <c r="R38" s="27"/>
      <c r="T38" s="14"/>
    </row>
    <row r="39" customFormat="false" ht="12.75" hidden="false" customHeight="false" outlineLevel="0" collapsed="false">
      <c r="C39" s="0" t="s">
        <v>27</v>
      </c>
      <c r="H39" s="14" t="n">
        <v>10.2</v>
      </c>
      <c r="I39" s="16"/>
      <c r="J39" s="13" t="s">
        <v>11</v>
      </c>
      <c r="L39" s="25" t="n">
        <v>7.6</v>
      </c>
      <c r="N39" s="11"/>
      <c r="P39" s="11" t="n">
        <f aca="false">(T39/$T$49)*$P$49</f>
        <v>5.35652173913044</v>
      </c>
      <c r="R39" s="27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28</v>
      </c>
      <c r="H40" s="14" t="n">
        <v>8.6</v>
      </c>
      <c r="I40" s="16"/>
      <c r="J40" s="13" t="s">
        <v>11</v>
      </c>
      <c r="L40" s="25" t="n">
        <v>6</v>
      </c>
      <c r="N40" s="11"/>
      <c r="P40" s="11" t="n">
        <f aca="false">(T40/$T$49)*$P$49</f>
        <v>6.52826086956522</v>
      </c>
      <c r="R40" s="27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29</v>
      </c>
      <c r="H41" s="14" t="n">
        <v>5.9</v>
      </c>
      <c r="I41" s="16"/>
      <c r="J41" s="13" t="s">
        <v>11</v>
      </c>
      <c r="L41" s="25" t="n">
        <v>4</v>
      </c>
      <c r="N41" s="11"/>
      <c r="P41" s="11" t="n">
        <f aca="false">(T41/$T$49)*$P$49</f>
        <v>4.85434782608696</v>
      </c>
      <c r="R41" s="27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30</v>
      </c>
      <c r="H42" s="14" t="n">
        <v>3.1</v>
      </c>
      <c r="I42" s="16"/>
      <c r="J42" s="15" t="s">
        <v>11</v>
      </c>
      <c r="L42" s="14" t="n">
        <v>2.7</v>
      </c>
      <c r="N42" s="11"/>
      <c r="P42" s="11" t="n">
        <f aca="false">(T42/$T$49)*$P$49</f>
        <v>1.00434782608696</v>
      </c>
      <c r="R42" s="27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31</v>
      </c>
      <c r="H43" s="14" t="n">
        <v>2.7</v>
      </c>
      <c r="I43" s="16"/>
      <c r="J43" s="15" t="s">
        <v>11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7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32</v>
      </c>
      <c r="H44" s="14" t="n">
        <v>2.7</v>
      </c>
      <c r="I44" s="16"/>
      <c r="J44" s="15" t="s">
        <v>11</v>
      </c>
      <c r="L44" s="14" t="n">
        <v>2.1</v>
      </c>
      <c r="N44" s="11"/>
      <c r="P44" s="11" t="n">
        <f aca="false">(T44/$T$49)*$P$49</f>
        <v>1.84130434782609</v>
      </c>
      <c r="R44" s="27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33</v>
      </c>
      <c r="H45" s="14" t="n">
        <v>2.7</v>
      </c>
      <c r="I45" s="16"/>
      <c r="J45" s="15" t="s">
        <v>11</v>
      </c>
      <c r="L45" s="14" t="n">
        <v>2.5</v>
      </c>
      <c r="N45" s="11"/>
      <c r="P45" s="11" t="n">
        <f aca="false">(T45/$T$49)*$P$49</f>
        <v>1.33913043478261</v>
      </c>
      <c r="R45" s="27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34</v>
      </c>
      <c r="H46" s="17" t="n">
        <v>3.3</v>
      </c>
      <c r="I46" s="16"/>
      <c r="J46" s="29" t="s">
        <v>11</v>
      </c>
      <c r="L46" s="17" t="n">
        <v>2.9</v>
      </c>
      <c r="N46" s="18"/>
      <c r="P46" s="11" t="n">
        <f aca="false">(T46/$T$49)*$P$49</f>
        <v>2.34347826086957</v>
      </c>
      <c r="R46" s="27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35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7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36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7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37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38</v>
      </c>
      <c r="H51" s="14" t="n">
        <v>10.7</v>
      </c>
      <c r="I51" s="16"/>
      <c r="J51" s="13" t="n">
        <v>39</v>
      </c>
      <c r="L51" s="14" t="n">
        <v>4.1</v>
      </c>
      <c r="M51" s="0" t="s">
        <v>11</v>
      </c>
      <c r="N51" s="33" t="n">
        <v>105</v>
      </c>
      <c r="P51" s="11" t="n">
        <v>1.6</v>
      </c>
      <c r="R51" s="27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39</v>
      </c>
      <c r="H53" s="14" t="n">
        <v>27.5</v>
      </c>
      <c r="I53" s="16"/>
      <c r="J53" s="13" t="n">
        <v>175</v>
      </c>
      <c r="L53" s="25" t="n">
        <v>29</v>
      </c>
      <c r="M53" s="0" t="s">
        <v>11</v>
      </c>
      <c r="N53" s="33"/>
      <c r="P53" s="11" t="n">
        <v>36</v>
      </c>
      <c r="R53" s="27" t="n">
        <f aca="false">G53-P53</f>
        <v>-36</v>
      </c>
      <c r="T53" s="33" t="n">
        <v>140</v>
      </c>
      <c r="U53" s="0" t="s">
        <v>11</v>
      </c>
      <c r="V53" s="0" t="s">
        <v>11</v>
      </c>
    </row>
    <row r="54" customFormat="false" ht="12.75" hidden="false" customHeight="false" outlineLevel="0" collapsed="false">
      <c r="B54" s="0" t="s">
        <v>40</v>
      </c>
      <c r="H54" s="14" t="n">
        <v>48.9</v>
      </c>
      <c r="I54" s="16"/>
      <c r="J54" s="15" t="s">
        <v>11</v>
      </c>
      <c r="L54" s="25" t="n">
        <v>55</v>
      </c>
      <c r="N54" s="33"/>
      <c r="P54" s="11" t="n">
        <v>50.1</v>
      </c>
      <c r="R54" s="27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41</v>
      </c>
      <c r="H55" s="14" t="n">
        <v>1.1</v>
      </c>
      <c r="I55" s="16"/>
      <c r="J55" s="15" t="s">
        <v>11</v>
      </c>
      <c r="L55" s="14" t="n">
        <v>7.7</v>
      </c>
      <c r="N55" s="33"/>
      <c r="P55" s="11" t="n">
        <v>0</v>
      </c>
      <c r="R55" s="27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42</v>
      </c>
      <c r="H56" s="14" t="n">
        <v>0.8</v>
      </c>
      <c r="I56" s="16"/>
      <c r="J56" s="15" t="s">
        <v>11</v>
      </c>
      <c r="L56" s="14" t="n">
        <v>5.2</v>
      </c>
      <c r="N56" s="33"/>
      <c r="P56" s="11" t="n">
        <v>5.9</v>
      </c>
      <c r="R56" s="27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7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43</v>
      </c>
      <c r="H59" s="14" t="n">
        <v>2.8</v>
      </c>
      <c r="I59" s="16"/>
      <c r="J59" s="15" t="n">
        <v>0</v>
      </c>
      <c r="L59" s="14" t="n">
        <v>3.5</v>
      </c>
      <c r="M59" s="0" t="s">
        <v>11</v>
      </c>
      <c r="N59" s="33" t="n">
        <v>96</v>
      </c>
      <c r="P59" s="11" t="n">
        <v>4.8</v>
      </c>
      <c r="R59" s="27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44</v>
      </c>
      <c r="H61" s="14" t="n">
        <v>39.3</v>
      </c>
      <c r="I61" s="16"/>
      <c r="J61" s="13" t="n">
        <v>90</v>
      </c>
      <c r="L61" s="14" t="n">
        <v>10.1</v>
      </c>
      <c r="M61" s="0" t="s">
        <v>11</v>
      </c>
      <c r="N61" s="33" t="n">
        <v>116</v>
      </c>
      <c r="P61" s="11" t="n">
        <v>9.5</v>
      </c>
      <c r="R61" s="27" t="n">
        <f aca="false">G61-P61</f>
        <v>-9.5</v>
      </c>
      <c r="T61" s="33" t="n">
        <v>21</v>
      </c>
      <c r="U61" s="0" t="s">
        <v>11</v>
      </c>
      <c r="V61" s="0" t="s">
        <v>11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7"/>
      <c r="T62" s="33"/>
      <c r="V62" s="0" t="s">
        <v>11</v>
      </c>
    </row>
    <row r="63" customFormat="false" ht="12.75" hidden="false" customHeight="false" outlineLevel="0" collapsed="false">
      <c r="B63" s="0" t="s">
        <v>45</v>
      </c>
      <c r="H63" s="14"/>
      <c r="I63" s="16"/>
      <c r="J63" s="33"/>
      <c r="L63" s="14"/>
      <c r="M63" s="0" t="s">
        <v>11</v>
      </c>
      <c r="N63" s="33"/>
      <c r="P63" s="11"/>
      <c r="R63" s="27"/>
      <c r="T63" s="33"/>
    </row>
    <row r="64" customFormat="false" ht="12.75" hidden="false" customHeight="false" outlineLevel="0" collapsed="false">
      <c r="C64" s="0" t="s">
        <v>46</v>
      </c>
      <c r="H64" s="25" t="n">
        <f aca="false">15.3+0.7</f>
        <v>16</v>
      </c>
      <c r="I64" s="16"/>
      <c r="J64" s="33"/>
      <c r="L64" s="25" t="n">
        <v>6</v>
      </c>
      <c r="N64" s="33"/>
      <c r="P64" s="11" t="n">
        <v>5</v>
      </c>
      <c r="R64" s="27" t="n">
        <f aca="false">G64-P64</f>
        <v>-5</v>
      </c>
      <c r="T64" s="33"/>
    </row>
    <row r="65" customFormat="false" ht="12.75" hidden="false" customHeight="false" outlineLevel="0" collapsed="false">
      <c r="C65" s="0" t="s">
        <v>47</v>
      </c>
      <c r="H65" s="25" t="n">
        <v>1</v>
      </c>
      <c r="I65" s="26"/>
      <c r="J65" s="33"/>
      <c r="L65" s="14" t="n">
        <v>0.8</v>
      </c>
      <c r="N65" s="33"/>
      <c r="P65" s="11" t="n">
        <v>1</v>
      </c>
      <c r="R65" s="27" t="n">
        <f aca="false">G65-P65</f>
        <v>-1</v>
      </c>
      <c r="T65" s="33"/>
    </row>
    <row r="66" customFormat="false" ht="12.75" hidden="false" customHeight="false" outlineLevel="0" collapsed="false">
      <c r="C66" s="0" t="s">
        <v>37</v>
      </c>
      <c r="H66" s="25" t="n">
        <v>1</v>
      </c>
      <c r="I66" s="26"/>
      <c r="J66" s="33"/>
      <c r="L66" s="25" t="n">
        <v>0.1</v>
      </c>
      <c r="N66" s="33"/>
      <c r="P66" s="11" t="n">
        <v>1</v>
      </c>
      <c r="R66" s="27" t="n">
        <f aca="false">G66-P66</f>
        <v>-1</v>
      </c>
      <c r="T66" s="33"/>
    </row>
    <row r="67" customFormat="false" ht="12.75" hidden="false" customHeight="false" outlineLevel="0" collapsed="false">
      <c r="C67" s="0" t="s">
        <v>15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7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7"/>
      <c r="T68" s="33"/>
    </row>
    <row r="69" customFormat="false" ht="12.75" hidden="true" customHeight="false" outlineLevel="0" collapsed="false">
      <c r="B69" s="0" t="s">
        <v>48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7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7"/>
      <c r="T70" s="33"/>
    </row>
    <row r="71" customFormat="false" ht="12.75" hidden="true" customHeight="false" outlineLevel="0" collapsed="false">
      <c r="B71" s="0" t="s">
        <v>49</v>
      </c>
      <c r="H71" s="15" t="n">
        <v>0</v>
      </c>
      <c r="I71" s="16"/>
      <c r="J71" s="33"/>
      <c r="L71" s="14" t="n">
        <v>20.9</v>
      </c>
      <c r="N71" s="33"/>
      <c r="P71" s="11"/>
      <c r="R71" s="27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7"/>
      <c r="T72" s="33"/>
    </row>
    <row r="73" customFormat="false" ht="12.75" hidden="false" customHeight="false" outlineLevel="0" collapsed="false">
      <c r="B73" s="0" t="s">
        <v>50</v>
      </c>
      <c r="H73" s="14" t="n">
        <v>0.1</v>
      </c>
      <c r="I73" s="16"/>
      <c r="J73" s="33" t="n">
        <v>0</v>
      </c>
      <c r="L73" s="25" t="n">
        <v>13.6</v>
      </c>
      <c r="N73" s="33" t="n">
        <f aca="false">29+29+10+37+24</f>
        <v>129</v>
      </c>
      <c r="P73" s="11" t="n">
        <f aca="false">4.3+1.1+1</f>
        <v>6.4</v>
      </c>
      <c r="R73" s="27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7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7"/>
      <c r="T75" s="33"/>
    </row>
    <row r="76" customFormat="false" ht="12.75" hidden="false" customHeight="false" outlineLevel="0" collapsed="false">
      <c r="B76" s="0" t="s">
        <v>51</v>
      </c>
      <c r="H76" s="14"/>
      <c r="I76" s="16"/>
      <c r="J76" s="33"/>
      <c r="L76" s="11"/>
      <c r="N76" s="33"/>
      <c r="P76" s="11" t="n">
        <f aca="false">9+2.4+2</f>
        <v>13.4</v>
      </c>
      <c r="R76" s="27" t="n">
        <f aca="false">G76-P76</f>
        <v>-13.4</v>
      </c>
      <c r="T76" s="33"/>
      <c r="U76" s="0" t="s">
        <v>52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7"/>
      <c r="T77" s="33"/>
      <c r="U77" s="0" t="s">
        <v>53</v>
      </c>
    </row>
    <row r="78" customFormat="false" ht="12.75" hidden="false" customHeight="false" outlineLevel="0" collapsed="false">
      <c r="B78" s="0" t="s">
        <v>54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7"/>
      <c r="T79" s="17"/>
    </row>
    <row r="80" customFormat="false" ht="12.75" hidden="false" customHeight="false" outlineLevel="0" collapsed="false">
      <c r="D80" s="19" t="s">
        <v>55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11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56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57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58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59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60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172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62</v>
      </c>
      <c r="L6" s="69" t="s">
        <v>63</v>
      </c>
      <c r="M6" s="90" t="s">
        <v>141</v>
      </c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H7" s="19"/>
      <c r="J7" s="74"/>
      <c r="K7" s="39"/>
      <c r="L7" s="39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73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123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49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82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2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124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92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95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98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101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104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107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110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8</v>
      </c>
      <c r="C25" s="54"/>
      <c r="E25" s="66" t="n">
        <v>111</v>
      </c>
      <c r="F25" s="54"/>
      <c r="G25" s="66" t="n">
        <v>12</v>
      </c>
      <c r="J25" s="0" t="s">
        <v>111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112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173</v>
      </c>
      <c r="C27" s="54"/>
      <c r="E27" s="66" t="n">
        <v>0</v>
      </c>
      <c r="F27" s="54"/>
      <c r="G27" s="66" t="n">
        <v>0</v>
      </c>
      <c r="J27" s="0" t="s">
        <v>113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115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164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174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'[10]Team Report'!BA43</f>
        <v>42687168.7</v>
      </c>
      <c r="E37" s="54" t="n">
        <v>0</v>
      </c>
      <c r="F37" s="54"/>
      <c r="I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175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17" min="17" style="0" width="9.14"/>
    <col collapsed="false" customWidth="false" hidden="true" outlineLevel="0" max="71" min="18" style="0" width="9.06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8"/>
      <c r="K4" s="99"/>
      <c r="L4" s="100"/>
      <c r="M4" s="99"/>
      <c r="N4" s="99"/>
      <c r="O4" s="99"/>
      <c r="P4" s="101"/>
    </row>
    <row r="5" customFormat="false" ht="12.75" hidden="false" customHeight="false" outlineLevel="0" collapsed="false">
      <c r="J5" s="102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J6" s="102"/>
      <c r="K6" s="16"/>
      <c r="L6" s="39" t="s">
        <v>62</v>
      </c>
      <c r="M6" s="16"/>
      <c r="N6" s="16" t="s">
        <v>63</v>
      </c>
      <c r="O6" s="16"/>
      <c r="P6" s="28" t="s">
        <v>176</v>
      </c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19"/>
      <c r="J7" s="103"/>
      <c r="K7" s="39"/>
      <c r="M7" s="39"/>
      <c r="N7" s="39"/>
      <c r="O7" s="39"/>
      <c r="P7" s="104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2" t="s">
        <v>73</v>
      </c>
      <c r="K8" s="39"/>
      <c r="L8" s="39" t="n">
        <v>0</v>
      </c>
      <c r="M8" s="39"/>
      <c r="N8" s="39" t="n">
        <v>4</v>
      </c>
      <c r="O8" s="39"/>
      <c r="P8" s="104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((C9/9)*12)*1.2</f>
        <v>0</v>
      </c>
      <c r="F9" s="54"/>
      <c r="J9" s="102"/>
      <c r="K9" s="39"/>
      <c r="M9" s="39"/>
      <c r="N9" s="39"/>
      <c r="O9" s="39"/>
      <c r="P9" s="104"/>
      <c r="Q9" s="54" t="n">
        <f aca="false">+F9/$F$29*$Q$29</f>
        <v>0</v>
      </c>
    </row>
    <row r="10" customFormat="false" ht="12.75" hidden="true" customHeight="false" outlineLevel="0" collapsed="false">
      <c r="B10" s="53" t="s">
        <v>123</v>
      </c>
      <c r="C10" s="54" t="n">
        <v>0</v>
      </c>
      <c r="E10" s="54" t="n">
        <f aca="false">((C10/9)*12)*1.2</f>
        <v>0</v>
      </c>
      <c r="F10" s="54"/>
      <c r="J10" s="102" t="s">
        <v>49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4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2"/>
      <c r="K11" s="39"/>
      <c r="M11" s="39"/>
      <c r="N11" s="39"/>
      <c r="O11" s="39"/>
      <c r="P11" s="104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2"/>
      <c r="K12" s="39"/>
      <c r="M12" s="39"/>
      <c r="N12" s="39"/>
      <c r="O12" s="39"/>
      <c r="P12" s="104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5"/>
      <c r="K13" s="106"/>
      <c r="L13" s="106"/>
      <c r="M13" s="106"/>
      <c r="N13" s="106"/>
      <c r="O13" s="106"/>
      <c r="P13" s="107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124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156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95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157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98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177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159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160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161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8</v>
      </c>
      <c r="C25" s="54"/>
      <c r="E25" s="66" t="n">
        <v>27</v>
      </c>
      <c r="F25" s="66" t="n">
        <v>4</v>
      </c>
      <c r="J25" s="0" t="s">
        <v>162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163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173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164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117</v>
      </c>
      <c r="J37" s="39"/>
      <c r="K37" s="39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84</v>
      </c>
      <c r="C39" s="54" t="n">
        <v>195340</v>
      </c>
      <c r="E39" s="54"/>
      <c r="F39" s="54"/>
      <c r="I39" s="68" t="s">
        <v>118</v>
      </c>
      <c r="J39" s="69" t="s">
        <v>119</v>
      </c>
      <c r="K39" s="69" t="s">
        <v>120</v>
      </c>
      <c r="L39" s="69" t="s">
        <v>63</v>
      </c>
      <c r="N39" s="69" t="s">
        <v>121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5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178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22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62</v>
      </c>
      <c r="K5" s="16" t="s">
        <v>63</v>
      </c>
      <c r="L5" s="75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67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71</v>
      </c>
      <c r="I7" s="74"/>
      <c r="J7" s="16"/>
      <c r="K7" s="16"/>
      <c r="L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73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49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82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124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92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179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98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101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104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107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110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111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8</v>
      </c>
      <c r="C25" s="93"/>
      <c r="E25" s="93" t="n">
        <v>111</v>
      </c>
      <c r="G25" s="93" t="n">
        <f aca="false">+K28</f>
        <v>10</v>
      </c>
      <c r="I25" s="0" t="s">
        <v>112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113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G27" s="93"/>
      <c r="I27" s="0" t="s">
        <v>115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111</v>
      </c>
      <c r="G29" s="93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164</v>
      </c>
      <c r="L30" s="67" t="n">
        <v>0.2</v>
      </c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'[12]Team Report'!BA39</f>
        <v>0</v>
      </c>
      <c r="E34" s="54" t="n">
        <f aca="false">(C34/9)*12</f>
        <v>0</v>
      </c>
      <c r="I34" s="19" t="s">
        <v>117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180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5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89" t="s">
        <v>23</v>
      </c>
      <c r="J4" s="89"/>
      <c r="K4" s="89"/>
      <c r="L4" s="89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62</v>
      </c>
      <c r="K6" s="69" t="s">
        <v>63</v>
      </c>
      <c r="L6" s="90" t="s">
        <v>141</v>
      </c>
      <c r="M6" s="16"/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71</v>
      </c>
      <c r="I7" s="74"/>
      <c r="L7" s="49"/>
      <c r="M7" s="16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G9" s="54" t="n">
        <v>0</v>
      </c>
      <c r="I9" s="74" t="s">
        <v>73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</row>
    <row r="10" customFormat="false" ht="12.75" hidden="false" customHeight="false" outlineLevel="0" collapsed="false">
      <c r="A10" s="52"/>
      <c r="B10" s="53" t="s">
        <v>182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49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82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6"/>
      <c r="O15" s="54" t="n">
        <f aca="false">+G15/$G$30*$O$30</f>
        <v>1553.82344827586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124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156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183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</row>
    <row r="20" customFormat="false" ht="12.75" hidden="false" customHeight="false" outlineLevel="0" collapsed="false">
      <c r="A20" s="52" t="s">
        <v>96</v>
      </c>
      <c r="B20" s="53" t="s">
        <v>97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95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</row>
    <row r="21" customFormat="false" ht="12.75" hidden="false" customHeight="false" outlineLevel="0" collapsed="false">
      <c r="A21" s="52" t="s">
        <v>99</v>
      </c>
      <c r="B21" s="53" t="s">
        <v>100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157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</row>
    <row r="22" customFormat="false" ht="12.75" hidden="false" customHeight="false" outlineLevel="0" collapsed="false">
      <c r="A22" s="52" t="s">
        <v>102</v>
      </c>
      <c r="B22" s="53" t="s">
        <v>103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98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</row>
    <row r="23" customFormat="false" ht="12.75" hidden="false" customHeight="false" outlineLevel="0" collapsed="false">
      <c r="A23" s="52" t="s">
        <v>105</v>
      </c>
      <c r="B23" s="53" t="s">
        <v>106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158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</row>
    <row r="24" customFormat="false" ht="12.75" hidden="false" customHeight="false" outlineLevel="0" collapsed="false">
      <c r="A24" s="61" t="s">
        <v>108</v>
      </c>
      <c r="B24" s="62" t="s">
        <v>109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159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</row>
    <row r="25" customFormat="false" ht="12.75" hidden="false" customHeight="false" outlineLevel="0" collapsed="false">
      <c r="I25" s="0" t="s">
        <v>160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8</v>
      </c>
      <c r="C26" s="93"/>
      <c r="E26" s="93" t="n">
        <v>58</v>
      </c>
      <c r="G26" s="93" t="n">
        <f aca="false">SUM(K17:K20,K22:K28)</f>
        <v>14</v>
      </c>
      <c r="I26" s="0" t="s">
        <v>161</v>
      </c>
      <c r="J26" s="39" t="n">
        <v>184800</v>
      </c>
      <c r="K26" s="0" t="n">
        <v>2</v>
      </c>
      <c r="L26" s="39" t="n">
        <f aca="false">J26*K26</f>
        <v>369600</v>
      </c>
      <c r="O26" s="93" t="n">
        <v>1</v>
      </c>
    </row>
    <row r="27" customFormat="false" ht="12.75" hidden="false" customHeight="false" outlineLevel="0" collapsed="false">
      <c r="I27" s="0" t="s">
        <v>162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114</v>
      </c>
      <c r="C28" s="93"/>
      <c r="E28" s="93" t="n">
        <v>0</v>
      </c>
      <c r="G28" s="93" t="n">
        <f aca="false">SUM(K21)</f>
        <v>1</v>
      </c>
      <c r="I28" s="0" t="s">
        <v>184</v>
      </c>
      <c r="J28" s="39" t="n">
        <v>476400</v>
      </c>
      <c r="K28" s="0" t="n">
        <v>0</v>
      </c>
      <c r="L28" s="39" t="n">
        <f aca="false">J28*K28</f>
        <v>0</v>
      </c>
      <c r="O28" s="93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116</v>
      </c>
      <c r="C30" s="93"/>
      <c r="E30" s="93" t="n">
        <f aca="false">SUM(E26:E29)</f>
        <v>58</v>
      </c>
      <c r="G30" s="93" t="n">
        <f aca="false">SUM(G26:G29)</f>
        <v>15</v>
      </c>
      <c r="O30" s="93" t="n">
        <f aca="false">SUM(O26:O29)</f>
        <v>2</v>
      </c>
    </row>
    <row r="31" customFormat="false" ht="12.75" hidden="false" customHeight="false" outlineLevel="0" collapsed="false">
      <c r="B31" s="62"/>
      <c r="I31" s="0" t="s">
        <v>164</v>
      </c>
      <c r="K31" s="67"/>
      <c r="L31" s="67" t="n">
        <v>0.2</v>
      </c>
    </row>
    <row r="32" customFormat="false" ht="12.75" hidden="true" customHeight="false" outlineLevel="0" collapsed="false">
      <c r="A32" s="52" t="s">
        <v>132</v>
      </c>
      <c r="B32" s="53" t="s">
        <v>145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134</v>
      </c>
      <c r="B33" s="53" t="s">
        <v>146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135</v>
      </c>
      <c r="B34" s="53" t="s">
        <v>147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136</v>
      </c>
      <c r="B35" s="53" t="s">
        <v>148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137</v>
      </c>
      <c r="B36" s="53" t="s">
        <v>149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138</v>
      </c>
      <c r="B37" s="53" t="s">
        <v>150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117</v>
      </c>
      <c r="I37" s="39"/>
      <c r="L37" s="0"/>
    </row>
    <row r="38" customFormat="false" ht="12.75" hidden="true" customHeight="false" outlineLevel="0" collapsed="false">
      <c r="A38" s="52" t="s">
        <v>139</v>
      </c>
      <c r="B38" s="53" t="s">
        <v>151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140</v>
      </c>
      <c r="B39" s="53" t="s">
        <v>152</v>
      </c>
      <c r="C39" s="54" t="n">
        <f aca="false">'[8]Team Report'!BA45</f>
        <v>0</v>
      </c>
      <c r="E39" s="54" t="n">
        <f aca="false">(C39/9)*12</f>
        <v>0</v>
      </c>
      <c r="H39" s="68" t="s">
        <v>118</v>
      </c>
      <c r="I39" s="69" t="s">
        <v>119</v>
      </c>
      <c r="J39" s="69" t="s">
        <v>120</v>
      </c>
      <c r="K39" s="69" t="s">
        <v>63</v>
      </c>
      <c r="L39" s="69" t="s">
        <v>121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5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I6" s="74"/>
      <c r="J6" s="69" t="s">
        <v>62</v>
      </c>
      <c r="K6" s="69" t="s">
        <v>63</v>
      </c>
      <c r="L6" s="90" t="s">
        <v>141</v>
      </c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G7" s="19"/>
      <c r="I7" s="74"/>
      <c r="L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73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123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49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82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124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156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95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157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107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98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177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159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8</v>
      </c>
      <c r="C25" s="54"/>
      <c r="E25" s="66" t="n">
        <v>44</v>
      </c>
      <c r="F25" s="66" t="n">
        <f aca="false">+K29</f>
        <v>2</v>
      </c>
      <c r="I25" s="0" t="s">
        <v>160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185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173</v>
      </c>
      <c r="C27" s="54"/>
      <c r="E27" s="66" t="n">
        <v>5</v>
      </c>
      <c r="F27" s="66" t="n">
        <v>0</v>
      </c>
      <c r="I27" s="0" t="s">
        <v>162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163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'[13]Team Report'!BA29</f>
        <v>0</v>
      </c>
      <c r="E31" s="54" t="n">
        <f aca="false">(C31/9)*12</f>
        <v>0</v>
      </c>
      <c r="I31" s="0" t="s">
        <v>164</v>
      </c>
      <c r="K31" s="67"/>
      <c r="L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117</v>
      </c>
      <c r="I37" s="39"/>
      <c r="L37" s="0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118</v>
      </c>
      <c r="I39" s="69" t="s">
        <v>119</v>
      </c>
      <c r="J39" s="69" t="s">
        <v>120</v>
      </c>
      <c r="K39" s="69" t="s">
        <v>63</v>
      </c>
      <c r="L39" s="69" t="s">
        <v>121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5" t="n">
        <f aca="false">+E29</f>
        <v>49</v>
      </c>
      <c r="J40" s="69" t="n">
        <f aca="false">+G40/I40</f>
        <v>33269.8053877551</v>
      </c>
      <c r="K40" s="95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25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I6" s="74"/>
      <c r="J6" s="69" t="s">
        <v>62</v>
      </c>
      <c r="K6" s="69" t="s">
        <v>63</v>
      </c>
      <c r="L6" s="90" t="s">
        <v>141</v>
      </c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G7" s="19"/>
      <c r="I7" s="74"/>
      <c r="L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1519200</v>
      </c>
      <c r="I8" s="74"/>
      <c r="L8" s="49"/>
      <c r="O8" s="54" t="n">
        <f aca="false">+F8/$F$29*$O$29</f>
        <v>138109.090909091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73</v>
      </c>
      <c r="J9" s="39" t="n">
        <v>0</v>
      </c>
      <c r="K9" s="39" t="n">
        <f aca="false">K29</f>
        <v>11</v>
      </c>
      <c r="L9" s="49" t="n">
        <f aca="false">L33</f>
        <v>1823040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123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303840</v>
      </c>
      <c r="I11" s="74"/>
      <c r="L11" s="49"/>
      <c r="O11" s="54" t="n">
        <f aca="false">+F11/$F$29*$O$29</f>
        <v>27621.8181818182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62478.1071020408</v>
      </c>
      <c r="I12" s="74" t="s">
        <v>49</v>
      </c>
      <c r="J12" s="39" t="n">
        <f aca="false">(E12+E13+E14+E15+E16+E17+E18+E19+E20+E21+E22)/E29</f>
        <v>33269.8053877551</v>
      </c>
      <c r="K12" s="39" t="n">
        <f aca="false">K29</f>
        <v>11</v>
      </c>
      <c r="L12" s="49" t="n">
        <f aca="false">J12*K12</f>
        <v>365967.859265306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105590.205061225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24238.2710204082</v>
      </c>
      <c r="I14" s="79" t="s">
        <v>82</v>
      </c>
      <c r="J14" s="58"/>
      <c r="K14" s="58"/>
      <c r="L14" s="59" t="n">
        <f aca="false">SUM(L9:L12)</f>
        <v>2189007.85926531</v>
      </c>
      <c r="N14" s="0" t="n">
        <v>1699109</v>
      </c>
      <c r="O14" s="54" t="n">
        <f aca="false">+F14/$F$29*$O$29</f>
        <v>2203.47918367347</v>
      </c>
      <c r="P14" s="60"/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17424.6896326531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897.959183673469</v>
      </c>
      <c r="I17" s="16" t="s">
        <v>124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156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46541.914122449</v>
      </c>
      <c r="I19" s="0" t="s">
        <v>95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3.60261224489796</v>
      </c>
      <c r="I20" s="0" t="s">
        <v>157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108514.947918367</v>
      </c>
      <c r="I21" s="0" t="s">
        <v>107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278.162612244898</v>
      </c>
      <c r="I22" s="0" t="s">
        <v>98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2189007.85926531</v>
      </c>
      <c r="I23" s="0" t="s">
        <v>177</v>
      </c>
      <c r="J23" s="39" t="n">
        <v>74400</v>
      </c>
      <c r="K23" s="39" t="n">
        <v>1</v>
      </c>
      <c r="L23" s="39" t="n">
        <f aca="false">J23*K23</f>
        <v>74400</v>
      </c>
      <c r="O23" s="82" t="n">
        <f aca="false">SUM(O8:O22)</f>
        <v>199000.714478664</v>
      </c>
    </row>
    <row r="24" customFormat="false" ht="12.75" hidden="false" customHeight="false" outlineLevel="0" collapsed="false">
      <c r="I24" s="0" t="s">
        <v>159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8</v>
      </c>
      <c r="C25" s="54"/>
      <c r="E25" s="66" t="n">
        <v>44</v>
      </c>
      <c r="F25" s="66" t="n">
        <f aca="false">+K29</f>
        <v>11</v>
      </c>
      <c r="I25" s="0" t="s">
        <v>160</v>
      </c>
      <c r="J25" s="39" t="n">
        <v>120000</v>
      </c>
      <c r="K25" s="39" t="n">
        <v>5</v>
      </c>
      <c r="L25" s="39" t="n">
        <f aca="false">J25*K25</f>
        <v>600000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161</v>
      </c>
      <c r="J26" s="39" t="n">
        <v>178800</v>
      </c>
      <c r="K26" s="39" t="n">
        <v>1</v>
      </c>
      <c r="L26" s="39" t="n">
        <f aca="false">J26*K26</f>
        <v>178800</v>
      </c>
      <c r="O26" s="54"/>
    </row>
    <row r="27" customFormat="false" ht="12.75" hidden="false" customHeight="false" outlineLevel="0" collapsed="false">
      <c r="B27" s="62" t="s">
        <v>173</v>
      </c>
      <c r="C27" s="54"/>
      <c r="E27" s="66" t="n">
        <v>5</v>
      </c>
      <c r="F27" s="66" t="n">
        <v>0</v>
      </c>
      <c r="I27" s="0" t="s">
        <v>162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163</v>
      </c>
      <c r="J28" s="39" t="n">
        <v>312000</v>
      </c>
      <c r="K28" s="39" t="n">
        <v>1</v>
      </c>
      <c r="L28" s="39" t="n">
        <f aca="false">J28*K28</f>
        <v>312000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49</v>
      </c>
      <c r="F29" s="66" t="n">
        <f aca="false">+F27+F25</f>
        <v>11</v>
      </c>
      <c r="G29" s="39"/>
      <c r="K29" s="39" t="n">
        <f aca="false">SUM(K17:K28)</f>
        <v>11</v>
      </c>
      <c r="L29" s="39" t="n">
        <f aca="false">SUM(L17:L28)</f>
        <v>1519200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'[13]Team Report'!BA29</f>
        <v>0</v>
      </c>
      <c r="E31" s="54" t="n">
        <f aca="false">(C31/9)*12</f>
        <v>0</v>
      </c>
      <c r="I31" s="0" t="s">
        <v>164</v>
      </c>
      <c r="K31" s="67"/>
      <c r="L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1823040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117</v>
      </c>
      <c r="I37" s="39"/>
      <c r="L37" s="0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118</v>
      </c>
      <c r="I39" s="69" t="s">
        <v>119</v>
      </c>
      <c r="J39" s="69" t="s">
        <v>120</v>
      </c>
      <c r="K39" s="69" t="s">
        <v>63</v>
      </c>
      <c r="L39" s="69" t="s">
        <v>121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5" t="n">
        <f aca="false">+E29</f>
        <v>49</v>
      </c>
      <c r="J40" s="69" t="n">
        <f aca="false">+G40/I40</f>
        <v>33269.8053877551</v>
      </c>
      <c r="K40" s="95" t="n">
        <f aca="false">+K12</f>
        <v>11</v>
      </c>
      <c r="L40" s="69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186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I4" s="89" t="s">
        <v>187</v>
      </c>
      <c r="J4" s="89"/>
      <c r="K4" s="89"/>
      <c r="L4" s="89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127</v>
      </c>
      <c r="H6" s="50" t="s">
        <v>67</v>
      </c>
      <c r="I6" s="74"/>
      <c r="J6" s="69" t="s">
        <v>62</v>
      </c>
      <c r="K6" s="69" t="s">
        <v>63</v>
      </c>
      <c r="L6" s="90" t="s">
        <v>141</v>
      </c>
      <c r="M6" s="16"/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128</v>
      </c>
      <c r="H7" s="51" t="s">
        <v>71</v>
      </c>
      <c r="I7" s="74"/>
      <c r="L7" s="49"/>
      <c r="M7" s="16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'[8]Team Report'!BA25</f>
        <v>4985502.23</v>
      </c>
      <c r="E8" s="54" t="n">
        <f aca="false">((C8/9)*12)*1.3</f>
        <v>8641537.19866667</v>
      </c>
      <c r="H8" s="54" t="n">
        <f aca="false">L29-H10</f>
        <v>13408750</v>
      </c>
      <c r="I8" s="74"/>
      <c r="L8" s="49"/>
      <c r="M8" s="16"/>
      <c r="Q8" s="54" t="n">
        <f aca="false">+H8/$H$29*$Q$29</f>
        <v>72873.6413043478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H9" s="54" t="n">
        <v>0</v>
      </c>
      <c r="I9" s="74" t="s">
        <v>73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H10" s="54" t="n">
        <f aca="false">L20+L21</f>
        <v>1200000</v>
      </c>
      <c r="I10" s="74"/>
      <c r="L10" s="49"/>
      <c r="M10" s="16"/>
      <c r="Q10" s="54" t="n">
        <f aca="false">+H10/$H$29*$Q$29</f>
        <v>6521.73913043478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f aca="false">L33-L29</f>
        <v>2921750</v>
      </c>
      <c r="I11" s="74"/>
      <c r="L11" s="49"/>
      <c r="M11" s="16"/>
      <c r="Q11" s="54" t="n">
        <f aca="false">+H11/$H$29*$Q$29</f>
        <v>15879.0760869565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f aca="false">(E12/$E$29)*$K$12</f>
        <v>513617.726824859</v>
      </c>
      <c r="I12" s="74" t="s">
        <v>49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2791.40068926554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f aca="false">(E13/$E$29)*$K$12</f>
        <v>211876.008316384</v>
      </c>
      <c r="I13" s="74"/>
      <c r="L13" s="49"/>
      <c r="M13" s="16"/>
      <c r="Q13" s="54" t="n">
        <f aca="false">+H13/$H$29*$Q$29</f>
        <v>1151.50004519774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(4000000*1.2)+222800</f>
        <v>5022800</v>
      </c>
      <c r="H14" s="54" t="n">
        <f aca="false">(E14/$E$29)*$K$12</f>
        <v>7832162.71186441</v>
      </c>
      <c r="I14" s="79" t="s">
        <v>82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42566.1016949153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'[8]Team Report'!BA33</f>
        <v>69921.63</v>
      </c>
      <c r="E15" s="54" t="n">
        <f aca="false">2087875*1.3</f>
        <v>2714237.5</v>
      </c>
      <c r="H15" s="54" t="n">
        <f aca="false">(E15/$E$29)*$K$12</f>
        <v>4232370.33898305</v>
      </c>
      <c r="I15" s="16"/>
      <c r="M15" s="16"/>
      <c r="Q15" s="54" t="n">
        <f aca="false">+H15/$H$29*$Q$29</f>
        <v>23002.0127118644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124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f aca="false">(E18/$E$29)*$K$12</f>
        <v>51460.8933785311</v>
      </c>
      <c r="I18" s="0" t="s">
        <v>156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279.678768361582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'[8]Team Report'!BA37</f>
        <v>17422.02</v>
      </c>
      <c r="E19" s="54" t="n">
        <v>145000</v>
      </c>
      <c r="H19" s="54" t="n">
        <f aca="false">(E19/$E$29)*$K$12</f>
        <v>226101.694915254</v>
      </c>
      <c r="I19" s="0" t="s">
        <v>95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1228.81355932203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107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f aca="false">(E21/$E$29)*$K$12</f>
        <v>202827.220971751</v>
      </c>
      <c r="I21" s="0" t="s">
        <v>157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1102.32185310734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f aca="false">(E22/$E$29)*$K$12</f>
        <v>3314.31195480226</v>
      </c>
      <c r="I22" s="0" t="s">
        <v>98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18.0125649717514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30804230.907209</v>
      </c>
      <c r="I23" s="0" t="s">
        <v>158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167414.298408745</v>
      </c>
    </row>
    <row r="24" customFormat="false" ht="12.75" hidden="false" customHeight="false" outlineLevel="0" collapsed="false">
      <c r="I24" s="0" t="s">
        <v>159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8</v>
      </c>
      <c r="C25" s="93"/>
      <c r="E25" s="93" t="n">
        <v>114</v>
      </c>
      <c r="H25" s="93" t="n">
        <f aca="false">SUM(K17:K19,K22:K28)</f>
        <v>165</v>
      </c>
      <c r="I25" s="0" t="s">
        <v>160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161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114</v>
      </c>
      <c r="C27" s="93"/>
      <c r="E27" s="93" t="n">
        <v>4</v>
      </c>
      <c r="H27" s="93" t="n">
        <f aca="false">SUM(K20:K21)</f>
        <v>19</v>
      </c>
      <c r="I27" s="0" t="s">
        <v>162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163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118</v>
      </c>
      <c r="H29" s="93" t="n">
        <f aca="false">SUM(H25:H28)</f>
        <v>184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'[8]Team Report'!BA29</f>
        <v>0</v>
      </c>
      <c r="E31" s="54" t="n">
        <f aca="false">(C31/9)*12</f>
        <v>0</v>
      </c>
      <c r="I31" s="0" t="s">
        <v>164</v>
      </c>
      <c r="K31" s="67"/>
      <c r="L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175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188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67</v>
      </c>
      <c r="I6" s="74"/>
      <c r="J6" s="69" t="s">
        <v>62</v>
      </c>
      <c r="K6" s="69" t="s">
        <v>63</v>
      </c>
      <c r="L6" s="90" t="s">
        <v>141</v>
      </c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71</v>
      </c>
      <c r="I7" s="74"/>
      <c r="L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G9" s="54" t="n">
        <v>0</v>
      </c>
      <c r="I9" s="74" t="s">
        <v>73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49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82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124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156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95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157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107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98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177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159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8</v>
      </c>
      <c r="C25" s="93"/>
      <c r="E25" s="93" t="n">
        <v>84</v>
      </c>
      <c r="G25" s="94" t="n">
        <f aca="false">SUM(K17:K19,K22:K28)</f>
        <v>11</v>
      </c>
      <c r="I25" s="0" t="s">
        <v>160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185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G27" s="94" t="n">
        <f aca="false">SUM(K20:K21)</f>
        <v>3</v>
      </c>
      <c r="I27" s="0" t="s">
        <v>162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163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84</v>
      </c>
      <c r="G29" s="93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'[14]Team Report'!BA29</f>
        <v>0</v>
      </c>
      <c r="E31" s="54" t="n">
        <f aca="false">(C31/9)*12</f>
        <v>0</v>
      </c>
      <c r="I31" s="0" t="s">
        <v>164</v>
      </c>
      <c r="K31" s="67"/>
      <c r="L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117</v>
      </c>
      <c r="I37" s="39"/>
      <c r="L37" s="0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8" t="s">
        <v>83</v>
      </c>
      <c r="B39" s="53" t="s">
        <v>84</v>
      </c>
      <c r="C39" s="54" t="n">
        <v>180700.52</v>
      </c>
      <c r="E39" s="54" t="n">
        <v>240934.026666667</v>
      </c>
      <c r="H39" s="68" t="s">
        <v>118</v>
      </c>
      <c r="I39" s="69" t="s">
        <v>119</v>
      </c>
      <c r="J39" s="69" t="s">
        <v>120</v>
      </c>
      <c r="K39" s="69" t="s">
        <v>63</v>
      </c>
      <c r="L39" s="69" t="s">
        <v>121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5" t="n">
        <f aca="false">+E29</f>
        <v>84</v>
      </c>
      <c r="J40" s="69" t="n">
        <f aca="false">+H40/I40</f>
        <v>13598.3738730159</v>
      </c>
      <c r="K40" s="95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189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/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62</v>
      </c>
      <c r="L6" s="69" t="s">
        <v>63</v>
      </c>
      <c r="M6" s="90" t="s">
        <v>141</v>
      </c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J7" s="74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73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49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82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2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124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92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95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98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101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190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191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110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8</v>
      </c>
      <c r="C25" s="93"/>
      <c r="E25" s="93" t="n">
        <v>111</v>
      </c>
      <c r="F25" s="3" t="n">
        <v>40</v>
      </c>
      <c r="G25" s="94" t="n">
        <f aca="false">+L29</f>
        <v>140</v>
      </c>
      <c r="J25" s="0" t="s">
        <v>111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112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3"/>
      <c r="G27" s="93"/>
      <c r="J27" s="0" t="s">
        <v>113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115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111</v>
      </c>
      <c r="F29" s="3"/>
      <c r="G29" s="93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'[15]Team Report'!BA29</f>
        <v>-24140467.68</v>
      </c>
      <c r="E31" s="54" t="n">
        <v>0</v>
      </c>
      <c r="F31" s="54"/>
      <c r="J31" s="0" t="s">
        <v>164</v>
      </c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174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'[15]Team Report'!BA43</f>
        <v>-5121278.52</v>
      </c>
      <c r="E37" s="54" t="n">
        <v>0</v>
      </c>
      <c r="F37" s="54"/>
      <c r="I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0</v>
      </c>
      <c r="F39" s="54"/>
      <c r="I39" s="0" t="s">
        <v>175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192</v>
      </c>
    </row>
    <row r="47" customFormat="false" ht="12.75" hidden="false" customHeight="false" outlineLevel="0" collapsed="false">
      <c r="B47" s="53" t="s">
        <v>193</v>
      </c>
    </row>
    <row r="48" customFormat="false" ht="12.75" hidden="false" customHeight="false" outlineLevel="0" collapsed="false">
      <c r="B48" s="53" t="s">
        <v>194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/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62</v>
      </c>
      <c r="L6" s="69" t="s">
        <v>63</v>
      </c>
      <c r="M6" s="90" t="s">
        <v>141</v>
      </c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H7" s="51" t="s">
        <v>71</v>
      </c>
      <c r="J7" s="74"/>
      <c r="M7" s="49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73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182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49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(C14/9)*12</f>
        <v>0</v>
      </c>
      <c r="H14" s="54" t="n">
        <v>0</v>
      </c>
      <c r="J14" s="79" t="s">
        <v>82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2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124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92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95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98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101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104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191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110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8</v>
      </c>
      <c r="C25" s="93"/>
      <c r="E25" s="93" t="n">
        <v>111</v>
      </c>
      <c r="F25" s="0" t="n">
        <v>40</v>
      </c>
      <c r="H25" s="94" t="n">
        <f aca="false">+L29-1</f>
        <v>58</v>
      </c>
      <c r="J25" s="0" t="s">
        <v>111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112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114</v>
      </c>
      <c r="C27" s="93"/>
      <c r="E27" s="93"/>
      <c r="H27" s="93" t="n">
        <v>1</v>
      </c>
      <c r="J27" s="0" t="s">
        <v>113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115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111</v>
      </c>
      <c r="H29" s="93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'[16]Team Report'!BA29</f>
        <v>-24140467.68</v>
      </c>
      <c r="E31" s="54" t="n">
        <v>0</v>
      </c>
      <c r="J31" s="0" t="s">
        <v>164</v>
      </c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'[16]Team Report'!BA31</f>
        <v>0</v>
      </c>
      <c r="E33" s="54" t="n">
        <f aca="false">(C33/9)*12</f>
        <v>0</v>
      </c>
      <c r="J33" s="0" t="s">
        <v>174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'[16]Team Report'!BA43</f>
        <v>-5121278.52</v>
      </c>
      <c r="E37" s="54" t="n">
        <v>0</v>
      </c>
      <c r="I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0</v>
      </c>
      <c r="I39" s="0" t="s">
        <v>175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195</v>
      </c>
    </row>
    <row r="43" customFormat="false" ht="12.75" hidden="false" customHeight="false" outlineLevel="0" collapsed="false">
      <c r="B43" s="53" t="s">
        <v>196</v>
      </c>
    </row>
    <row r="44" customFormat="false" ht="12.75" hidden="false" customHeight="false" outlineLevel="0" collapsed="false">
      <c r="B44" s="53" t="s">
        <v>197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61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62</v>
      </c>
      <c r="K5" s="39" t="s">
        <v>63</v>
      </c>
      <c r="L5" s="49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66</v>
      </c>
      <c r="H6" s="50" t="s">
        <v>67</v>
      </c>
      <c r="I6" s="48"/>
      <c r="L6" s="49"/>
      <c r="Q6" s="50"/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70</v>
      </c>
      <c r="H7" s="51" t="s">
        <v>71</v>
      </c>
      <c r="I7" s="48"/>
      <c r="L7" s="49"/>
      <c r="Q7" s="51"/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73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74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75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49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82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89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92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95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98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101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104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107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110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111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8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112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113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114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115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116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117</v>
      </c>
      <c r="L31" s="0"/>
      <c r="P31" s="16"/>
      <c r="Q31" s="16"/>
    </row>
    <row r="32" customFormat="false" ht="12.75" hidden="true" customHeight="false" outlineLevel="0" collapsed="false">
      <c r="B32" s="53" t="s">
        <v>84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118</v>
      </c>
      <c r="I33" s="69" t="s">
        <v>119</v>
      </c>
      <c r="J33" s="69" t="s">
        <v>120</v>
      </c>
      <c r="K33" s="69" t="s">
        <v>63</v>
      </c>
      <c r="L33" s="69" t="s">
        <v>121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89"/>
      <c r="L4" s="89"/>
      <c r="M4" s="89"/>
      <c r="N4" s="89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62</v>
      </c>
      <c r="M6" s="69" t="s">
        <v>63</v>
      </c>
      <c r="N6" s="90" t="s">
        <v>141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69</v>
      </c>
      <c r="I7" s="51"/>
      <c r="K7" s="74"/>
      <c r="N7" s="49"/>
      <c r="O7" s="51" t="s">
        <v>71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73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182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49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82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124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6"/>
      <c r="T17" s="16"/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156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95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157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98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158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159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160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8</v>
      </c>
      <c r="C25" s="93"/>
      <c r="E25" s="93" t="n">
        <v>114</v>
      </c>
      <c r="F25" s="3"/>
      <c r="G25" s="93" t="n">
        <f aca="false">SUM(M17:M19,M21:M27)</f>
        <v>36</v>
      </c>
      <c r="K25" s="0" t="s">
        <v>161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162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114</v>
      </c>
      <c r="C27" s="93"/>
      <c r="E27" s="93" t="n">
        <v>4</v>
      </c>
      <c r="F27" s="3"/>
      <c r="G27" s="93" t="n">
        <f aca="false">SUM(M20)</f>
        <v>3</v>
      </c>
      <c r="K27" s="0" t="s">
        <v>163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118</v>
      </c>
      <c r="F29" s="3"/>
      <c r="G29" s="93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164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175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4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62</v>
      </c>
      <c r="L5" s="16" t="s">
        <v>63</v>
      </c>
      <c r="M5" s="75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F6" s="86" t="n">
        <v>2002</v>
      </c>
      <c r="J6" s="74"/>
      <c r="K6" s="16"/>
      <c r="L6" s="16"/>
      <c r="M6" s="75"/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19"/>
      <c r="J7" s="74"/>
      <c r="K7" s="16"/>
      <c r="L7" s="16"/>
      <c r="M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73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123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49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82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199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124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95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98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200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101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110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113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201</v>
      </c>
    </row>
    <row r="25" customFormat="false" ht="12.75" hidden="false" customHeight="false" outlineLevel="0" collapsed="false">
      <c r="B25" s="62" t="s">
        <v>8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95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98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173</v>
      </c>
      <c r="C27" s="54"/>
      <c r="E27" s="66" t="n">
        <v>5</v>
      </c>
      <c r="F27" s="66" t="n">
        <v>1</v>
      </c>
      <c r="J27" s="0" t="s">
        <v>101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202</v>
      </c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95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98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101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203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110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111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113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84</v>
      </c>
      <c r="C39" s="54" t="n">
        <v>5703580</v>
      </c>
      <c r="E39" s="54"/>
      <c r="F39" s="54"/>
      <c r="J39" s="19" t="s">
        <v>44</v>
      </c>
    </row>
    <row r="40" customFormat="false" ht="12.75" hidden="true" customHeight="false" outlineLevel="0" collapsed="false">
      <c r="J40" s="0" t="s">
        <v>92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204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205</v>
      </c>
    </row>
    <row r="42" customFormat="false" ht="12.75" hidden="true" customHeight="false" outlineLevel="0" collapsed="false">
      <c r="J42" s="0" t="s">
        <v>113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117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92</v>
      </c>
    </row>
    <row r="46" customFormat="false" ht="12.75" hidden="true" customHeight="false" outlineLevel="0" collapsed="false">
      <c r="A46" s="68" t="s">
        <v>128</v>
      </c>
      <c r="B46" s="69" t="s">
        <v>119</v>
      </c>
      <c r="C46" s="69" t="s">
        <v>120</v>
      </c>
      <c r="E46" s="69" t="s">
        <v>63</v>
      </c>
      <c r="F46" s="69"/>
      <c r="G46" s="69" t="s">
        <v>121</v>
      </c>
      <c r="J46" s="0" t="s">
        <v>92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5" t="n">
        <f aca="false">+E29</f>
        <v>87</v>
      </c>
      <c r="C47" s="69" t="n">
        <f aca="false">+A47/B47</f>
        <v>28886.1517241379</v>
      </c>
      <c r="D47" s="69"/>
      <c r="E47" s="95" t="n">
        <f aca="false">+L11</f>
        <v>32</v>
      </c>
      <c r="F47" s="95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206</v>
      </c>
    </row>
    <row r="49" customFormat="false" ht="12.75" hidden="true" customHeight="false" outlineLevel="0" collapsed="false">
      <c r="J49" s="0" t="s">
        <v>110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111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44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 t="s">
        <v>44</v>
      </c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67</v>
      </c>
      <c r="J6" s="74"/>
      <c r="K6" s="69" t="s">
        <v>62</v>
      </c>
      <c r="L6" s="69" t="s">
        <v>63</v>
      </c>
      <c r="M6" s="90" t="s">
        <v>141</v>
      </c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J7" s="74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/>
      <c r="J9" s="74" t="s">
        <v>73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49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v>0</v>
      </c>
      <c r="F14" s="54" t="n">
        <v>5000000</v>
      </c>
      <c r="J14" s="79" t="s">
        <v>82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2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124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92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95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98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101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104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107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110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8</v>
      </c>
      <c r="C25" s="93"/>
      <c r="E25" s="93" t="n">
        <v>111</v>
      </c>
      <c r="F25" s="94" t="n">
        <f aca="false">+L29</f>
        <v>21</v>
      </c>
      <c r="J25" s="0" t="s">
        <v>185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207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93"/>
      <c r="J27" s="0" t="s">
        <v>208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115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111</v>
      </c>
      <c r="F29" s="93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164</v>
      </c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117</v>
      </c>
      <c r="J37" s="39"/>
      <c r="M37" s="0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32191701.9066667</v>
      </c>
      <c r="F39" s="54"/>
      <c r="I39" s="68" t="s">
        <v>118</v>
      </c>
      <c r="J39" s="69" t="s">
        <v>119</v>
      </c>
      <c r="K39" s="69" t="s">
        <v>120</v>
      </c>
      <c r="L39" s="69" t="s">
        <v>63</v>
      </c>
      <c r="M39" s="69" t="s">
        <v>121</v>
      </c>
    </row>
    <row r="40" customFormat="false" ht="12.75" hidden="false" customHeight="false" outlineLevel="0" collapsed="false">
      <c r="I40" s="70" t="n">
        <f aca="false">SUM(E12:E22)</f>
        <v>5617530.7628</v>
      </c>
      <c r="J40" s="95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209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210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62</v>
      </c>
      <c r="K5" s="39" t="s">
        <v>63</v>
      </c>
      <c r="L5" s="49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66</v>
      </c>
      <c r="H6" s="50" t="s">
        <v>67</v>
      </c>
      <c r="I6" s="48"/>
      <c r="L6" s="49"/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70</v>
      </c>
      <c r="H7" s="51" t="s">
        <v>71</v>
      </c>
      <c r="I7" s="48"/>
      <c r="L7" s="49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1722480</v>
      </c>
      <c r="I8" s="48" t="s">
        <v>73</v>
      </c>
      <c r="J8" s="39" t="n">
        <v>0</v>
      </c>
      <c r="L8" s="49" t="n">
        <f aca="false">L30</f>
        <v>2208096</v>
      </c>
      <c r="Q8" s="54" t="n">
        <f aca="false">+H8/$H$29*$Q$29</f>
        <v>59395.8620689655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75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1143000</v>
      </c>
      <c r="I10" s="48"/>
      <c r="L10" s="49"/>
      <c r="Q10" s="54" t="n">
        <f aca="false">+H10/$H$29*$Q$29</f>
        <v>39413.7931034483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573096</v>
      </c>
      <c r="I11" s="48" t="s">
        <v>49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19761.9310344828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206735.783467604</v>
      </c>
      <c r="I12" s="48"/>
      <c r="L12" s="49"/>
      <c r="Q12" s="54" t="n">
        <f aca="false">+H12/$H$29*$Q$29</f>
        <v>7128.82011957256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263160.28591867</v>
      </c>
      <c r="I13" s="57" t="s">
        <v>82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9074.49261788518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0.0709291804449662</v>
      </c>
      <c r="Q14" s="54" t="n">
        <f aca="false">+H14/$H$29*$Q$29</f>
        <v>0.00244583380844711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36554.5387962444</v>
      </c>
      <c r="Q15" s="54" t="n">
        <f aca="false">+H15/$H$29*$Q$29</f>
        <v>1260.50133780153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89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2279.03597896247</v>
      </c>
      <c r="I17" s="39" t="s">
        <v>92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78.5874475504299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47101.0951710267</v>
      </c>
      <c r="I18" s="39" t="s">
        <v>95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1624.17569555265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71835.3808204752</v>
      </c>
      <c r="I19" s="39" t="s">
        <v>98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2477.08209725776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21.9272723552247</v>
      </c>
      <c r="I20" s="39" t="s">
        <v>101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0.756112839835333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159912.273651535</v>
      </c>
      <c r="I21" s="39" t="s">
        <v>104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5514.21633281154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106651.182234305</v>
      </c>
      <c r="I22" s="39" t="s">
        <v>107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3677.62697359671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4332827.57424036</v>
      </c>
      <c r="I23" s="39" t="s">
        <v>110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149407.847387599</v>
      </c>
    </row>
    <row r="24" customFormat="false" ht="12.75" hidden="false" customHeight="false" outlineLevel="0" collapsed="false">
      <c r="I24" s="39" t="s">
        <v>111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14</v>
      </c>
      <c r="I25" s="39" t="s">
        <v>112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113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114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15</v>
      </c>
      <c r="I27" s="39" t="s">
        <v>115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SUM(E25:E27)</f>
        <v>160</v>
      </c>
      <c r="G29" s="39"/>
      <c r="H29" s="66" t="n">
        <f aca="false">SUM(H25:H27)</f>
        <v>29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117</v>
      </c>
      <c r="L31" s="0"/>
    </row>
    <row r="32" customFormat="false" ht="12.75" hidden="true" customHeight="false" outlineLevel="0" collapsed="false">
      <c r="B32" s="53" t="s">
        <v>84</v>
      </c>
      <c r="C32" s="54" t="n">
        <v>254512</v>
      </c>
      <c r="L32" s="0"/>
    </row>
    <row r="33" customFormat="false" ht="12.75" hidden="true" customHeight="false" outlineLevel="0" collapsed="false">
      <c r="H33" s="68" t="s">
        <v>118</v>
      </c>
      <c r="I33" s="69" t="s">
        <v>119</v>
      </c>
      <c r="J33" s="69" t="s">
        <v>120</v>
      </c>
      <c r="K33" s="69" t="s">
        <v>63</v>
      </c>
      <c r="L33" s="69" t="s">
        <v>121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211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4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62</v>
      </c>
      <c r="M5" s="16" t="s">
        <v>63</v>
      </c>
      <c r="N5" s="75" t="s">
        <v>64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127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H7" s="51"/>
      <c r="I7" s="51" t="s">
        <v>128</v>
      </c>
      <c r="K7" s="74"/>
      <c r="L7" s="16"/>
      <c r="M7" s="16"/>
      <c r="N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73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123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49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82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124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92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95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98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101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104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107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110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111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112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113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115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117</v>
      </c>
      <c r="K31" s="39"/>
      <c r="L31" s="39"/>
      <c r="M31" s="39"/>
    </row>
    <row r="32" customFormat="false" ht="12.75" hidden="true" customHeight="false" outlineLevel="0" collapsed="false">
      <c r="B32" s="53" t="s">
        <v>84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118</v>
      </c>
      <c r="K33" s="69" t="s">
        <v>119</v>
      </c>
      <c r="L33" s="69" t="s">
        <v>120</v>
      </c>
      <c r="M33" s="69" t="s">
        <v>63</v>
      </c>
      <c r="N33" s="69" t="s">
        <v>121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212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62</v>
      </c>
      <c r="K5" s="39" t="s">
        <v>63</v>
      </c>
      <c r="L5" s="49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66</v>
      </c>
      <c r="H6" s="50" t="s">
        <v>67</v>
      </c>
      <c r="I6" s="48"/>
      <c r="L6" s="49"/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70</v>
      </c>
      <c r="H7" s="51" t="s">
        <v>71</v>
      </c>
      <c r="I7" s="48"/>
      <c r="L7" s="49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73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75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49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82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89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92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95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98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101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104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107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110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111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112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113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114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115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117</v>
      </c>
      <c r="L31" s="0"/>
    </row>
    <row r="32" customFormat="false" ht="12.75" hidden="true" customHeight="false" outlineLevel="0" collapsed="false">
      <c r="B32" s="53" t="s">
        <v>84</v>
      </c>
      <c r="C32" s="54" t="n">
        <v>254512</v>
      </c>
      <c r="L32" s="0"/>
    </row>
    <row r="33" customFormat="false" ht="12.75" hidden="true" customHeight="false" outlineLevel="0" collapsed="false">
      <c r="H33" s="68" t="s">
        <v>118</v>
      </c>
      <c r="I33" s="69" t="s">
        <v>119</v>
      </c>
      <c r="J33" s="69" t="s">
        <v>120</v>
      </c>
      <c r="K33" s="69" t="s">
        <v>63</v>
      </c>
      <c r="L33" s="69" t="s">
        <v>121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189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/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62</v>
      </c>
      <c r="L6" s="69" t="s">
        <v>63</v>
      </c>
      <c r="M6" s="90" t="s">
        <v>141</v>
      </c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J7" s="74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73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49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82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2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124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92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95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98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101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190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191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110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8</v>
      </c>
      <c r="C25" s="93"/>
      <c r="E25" s="93" t="n">
        <v>111</v>
      </c>
      <c r="F25" s="3" t="n">
        <v>40</v>
      </c>
      <c r="G25" s="94" t="n">
        <v>133</v>
      </c>
      <c r="J25" s="0" t="s">
        <v>111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112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3"/>
      <c r="G27" s="93"/>
      <c r="J27" s="0" t="s">
        <v>113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115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111</v>
      </c>
      <c r="F29" s="3"/>
      <c r="G29" s="93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'[15]Team Report'!BA29</f>
        <v>-24140467.68</v>
      </c>
      <c r="E31" s="54" t="n">
        <v>0</v>
      </c>
      <c r="F31" s="54"/>
      <c r="J31" s="0" t="s">
        <v>164</v>
      </c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174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'[15]Team Report'!BA43</f>
        <v>-5121278.52</v>
      </c>
      <c r="E37" s="54" t="n">
        <v>0</v>
      </c>
      <c r="F37" s="54"/>
      <c r="I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0</v>
      </c>
      <c r="F39" s="54"/>
      <c r="I39" s="0" t="s">
        <v>175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192</v>
      </c>
    </row>
    <row r="47" customFormat="false" ht="12.75" hidden="false" customHeight="false" outlineLevel="0" collapsed="false">
      <c r="B47" s="53" t="s">
        <v>193</v>
      </c>
    </row>
    <row r="48" customFormat="false" ht="12.75" hidden="false" customHeight="false" outlineLevel="0" collapsed="false">
      <c r="B48" s="53" t="s">
        <v>194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/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62</v>
      </c>
      <c r="L6" s="69" t="s">
        <v>63</v>
      </c>
      <c r="M6" s="90" t="s">
        <v>141</v>
      </c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J7" s="74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73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09" t="n">
        <f aca="false">+$M$12*0.25+50000+250000</f>
        <v>544134</v>
      </c>
      <c r="J12" s="74" t="s">
        <v>49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82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2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124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92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95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98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101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'[19]Team Report'!BA44</f>
        <v>6453.7</v>
      </c>
      <c r="E22" s="110" t="n">
        <f aca="false">(+C22/9*12)*1.2</f>
        <v>10325.92</v>
      </c>
      <c r="F22" s="54"/>
      <c r="G22" s="54" t="n">
        <v>0</v>
      </c>
      <c r="J22" s="0" t="s">
        <v>104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107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110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8</v>
      </c>
      <c r="C25" s="93"/>
      <c r="E25" s="93" t="n">
        <v>0</v>
      </c>
      <c r="F25" s="3" t="n">
        <v>40</v>
      </c>
      <c r="G25" s="94" t="n">
        <f aca="false">+L12</f>
        <v>44</v>
      </c>
      <c r="J25" s="0" t="s">
        <v>111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112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3"/>
      <c r="G27" s="93"/>
      <c r="J27" s="0" t="s">
        <v>113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115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0</v>
      </c>
      <c r="F29" s="3"/>
      <c r="G29" s="93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'[19]Team Report'!BA29</f>
        <v>-24140467.68</v>
      </c>
      <c r="E31" s="54" t="n">
        <v>0</v>
      </c>
      <c r="F31" s="54"/>
      <c r="J31" s="0" t="s">
        <v>164</v>
      </c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'[19]Team Report'!BA40</f>
        <v>164920.93</v>
      </c>
      <c r="E35" s="54" t="n">
        <v>0</v>
      </c>
      <c r="F35" s="54"/>
      <c r="J35" s="0" t="s">
        <v>213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'[19]Team Report'!BA43</f>
        <v>-5121278.52</v>
      </c>
      <c r="E37" s="54" t="n">
        <v>0</v>
      </c>
      <c r="F37" s="54"/>
      <c r="I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0</v>
      </c>
      <c r="F39" s="54"/>
      <c r="I39" s="0" t="s">
        <v>175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214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/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62</v>
      </c>
      <c r="L6" s="69" t="s">
        <v>63</v>
      </c>
      <c r="M6" s="90" t="s">
        <v>141</v>
      </c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J7" s="74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73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182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49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82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2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124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92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95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98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101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190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191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110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8</v>
      </c>
      <c r="C25" s="93"/>
      <c r="E25" s="93" t="n">
        <v>111</v>
      </c>
      <c r="F25" s="3" t="n">
        <v>40</v>
      </c>
      <c r="G25" s="94" t="n">
        <v>199</v>
      </c>
      <c r="J25" s="0" t="s">
        <v>111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112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3"/>
      <c r="G27" s="93"/>
      <c r="J27" s="0" t="s">
        <v>113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115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111</v>
      </c>
      <c r="F29" s="3"/>
      <c r="G29" s="93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'[15]Team Report'!BA29</f>
        <v>-24140467.68</v>
      </c>
      <c r="E31" s="54" t="n">
        <v>0</v>
      </c>
      <c r="F31" s="54"/>
      <c r="J31" s="0" t="s">
        <v>164</v>
      </c>
      <c r="L31" s="67"/>
      <c r="M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174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'[15]Team Report'!BA43</f>
        <v>-5121278.52</v>
      </c>
      <c r="E37" s="54" t="n">
        <v>0</v>
      </c>
      <c r="F37" s="54"/>
      <c r="I37" s="19" t="s">
        <v>117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0</v>
      </c>
      <c r="F39" s="54"/>
      <c r="I39" s="0" t="s">
        <v>175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215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210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62</v>
      </c>
      <c r="K5" s="39" t="s">
        <v>63</v>
      </c>
      <c r="L5" s="49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66</v>
      </c>
      <c r="H6" s="50" t="s">
        <v>67</v>
      </c>
      <c r="I6" s="48"/>
      <c r="L6" s="49"/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70</v>
      </c>
      <c r="H7" s="51" t="s">
        <v>71</v>
      </c>
      <c r="I7" s="48"/>
      <c r="L7" s="49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1227480</v>
      </c>
      <c r="I8" s="48" t="s">
        <v>73</v>
      </c>
      <c r="J8" s="39" t="n">
        <v>0</v>
      </c>
      <c r="L8" s="49" t="n">
        <f aca="false">L30</f>
        <v>2208096</v>
      </c>
      <c r="Q8" s="54" t="n">
        <f aca="false">+H8/$H$29*$Q$29</f>
        <v>53368.6956521739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75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1077000</v>
      </c>
      <c r="I10" s="48"/>
      <c r="L10" s="49"/>
      <c r="Q10" s="54" t="n">
        <f aca="false">+H10/$H$29*$Q$29</f>
        <v>46826.0869565217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460896</v>
      </c>
      <c r="I11" s="48" t="s">
        <v>49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20038.9565217391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135747.808995694</v>
      </c>
      <c r="I12" s="48"/>
      <c r="L12" s="49"/>
      <c r="Q12" s="54" t="n">
        <f aca="false">+H12/$H$29*$Q$29</f>
        <v>5902.0786519867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185521.763671479</v>
      </c>
      <c r="I13" s="57" t="s">
        <v>82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8066.1636378904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0.0450415400216469</v>
      </c>
      <c r="Q14" s="54" t="n">
        <f aca="false">+H14/$H$29*$Q$29</f>
        <v>0.00195832782702813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22651.7821220871</v>
      </c>
      <c r="Q15" s="54" t="n">
        <f aca="false">+H15/$H$29*$Q$29</f>
        <v>984.860092264658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89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1060.15957446809</v>
      </c>
      <c r="I17" s="39" t="s">
        <v>92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46.0938945420907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11780.8895081054</v>
      </c>
      <c r="I18" s="39" t="s">
        <v>95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512.212587308929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55025.0937193516</v>
      </c>
      <c r="I19" s="39" t="s">
        <v>98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2392.39537910224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9.39873302938197</v>
      </c>
      <c r="I20" s="39" t="s">
        <v>101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0.408640566494868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98766.7531122087</v>
      </c>
      <c r="I21" s="39" t="s">
        <v>104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4294.20665705255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98484.7480770012</v>
      </c>
      <c r="I22" s="39" t="s">
        <v>107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4281.94556856527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3374424.44255496</v>
      </c>
      <c r="I23" s="39" t="s">
        <v>110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146714.106198042</v>
      </c>
    </row>
    <row r="24" customFormat="false" ht="12.75" hidden="false" customHeight="false" outlineLevel="0" collapsed="false">
      <c r="I24" s="39" t="s">
        <v>111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9</v>
      </c>
      <c r="I25" s="39" t="s">
        <v>112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113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114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14</v>
      </c>
      <c r="I27" s="39" t="s">
        <v>115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SUM(E25:E27)</f>
        <v>160</v>
      </c>
      <c r="G29" s="39"/>
      <c r="H29" s="66" t="n">
        <f aca="false">SUM(H25:H27)</f>
        <v>23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117</v>
      </c>
      <c r="L31" s="0"/>
    </row>
    <row r="32" customFormat="false" ht="12.75" hidden="true" customHeight="false" outlineLevel="0" collapsed="false">
      <c r="B32" s="53" t="s">
        <v>84</v>
      </c>
      <c r="C32" s="54" t="n">
        <v>254512</v>
      </c>
      <c r="L32" s="0"/>
    </row>
    <row r="33" customFormat="false" ht="12.75" hidden="true" customHeight="false" outlineLevel="0" collapsed="false">
      <c r="H33" s="68" t="s">
        <v>118</v>
      </c>
      <c r="I33" s="69" t="s">
        <v>119</v>
      </c>
      <c r="J33" s="69" t="s">
        <v>120</v>
      </c>
      <c r="K33" s="69" t="s">
        <v>63</v>
      </c>
      <c r="L33" s="69" t="s">
        <v>121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122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62</v>
      </c>
      <c r="L5" s="16" t="s">
        <v>63</v>
      </c>
      <c r="M5" s="75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H6" s="76" t="s">
        <v>66</v>
      </c>
      <c r="J6" s="74"/>
      <c r="K6" s="16"/>
      <c r="L6" s="16"/>
      <c r="M6" s="75"/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76" t="s">
        <v>70</v>
      </c>
      <c r="J7" s="74"/>
      <c r="K7" s="16"/>
      <c r="L7" s="16"/>
      <c r="M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73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123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49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82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124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92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95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98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101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104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107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110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111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112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113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115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116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117</v>
      </c>
      <c r="J31" s="39"/>
      <c r="K31" s="39"/>
      <c r="L31" s="39"/>
    </row>
    <row r="32" customFormat="false" ht="12.75" hidden="true" customHeight="false" outlineLevel="0" collapsed="false">
      <c r="B32" s="53" t="s">
        <v>84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118</v>
      </c>
      <c r="J33" s="69" t="s">
        <v>119</v>
      </c>
      <c r="K33" s="69" t="s">
        <v>120</v>
      </c>
      <c r="L33" s="69" t="s">
        <v>63</v>
      </c>
      <c r="M33" s="69" t="s">
        <v>121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62</v>
      </c>
      <c r="K6" s="69" t="s">
        <v>63</v>
      </c>
      <c r="L6" s="90" t="s">
        <v>141</v>
      </c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G7" s="19"/>
      <c r="I7" s="74"/>
      <c r="J7" s="39"/>
      <c r="K7" s="39"/>
      <c r="L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330000</v>
      </c>
      <c r="I8" s="74"/>
      <c r="J8" s="39"/>
      <c r="K8" s="39"/>
      <c r="L8" s="49"/>
      <c r="O8" s="54" t="n">
        <f aca="false">+F8/$F$29*$O$29</f>
        <v>110000</v>
      </c>
    </row>
    <row r="9" customFormat="false" ht="12.75" hidden="fals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73</v>
      </c>
      <c r="J9" s="39" t="n">
        <v>0</v>
      </c>
      <c r="K9" s="39" t="n">
        <f aca="false">K29</f>
        <v>3</v>
      </c>
      <c r="L9" s="49" t="n">
        <f aca="false">L33</f>
        <v>396000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123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66000</v>
      </c>
      <c r="I11" s="74"/>
      <c r="J11" s="39"/>
      <c r="K11" s="39"/>
      <c r="L11" s="49"/>
      <c r="O11" s="54" t="n">
        <f aca="false">+F11/$F$29*$O$29</f>
        <v>22000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11434.7946428571</v>
      </c>
      <c r="I12" s="74" t="s">
        <v>49</v>
      </c>
      <c r="J12" s="39" t="n">
        <f aca="false">(E12+E13+E14+E15+E16+E17+E18+E19+E20+E21+E22)/E29</f>
        <v>29159.271</v>
      </c>
      <c r="K12" s="39" t="n">
        <f aca="false">K29</f>
        <v>3</v>
      </c>
      <c r="L12" s="49" t="n">
        <f aca="false">J12*K12</f>
        <v>87477.813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</f>
        <v>33643.6174285714</v>
      </c>
      <c r="I13" s="74"/>
      <c r="J13" s="39"/>
      <c r="K13" s="39"/>
      <c r="L13" s="49"/>
      <c r="O13" s="54" t="n">
        <f aca="false">+F13/$F$29*$O$29</f>
        <v>11214.5391428571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</f>
        <v>-0.0111428571532347</v>
      </c>
      <c r="I14" s="79" t="s">
        <v>82</v>
      </c>
      <c r="J14" s="58"/>
      <c r="K14" s="58"/>
      <c r="L14" s="59" t="n">
        <f aca="false">SUM(L9:L12)</f>
        <v>483477.813</v>
      </c>
      <c r="N14" s="39"/>
      <c r="O14" s="54" t="n">
        <f aca="false">+F14/$F$29*$O$29</f>
        <v>-0.00371428571774491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3918.84821428571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124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149.619642857143</v>
      </c>
      <c r="I18" s="0" t="s">
        <v>156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</f>
        <v>4498.43642857143</v>
      </c>
      <c r="I19" s="0" t="s">
        <v>95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1499.47880952381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1.45535714285714</v>
      </c>
      <c r="I20" s="0" t="s">
        <v>157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33742.9885714286</v>
      </c>
      <c r="I21" s="0" t="s">
        <v>107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88.0638571428572</v>
      </c>
      <c r="I22" s="0" t="s">
        <v>98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29.3546190476191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483477.813</v>
      </c>
      <c r="I23" s="0" t="s">
        <v>177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161159.271</v>
      </c>
    </row>
    <row r="24" customFormat="false" ht="12.75" hidden="false" customHeight="false" outlineLevel="0" collapsed="false">
      <c r="I24" s="0" t="s">
        <v>159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8</v>
      </c>
      <c r="C25" s="54"/>
      <c r="E25" s="66" t="n">
        <v>28</v>
      </c>
      <c r="F25" s="66" t="n">
        <f aca="false">+K29</f>
        <v>3</v>
      </c>
      <c r="I25" s="0" t="s">
        <v>160</v>
      </c>
      <c r="J25" s="39" t="n">
        <v>120000</v>
      </c>
      <c r="K25" s="39" t="n">
        <v>2</v>
      </c>
      <c r="L25" s="39" t="n">
        <f aca="false">J25*K25</f>
        <v>240000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185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173</v>
      </c>
      <c r="C27" s="54"/>
      <c r="E27" s="66" t="n">
        <v>0</v>
      </c>
      <c r="F27" s="66" t="n">
        <v>0</v>
      </c>
      <c r="I27" s="0" t="s">
        <v>162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163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28</v>
      </c>
      <c r="F29" s="66" t="n">
        <f aca="false">+F27+F25</f>
        <v>3</v>
      </c>
      <c r="G29" s="39"/>
      <c r="J29" s="39"/>
      <c r="K29" s="39" t="n">
        <f aca="false">SUM(K17:K28)</f>
        <v>3</v>
      </c>
      <c r="L29" s="39" t="n">
        <f aca="false">SUM(L17:L28)</f>
        <v>330000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'[20]Team Report'!BA29</f>
        <v>0</v>
      </c>
      <c r="E31" s="54" t="n">
        <f aca="false">(C31/9)*12</f>
        <v>0</v>
      </c>
      <c r="I31" s="0" t="s">
        <v>164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396000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117</v>
      </c>
      <c r="I37" s="39"/>
      <c r="J37" s="39"/>
      <c r="K37" s="39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84</v>
      </c>
      <c r="C39" s="54" t="n">
        <v>1140923</v>
      </c>
      <c r="E39" s="54"/>
      <c r="G39" s="68" t="s">
        <v>118</v>
      </c>
      <c r="I39" s="69" t="s">
        <v>119</v>
      </c>
      <c r="J39" s="69" t="s">
        <v>120</v>
      </c>
      <c r="K39" s="69" t="s">
        <v>63</v>
      </c>
      <c r="L39" s="69" t="s">
        <v>121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5" t="n">
        <f aca="false">+E29</f>
        <v>28</v>
      </c>
      <c r="J40" s="69" t="n">
        <f aca="false">+G40/I40</f>
        <v>29159.271</v>
      </c>
      <c r="K40" s="95" t="n">
        <f aca="false">+K12</f>
        <v>3</v>
      </c>
      <c r="L40" s="69" t="n">
        <f aca="false">+J40*K40</f>
        <v>87477.813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false" hidden="true" outlineLevel="0" max="44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62</v>
      </c>
      <c r="K5" s="39" t="s">
        <v>63</v>
      </c>
      <c r="L5" s="49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66</v>
      </c>
      <c r="H6" s="50" t="s">
        <v>67</v>
      </c>
      <c r="I6" s="48"/>
      <c r="L6" s="49"/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70</v>
      </c>
      <c r="H7" s="51" t="s">
        <v>71</v>
      </c>
      <c r="I7" s="48"/>
      <c r="L7" s="49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579480</v>
      </c>
      <c r="I8" s="48" t="s">
        <v>73</v>
      </c>
      <c r="J8" s="39" t="n">
        <v>0</v>
      </c>
      <c r="L8" s="49" t="n">
        <f aca="false">L30</f>
        <v>1558656</v>
      </c>
      <c r="Q8" s="54" t="n">
        <f aca="false">+H8/$H$29*$Q$29</f>
        <v>44575.3846153846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75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719400</v>
      </c>
      <c r="I10" s="48"/>
      <c r="L10" s="49"/>
      <c r="Q10" s="54" t="n">
        <f aca="false">+H10/$H$29*$Q$29</f>
        <v>55338.4615384615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259776</v>
      </c>
      <c r="I11" s="48" t="s">
        <v>49</v>
      </c>
      <c r="J11" s="39" t="n">
        <f aca="false">(E12+E13+E14+E15+E16+E17+E18+E19+E20+E21+E22)/E29</f>
        <v>48270.18125</v>
      </c>
      <c r="K11" s="39" t="n">
        <f aca="false">K28</f>
        <v>13</v>
      </c>
      <c r="L11" s="49" t="n">
        <f aca="false">J11*K11</f>
        <v>627512.35625</v>
      </c>
      <c r="Q11" s="54" t="n">
        <f aca="false">+H11/$H$29*$Q$29</f>
        <v>19982.7692307692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80112.15875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71304.4399166667</v>
      </c>
      <c r="I13" s="57" t="s">
        <v>82</v>
      </c>
      <c r="J13" s="58"/>
      <c r="K13" s="58"/>
      <c r="L13" s="59" t="n">
        <f aca="false">L8+L11</f>
        <v>2186168.35625</v>
      </c>
      <c r="N13" s="39" t="n">
        <v>24109311.029375</v>
      </c>
      <c r="P13" s="60" t="n">
        <f aca="false">N13-L13</f>
        <v>21923142.673125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0.026000000002144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11327.6583333333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89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639.166666666667</v>
      </c>
      <c r="I17" s="39" t="s">
        <v>92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11608.4496666667</v>
      </c>
      <c r="I18" s="39" t="s">
        <v>95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11831.118</v>
      </c>
      <c r="I19" s="39" t="s">
        <v>98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1.73333333333333</v>
      </c>
      <c r="I20" s="39" t="s">
        <v>101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14710.46525</v>
      </c>
      <c r="I21" s="39" t="s">
        <v>104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98302.1403333335</v>
      </c>
      <c r="I22" s="39" t="s">
        <v>107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7561.70310256412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1858493.35625</v>
      </c>
      <c r="I23" s="39" t="s">
        <v>110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142961.027403846</v>
      </c>
    </row>
    <row r="24" customFormat="false" ht="12.75" hidden="false" customHeight="false" outlineLevel="0" collapsed="false">
      <c r="I24" s="39" t="s">
        <v>111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112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113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114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10</v>
      </c>
      <c r="I27" s="39" t="s">
        <v>115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13</v>
      </c>
      <c r="L28" s="39" t="n">
        <f aca="false">SUM(L16:L27)*1.2</f>
        <v>1298880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SUM(E25:E27)</f>
        <v>160</v>
      </c>
      <c r="G29" s="39"/>
      <c r="H29" s="66" t="n">
        <f aca="false">SUM(H25:H27)</f>
        <v>13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1558656</v>
      </c>
    </row>
    <row r="31" customFormat="false" ht="12.75" hidden="true" customHeight="false" outlineLevel="0" collapsed="false">
      <c r="H31" s="19" t="s">
        <v>117</v>
      </c>
      <c r="L31" s="0"/>
    </row>
    <row r="32" customFormat="false" ht="12.75" hidden="true" customHeight="false" outlineLevel="0" collapsed="false">
      <c r="B32" s="53" t="s">
        <v>84</v>
      </c>
      <c r="C32" s="54" t="n">
        <v>254512</v>
      </c>
      <c r="L32" s="0"/>
    </row>
    <row r="33" customFormat="false" ht="12.75" hidden="true" customHeight="false" outlineLevel="0" collapsed="false">
      <c r="H33" s="68" t="s">
        <v>118</v>
      </c>
      <c r="I33" s="69" t="s">
        <v>119</v>
      </c>
      <c r="J33" s="69" t="s">
        <v>120</v>
      </c>
      <c r="K33" s="69" t="s">
        <v>63</v>
      </c>
      <c r="L33" s="69" t="s">
        <v>121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13</v>
      </c>
      <c r="L34" s="69" t="n">
        <f aca="false">+J34*K34</f>
        <v>627512.35625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217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62</v>
      </c>
      <c r="L5" s="16" t="s">
        <v>63</v>
      </c>
      <c r="M5" s="75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H6" s="76" t="s">
        <v>66</v>
      </c>
      <c r="J6" s="74"/>
      <c r="K6" s="16"/>
      <c r="L6" s="16"/>
      <c r="M6" s="75"/>
      <c r="N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76" t="s">
        <v>70</v>
      </c>
      <c r="J7" s="74"/>
      <c r="K7" s="16"/>
      <c r="L7" s="16"/>
      <c r="M7" s="75"/>
      <c r="N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73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false" customHeight="false" outlineLevel="0" collapsed="false">
      <c r="A9" s="52"/>
      <c r="B9" s="53" t="s">
        <v>74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123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49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82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0.0301843971727376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124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92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95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98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101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104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107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1032453.27330496</v>
      </c>
      <c r="H23" s="83" t="n">
        <f aca="false">SUM(H8:H22)</f>
        <v>1</v>
      </c>
      <c r="J23" s="0" t="s">
        <v>110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147493.324757852</v>
      </c>
    </row>
    <row r="24" customFormat="false" ht="12.75" hidden="false" customHeight="false" outlineLevel="0" collapsed="false">
      <c r="J24" s="0" t="s">
        <v>111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112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113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115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116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117</v>
      </c>
      <c r="J31" s="39"/>
      <c r="K31" s="39"/>
      <c r="L31" s="39"/>
    </row>
    <row r="32" customFormat="false" ht="12.75" hidden="true" customHeight="false" outlineLevel="0" collapsed="false">
      <c r="B32" s="53" t="s">
        <v>84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118</v>
      </c>
      <c r="J33" s="69" t="s">
        <v>119</v>
      </c>
      <c r="K33" s="69" t="s">
        <v>120</v>
      </c>
      <c r="L33" s="69" t="s">
        <v>63</v>
      </c>
      <c r="M33" s="69" t="s">
        <v>121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218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4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62</v>
      </c>
      <c r="M5" s="16" t="s">
        <v>63</v>
      </c>
      <c r="N5" s="75" t="s">
        <v>64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127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H7" s="51"/>
      <c r="I7" s="51" t="s">
        <v>128</v>
      </c>
      <c r="K7" s="74"/>
      <c r="L7" s="16"/>
      <c r="M7" s="16"/>
      <c r="N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0.516484122009828</v>
      </c>
      <c r="K8" s="74" t="s">
        <v>73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123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0.0688645496013104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0.117069734322228</v>
      </c>
      <c r="K11" s="74" t="s">
        <v>49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0.0740690134714759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0.081008210094911</v>
      </c>
      <c r="K13" s="79" t="s">
        <v>82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0.0258876404233193</v>
      </c>
      <c r="H14" s="54"/>
      <c r="I14" s="77" t="n">
        <f aca="false">+G14/$G$23</f>
        <v>2.7011222696857E-008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0.0145061678270069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124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0.00127177840326016</v>
      </c>
      <c r="K17" s="0" t="s">
        <v>92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0.0368531826485262</v>
      </c>
      <c r="K18" s="0" t="s">
        <v>95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0.0175398916649636</v>
      </c>
      <c r="K19" s="0" t="s">
        <v>98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1.30723063308555E-005</v>
      </c>
      <c r="K20" s="0" t="s">
        <v>101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0.0637993747284599</v>
      </c>
      <c r="K21" s="0" t="s">
        <v>104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0.00852087591047657</v>
      </c>
      <c r="K22" s="0" t="s">
        <v>107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958403.131685393</v>
      </c>
      <c r="H23" s="65"/>
      <c r="I23" s="83" t="n">
        <f aca="false">SUM(I8:I22)</f>
        <v>1</v>
      </c>
      <c r="K23" s="0" t="s">
        <v>110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159733.855280899</v>
      </c>
    </row>
    <row r="24" customFormat="false" ht="12.75" hidden="false" customHeight="false" outlineLevel="0" collapsed="false">
      <c r="K24" s="0" t="s">
        <v>111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112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113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115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117</v>
      </c>
      <c r="K31" s="39"/>
      <c r="L31" s="39"/>
      <c r="M31" s="39"/>
    </row>
    <row r="32" customFormat="false" ht="12.75" hidden="true" customHeight="false" outlineLevel="0" collapsed="false">
      <c r="B32" s="53" t="s">
        <v>84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118</v>
      </c>
      <c r="K33" s="69" t="s">
        <v>119</v>
      </c>
      <c r="L33" s="69" t="s">
        <v>120</v>
      </c>
      <c r="M33" s="69" t="s">
        <v>63</v>
      </c>
      <c r="N33" s="69" t="s">
        <v>121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219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4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62</v>
      </c>
      <c r="M5" s="16" t="s">
        <v>63</v>
      </c>
      <c r="N5" s="75" t="s">
        <v>64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127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H7" s="51"/>
      <c r="I7" s="51" t="s">
        <v>128</v>
      </c>
      <c r="K7" s="74"/>
      <c r="L7" s="16"/>
      <c r="M7" s="16"/>
      <c r="N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73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123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49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82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124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92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95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98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101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104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107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110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111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112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113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115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117</v>
      </c>
      <c r="K31" s="39"/>
      <c r="L31" s="39"/>
      <c r="M31" s="39"/>
    </row>
    <row r="32" customFormat="false" ht="12.75" hidden="true" customHeight="false" outlineLevel="0" collapsed="false">
      <c r="B32" s="53" t="s">
        <v>84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118</v>
      </c>
      <c r="K33" s="69" t="s">
        <v>119</v>
      </c>
      <c r="L33" s="69" t="s">
        <v>120</v>
      </c>
      <c r="M33" s="69" t="s">
        <v>63</v>
      </c>
      <c r="N33" s="69" t="s">
        <v>121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220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62</v>
      </c>
      <c r="K5" s="39" t="s">
        <v>63</v>
      </c>
      <c r="L5" s="49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G6" s="50" t="s">
        <v>66</v>
      </c>
      <c r="H6" s="50" t="s">
        <v>67</v>
      </c>
      <c r="I6" s="48"/>
      <c r="L6" s="49"/>
      <c r="Q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70</v>
      </c>
      <c r="H7" s="51" t="s">
        <v>71</v>
      </c>
      <c r="I7" s="48"/>
      <c r="L7" s="49"/>
      <c r="Q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73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75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49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82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89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92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95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98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101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104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107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110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111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112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113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114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115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117</v>
      </c>
      <c r="L31" s="0"/>
    </row>
    <row r="32" customFormat="false" ht="12.75" hidden="true" customHeight="false" outlineLevel="0" collapsed="false">
      <c r="B32" s="53" t="s">
        <v>84</v>
      </c>
      <c r="C32" s="54" t="n">
        <v>254512</v>
      </c>
      <c r="L32" s="0"/>
    </row>
    <row r="33" customFormat="false" ht="12.75" hidden="true" customHeight="false" outlineLevel="0" collapsed="false">
      <c r="H33" s="68" t="s">
        <v>118</v>
      </c>
      <c r="I33" s="69" t="s">
        <v>119</v>
      </c>
      <c r="J33" s="69" t="s">
        <v>120</v>
      </c>
      <c r="K33" s="69" t="s">
        <v>63</v>
      </c>
      <c r="L33" s="69" t="s">
        <v>121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221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62</v>
      </c>
      <c r="L5" s="16" t="s">
        <v>63</v>
      </c>
      <c r="M5" s="75" t="s">
        <v>64</v>
      </c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H6" s="76" t="s">
        <v>66</v>
      </c>
      <c r="J6" s="74"/>
      <c r="K6" s="16"/>
      <c r="L6" s="16"/>
      <c r="M6" s="75"/>
      <c r="N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76" t="s">
        <v>70</v>
      </c>
      <c r="J7" s="74"/>
      <c r="K7" s="16"/>
      <c r="L7" s="16"/>
      <c r="M7" s="75"/>
      <c r="N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73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74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123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49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82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124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92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95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98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101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104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107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110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111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112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113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115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116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117</v>
      </c>
      <c r="J31" s="39"/>
      <c r="K31" s="39"/>
      <c r="L31" s="39"/>
    </row>
    <row r="32" customFormat="false" ht="12.75" hidden="true" customHeight="false" outlineLevel="0" collapsed="false">
      <c r="B32" s="53" t="s">
        <v>84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118</v>
      </c>
      <c r="J33" s="69" t="s">
        <v>119</v>
      </c>
      <c r="K33" s="69" t="s">
        <v>120</v>
      </c>
      <c r="L33" s="69" t="s">
        <v>63</v>
      </c>
      <c r="M33" s="69" t="s">
        <v>121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126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4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62</v>
      </c>
      <c r="M5" s="16" t="s">
        <v>63</v>
      </c>
      <c r="N5" s="75" t="s">
        <v>64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127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/>
      <c r="G7" s="51" t="s">
        <v>71</v>
      </c>
      <c r="H7" s="51"/>
      <c r="I7" s="51" t="s">
        <v>128</v>
      </c>
      <c r="K7" s="74"/>
      <c r="L7" s="16"/>
      <c r="M7" s="16"/>
      <c r="N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73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74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123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49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82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124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92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95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98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101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104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107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110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111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8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112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113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125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115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117</v>
      </c>
      <c r="K31" s="39"/>
      <c r="L31" s="39"/>
      <c r="M31" s="39"/>
    </row>
    <row r="32" customFormat="false" ht="12.75" hidden="true" customHeight="false" outlineLevel="0" collapsed="false">
      <c r="B32" s="53" t="s">
        <v>84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118</v>
      </c>
      <c r="K33" s="69" t="s">
        <v>119</v>
      </c>
      <c r="L33" s="69" t="s">
        <v>120</v>
      </c>
      <c r="M33" s="69" t="s">
        <v>63</v>
      </c>
      <c r="N33" s="69" t="s">
        <v>121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0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129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4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62</v>
      </c>
      <c r="J5" s="16" t="s">
        <v>63</v>
      </c>
      <c r="K5" s="75" t="s">
        <v>64</v>
      </c>
    </row>
    <row r="6" customFormat="false" ht="12.75" hidden="false" customHeight="false" outlineLevel="0" collapsed="false">
      <c r="C6" s="50" t="n">
        <v>37135</v>
      </c>
      <c r="E6" s="50" t="s">
        <v>67</v>
      </c>
      <c r="G6" s="50" t="s">
        <v>67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68</v>
      </c>
      <c r="E7" s="51" t="s">
        <v>69</v>
      </c>
      <c r="G7" s="51" t="s">
        <v>71</v>
      </c>
      <c r="H7" s="74"/>
      <c r="J7" s="16"/>
      <c r="K7" s="75"/>
      <c r="O7" s="51" t="s">
        <v>71</v>
      </c>
      <c r="AK7" s="51"/>
    </row>
    <row r="8" customFormat="false" ht="12.75" hidden="false" customHeight="false" outlineLevel="0" collapsed="false">
      <c r="A8" s="52" t="s">
        <v>72</v>
      </c>
      <c r="B8" s="53" t="s">
        <v>73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73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74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130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49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82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124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92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95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98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101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104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107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108</v>
      </c>
      <c r="B23" s="62" t="s">
        <v>109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110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111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8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112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113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125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131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116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132</v>
      </c>
      <c r="B31" s="53" t="s">
        <v>133</v>
      </c>
      <c r="C31" s="54"/>
      <c r="E31" s="54"/>
      <c r="G31" s="19" t="s">
        <v>117</v>
      </c>
      <c r="H31" s="39"/>
      <c r="J31" s="39"/>
    </row>
    <row r="32" customFormat="false" ht="12.75" hidden="true" customHeight="false" outlineLevel="0" collapsed="false">
      <c r="A32" s="52" t="s">
        <v>134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135</v>
      </c>
      <c r="B33" s="53"/>
      <c r="C33" s="54"/>
      <c r="E33" s="54"/>
      <c r="G33" s="68" t="s">
        <v>118</v>
      </c>
      <c r="H33" s="69" t="s">
        <v>119</v>
      </c>
      <c r="I33" s="69" t="s">
        <v>120</v>
      </c>
      <c r="J33" s="69" t="s">
        <v>63</v>
      </c>
      <c r="K33" s="69" t="s">
        <v>121</v>
      </c>
    </row>
    <row r="34" customFormat="false" ht="12.75" hidden="true" customHeight="false" outlineLevel="0" collapsed="false">
      <c r="A34" s="52" t="s">
        <v>136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137</v>
      </c>
      <c r="B35" s="53"/>
      <c r="C35" s="54"/>
      <c r="E35" s="54"/>
    </row>
    <row r="36" customFormat="false" ht="12.75" hidden="true" customHeight="false" outlineLevel="0" collapsed="false">
      <c r="A36" s="52" t="s">
        <v>138</v>
      </c>
      <c r="B36" s="53"/>
      <c r="C36" s="54"/>
      <c r="E36" s="54"/>
    </row>
    <row r="37" customFormat="false" ht="12.75" hidden="true" customHeight="false" outlineLevel="0" collapsed="false">
      <c r="A37" s="52" t="s">
        <v>139</v>
      </c>
      <c r="B37" s="53"/>
      <c r="C37" s="54"/>
      <c r="E37" s="54"/>
    </row>
    <row r="38" customFormat="false" ht="12.75" hidden="true" customHeight="false" outlineLevel="0" collapsed="false">
      <c r="A38" s="52" t="s">
        <v>140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4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89"/>
      <c r="K4" s="89"/>
      <c r="L4" s="89"/>
      <c r="M4" s="89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62</v>
      </c>
      <c r="L6" s="69" t="s">
        <v>63</v>
      </c>
      <c r="M6" s="90" t="s">
        <v>141</v>
      </c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142</v>
      </c>
      <c r="F7" s="51" t="s">
        <v>71</v>
      </c>
      <c r="J7" s="74"/>
      <c r="M7" s="49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/>
      <c r="J9" s="74" t="s">
        <v>73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49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82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2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92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144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131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8</v>
      </c>
      <c r="C25" s="93"/>
      <c r="E25" s="93" t="n">
        <v>5</v>
      </c>
      <c r="F25" s="94" t="n">
        <v>6</v>
      </c>
      <c r="I25" s="19" t="s">
        <v>117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93"/>
      <c r="I27" s="68" t="s">
        <v>118</v>
      </c>
      <c r="J27" s="69" t="s">
        <v>119</v>
      </c>
      <c r="K27" s="69" t="s">
        <v>120</v>
      </c>
      <c r="L27" s="69" t="s">
        <v>63</v>
      </c>
      <c r="M27" s="69" t="s">
        <v>121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5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5</v>
      </c>
      <c r="F29" s="93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83</v>
      </c>
      <c r="B39" s="53" t="s">
        <v>84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103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153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89" t="s">
        <v>154</v>
      </c>
      <c r="K4" s="89"/>
      <c r="L4" s="89"/>
      <c r="M4" s="89"/>
      <c r="O4" s="89" t="s">
        <v>155</v>
      </c>
      <c r="P4" s="89"/>
      <c r="Q4" s="89"/>
      <c r="R4" s="89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H6" s="50" t="s">
        <v>127</v>
      </c>
      <c r="J6" s="74"/>
      <c r="K6" s="69" t="s">
        <v>62</v>
      </c>
      <c r="L6" s="69" t="s">
        <v>63</v>
      </c>
      <c r="M6" s="90" t="s">
        <v>141</v>
      </c>
      <c r="N6" s="16"/>
      <c r="O6" s="74"/>
      <c r="P6" s="69" t="s">
        <v>62</v>
      </c>
      <c r="Q6" s="69" t="s">
        <v>63</v>
      </c>
      <c r="R6" s="90" t="s">
        <v>141</v>
      </c>
      <c r="V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51" t="s">
        <v>128</v>
      </c>
      <c r="J7" s="74"/>
      <c r="M7" s="49"/>
      <c r="N7" s="16"/>
      <c r="O7" s="74"/>
      <c r="P7" s="39"/>
      <c r="Q7" s="39"/>
      <c r="R7" s="49"/>
      <c r="V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 t="n">
        <v>0</v>
      </c>
      <c r="J9" s="74" t="s">
        <v>73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73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49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49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(C14/9)*12</f>
        <v>0</v>
      </c>
      <c r="F14" s="54" t="n">
        <v>700000</v>
      </c>
      <c r="J14" s="79" t="s">
        <v>82</v>
      </c>
      <c r="K14" s="58"/>
      <c r="L14" s="58"/>
      <c r="M14" s="59" t="n">
        <f aca="false">SUM(M9:M12)</f>
        <v>6773780.14563107</v>
      </c>
      <c r="N14" s="16"/>
      <c r="O14" s="79" t="s">
        <v>82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6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124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124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156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156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95</v>
      </c>
      <c r="K19" s="39" t="n">
        <v>49200</v>
      </c>
      <c r="L19" s="0" t="n">
        <v>2</v>
      </c>
      <c r="M19" s="39" t="n">
        <f aca="false">K19*L19</f>
        <v>98400</v>
      </c>
      <c r="O19" s="0" t="s">
        <v>95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157</v>
      </c>
      <c r="K20" s="39" t="n">
        <v>57600</v>
      </c>
      <c r="L20" s="0" t="n">
        <v>2</v>
      </c>
      <c r="M20" s="39" t="n">
        <f aca="false">K20*L20</f>
        <v>115200</v>
      </c>
      <c r="O20" s="0" t="s">
        <v>157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98</v>
      </c>
      <c r="K21" s="39" t="n">
        <v>62400</v>
      </c>
      <c r="L21" s="0" t="n">
        <v>7</v>
      </c>
      <c r="M21" s="39" t="n">
        <f aca="false">K21*L21</f>
        <v>436800</v>
      </c>
      <c r="O21" s="0" t="s">
        <v>98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158</v>
      </c>
      <c r="K22" s="39" t="n">
        <v>74400</v>
      </c>
      <c r="L22" s="0" t="n">
        <v>11</v>
      </c>
      <c r="M22" s="39" t="n">
        <f aca="false">K22*L22</f>
        <v>818400</v>
      </c>
      <c r="O22" s="0" t="s">
        <v>158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159</v>
      </c>
      <c r="K23" s="39" t="n">
        <v>90000</v>
      </c>
      <c r="L23" s="0" t="n">
        <v>9</v>
      </c>
      <c r="M23" s="39" t="n">
        <f aca="false">K23*L23</f>
        <v>810000</v>
      </c>
      <c r="O23" s="0" t="s">
        <v>159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160</v>
      </c>
      <c r="K24" s="39" t="n">
        <v>120000</v>
      </c>
      <c r="L24" s="0" t="n">
        <v>4</v>
      </c>
      <c r="M24" s="39" t="n">
        <f aca="false">K24*L24</f>
        <v>480000</v>
      </c>
      <c r="O24" s="0" t="s">
        <v>160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8</v>
      </c>
      <c r="C25" s="93"/>
      <c r="E25" s="93" t="n">
        <v>99</v>
      </c>
      <c r="F25" s="93" t="n">
        <f aca="false">SUM(L17:L19,L21:L27)</f>
        <v>43</v>
      </c>
      <c r="J25" s="0" t="s">
        <v>161</v>
      </c>
      <c r="K25" s="39" t="n">
        <v>174000</v>
      </c>
      <c r="L25" s="0" t="n">
        <v>1</v>
      </c>
      <c r="M25" s="39" t="n">
        <f aca="false">K25*L25</f>
        <v>174000</v>
      </c>
      <c r="O25" s="0" t="s">
        <v>161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162</v>
      </c>
      <c r="K26" s="39" t="n">
        <v>216000</v>
      </c>
      <c r="L26" s="0" t="n">
        <v>4</v>
      </c>
      <c r="M26" s="39" t="n">
        <f aca="false">K26*L26</f>
        <v>864000</v>
      </c>
      <c r="O26" s="0" t="s">
        <v>162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114</v>
      </c>
      <c r="C27" s="93"/>
      <c r="E27" s="93" t="n">
        <v>4</v>
      </c>
      <c r="F27" s="93" t="n">
        <v>2</v>
      </c>
      <c r="J27" s="0" t="s">
        <v>163</v>
      </c>
      <c r="K27" s="39" t="n">
        <v>312000</v>
      </c>
      <c r="L27" s="0" t="n">
        <v>1</v>
      </c>
      <c r="M27" s="39" t="n">
        <f aca="false">K27*L27</f>
        <v>312000</v>
      </c>
      <c r="O27" s="0" t="s">
        <v>163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103</v>
      </c>
      <c r="F29" s="93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164</v>
      </c>
      <c r="L30" s="67"/>
      <c r="M30" s="67" t="n">
        <v>0.2</v>
      </c>
      <c r="O30" s="0" t="s">
        <v>164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117</v>
      </c>
      <c r="N34" s="39"/>
    </row>
    <row r="35" customFormat="false" ht="13.5" hidden="true" customHeight="false" outlineLevel="0" collapsed="false">
      <c r="A35" s="52" t="s">
        <v>137</v>
      </c>
      <c r="B35" s="53" t="s">
        <v>149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89" t="s">
        <v>154</v>
      </c>
      <c r="K35" s="89"/>
      <c r="L35" s="89"/>
      <c r="M35" s="89"/>
      <c r="N35" s="39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118</v>
      </c>
      <c r="L36" s="69" t="s">
        <v>119</v>
      </c>
      <c r="M36" s="69" t="s">
        <v>120</v>
      </c>
      <c r="N36" s="69" t="s">
        <v>63</v>
      </c>
      <c r="O36" s="69" t="s">
        <v>121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5" t="n">
        <f aca="false">E29</f>
        <v>103</v>
      </c>
      <c r="M37" s="69" t="n">
        <f aca="false">+J37/L37</f>
        <v>5823.25631067961</v>
      </c>
      <c r="N37" s="95" t="n">
        <v>46</v>
      </c>
      <c r="O37" s="69" t="n">
        <f aca="false">+M37*N37+500000+571398</f>
        <v>1339267.79029126</v>
      </c>
      <c r="P37" s="0" t="s">
        <v>165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166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167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168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89" t="s">
        <v>155</v>
      </c>
      <c r="K41" s="89"/>
      <c r="L41" s="89"/>
      <c r="M41" s="89"/>
      <c r="N41" s="39"/>
      <c r="P41" s="0" t="s">
        <v>169</v>
      </c>
    </row>
    <row r="42" customFormat="false" ht="12.75" hidden="false" customHeight="false" outlineLevel="0" collapsed="false">
      <c r="J42" s="68" t="s">
        <v>118</v>
      </c>
      <c r="L42" s="69" t="s">
        <v>119</v>
      </c>
      <c r="M42" s="69" t="s">
        <v>120</v>
      </c>
      <c r="N42" s="69" t="s">
        <v>63</v>
      </c>
      <c r="O42" s="69" t="s">
        <v>121</v>
      </c>
    </row>
    <row r="43" customFormat="false" ht="12.75" hidden="false" customHeight="false" outlineLevel="0" collapsed="false">
      <c r="J43" s="70" t="n">
        <f aca="false">SUM(E12:E21)</f>
        <v>599795.4</v>
      </c>
      <c r="L43" s="95" t="n">
        <v>103</v>
      </c>
      <c r="M43" s="69" t="n">
        <f aca="false">+J43/L43</f>
        <v>5823.25631067961</v>
      </c>
      <c r="N43" s="95" t="n">
        <v>7</v>
      </c>
      <c r="O43" s="69" t="n">
        <f aca="false">+M43*N43+300000</f>
        <v>340762.794174757</v>
      </c>
      <c r="P43" s="0" t="s">
        <v>170</v>
      </c>
    </row>
    <row r="44" customFormat="false" ht="12.75" hidden="false" customHeight="false" outlineLevel="0" collapsed="false">
      <c r="P44" s="0" t="s">
        <v>171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7" t="s">
        <v>4</v>
      </c>
      <c r="C3" s="97"/>
      <c r="D3" s="97"/>
      <c r="E3" s="97"/>
      <c r="F3" s="97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62</v>
      </c>
      <c r="L5" s="16" t="s">
        <v>63</v>
      </c>
      <c r="M5" s="75" t="s">
        <v>64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67</v>
      </c>
      <c r="J6" s="74"/>
      <c r="K6" s="16"/>
      <c r="L6" s="16"/>
      <c r="M6" s="75"/>
      <c r="O6" s="50" t="s">
        <v>67</v>
      </c>
    </row>
    <row r="7" customFormat="false" ht="12.75" hidden="false" customHeight="false" outlineLevel="0" collapsed="false">
      <c r="C7" s="51" t="s">
        <v>68</v>
      </c>
      <c r="E7" s="51" t="s">
        <v>142</v>
      </c>
      <c r="F7" s="51" t="s">
        <v>71</v>
      </c>
      <c r="J7" s="74"/>
      <c r="K7" s="16"/>
      <c r="L7" s="16"/>
      <c r="M7" s="75"/>
      <c r="O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73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49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80</v>
      </c>
      <c r="B13" s="53" t="s">
        <v>81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82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83</v>
      </c>
      <c r="B14" s="53" t="s">
        <v>84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124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92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95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98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101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104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107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110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111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8</v>
      </c>
      <c r="C25" s="93"/>
      <c r="E25" s="93" t="n">
        <v>16</v>
      </c>
      <c r="F25" s="93" t="n">
        <v>3</v>
      </c>
      <c r="J25" s="0" t="s">
        <v>112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113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114</v>
      </c>
      <c r="C27" s="93"/>
      <c r="E27" s="93"/>
      <c r="F27" s="93"/>
      <c r="J27" s="0" t="s">
        <v>115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16</v>
      </c>
      <c r="F29" s="93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117</v>
      </c>
      <c r="J31" s="39"/>
      <c r="M31" s="0"/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118</v>
      </c>
      <c r="J33" s="69" t="s">
        <v>119</v>
      </c>
      <c r="K33" s="69" t="s">
        <v>120</v>
      </c>
      <c r="L33" s="69" t="s">
        <v>63</v>
      </c>
      <c r="M33" s="69" t="s">
        <v>121</v>
      </c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5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137</v>
      </c>
      <c r="B35" s="53" t="s">
        <v>149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84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103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155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4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89" t="s">
        <v>154</v>
      </c>
      <c r="K4" s="89"/>
      <c r="L4" s="89"/>
      <c r="M4" s="89"/>
      <c r="O4" s="89" t="s">
        <v>155</v>
      </c>
      <c r="P4" s="89"/>
      <c r="Q4" s="89"/>
      <c r="R4" s="89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65</v>
      </c>
      <c r="F6" s="50" t="s">
        <v>67</v>
      </c>
      <c r="H6" s="50" t="s">
        <v>127</v>
      </c>
      <c r="J6" s="74"/>
      <c r="K6" s="69" t="s">
        <v>62</v>
      </c>
      <c r="L6" s="69" t="s">
        <v>63</v>
      </c>
      <c r="M6" s="90" t="s">
        <v>141</v>
      </c>
      <c r="N6" s="16"/>
      <c r="O6" s="74"/>
      <c r="P6" s="69" t="s">
        <v>62</v>
      </c>
      <c r="Q6" s="69" t="s">
        <v>63</v>
      </c>
      <c r="R6" s="90" t="s">
        <v>141</v>
      </c>
      <c r="V6" s="50" t="s">
        <v>67</v>
      </c>
    </row>
    <row r="7" customFormat="false" ht="12.75" hidden="false" customHeight="false" outlineLevel="0" collapsed="false">
      <c r="C7" s="51" t="s">
        <v>68</v>
      </c>
      <c r="E7" s="51" t="s">
        <v>69</v>
      </c>
      <c r="F7" s="51" t="s">
        <v>71</v>
      </c>
      <c r="H7" s="51" t="s">
        <v>128</v>
      </c>
      <c r="J7" s="74"/>
      <c r="M7" s="49"/>
      <c r="N7" s="16"/>
      <c r="O7" s="74"/>
      <c r="P7" s="39"/>
      <c r="Q7" s="39"/>
      <c r="R7" s="49"/>
      <c r="V7" s="51" t="s">
        <v>71</v>
      </c>
    </row>
    <row r="8" customFormat="false" ht="12.75" hidden="false" customHeight="false" outlineLevel="0" collapsed="false">
      <c r="A8" s="52" t="s">
        <v>72</v>
      </c>
      <c r="B8" s="53" t="s">
        <v>73</v>
      </c>
      <c r="C8" s="91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74</v>
      </c>
      <c r="C9" s="54" t="n">
        <v>0</v>
      </c>
      <c r="E9" s="54" t="n">
        <f aca="false">(C9/9)*12</f>
        <v>0</v>
      </c>
      <c r="F9" s="54" t="n">
        <v>0</v>
      </c>
      <c r="J9" s="74" t="s">
        <v>73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73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143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76</v>
      </c>
      <c r="B11" s="53" t="s">
        <v>77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78</v>
      </c>
      <c r="B12" s="53" t="s">
        <v>79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49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49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80</v>
      </c>
      <c r="B13" s="53" t="s">
        <v>81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83</v>
      </c>
      <c r="B14" s="53" t="s">
        <v>84</v>
      </c>
      <c r="C14" s="54" t="n">
        <v>0</v>
      </c>
      <c r="E14" s="54" t="n">
        <f aca="false">(C14/9)*12</f>
        <v>0</v>
      </c>
      <c r="F14" s="54" t="n">
        <v>330000</v>
      </c>
      <c r="J14" s="79" t="s">
        <v>82</v>
      </c>
      <c r="K14" s="58"/>
      <c r="L14" s="58"/>
      <c r="M14" s="59" t="n">
        <f aca="false">SUM(M9:M12)</f>
        <v>6675923.61553398</v>
      </c>
      <c r="N14" s="16"/>
      <c r="O14" s="79" t="s">
        <v>82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85</v>
      </c>
      <c r="B15" s="53" t="s">
        <v>86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87</v>
      </c>
      <c r="B16" s="53" t="s">
        <v>88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6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90</v>
      </c>
      <c r="B17" s="53" t="s">
        <v>91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124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124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93</v>
      </c>
      <c r="B18" s="53" t="s">
        <v>94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156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156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96</v>
      </c>
      <c r="B19" s="53" t="s">
        <v>97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95</v>
      </c>
      <c r="K19" s="39" t="n">
        <v>49200</v>
      </c>
      <c r="L19" s="0" t="n">
        <v>1</v>
      </c>
      <c r="M19" s="39" t="n">
        <f aca="false">K19*L19</f>
        <v>49200</v>
      </c>
      <c r="O19" s="0" t="s">
        <v>95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99</v>
      </c>
      <c r="B20" s="53" t="s">
        <v>100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157</v>
      </c>
      <c r="K20" s="39" t="n">
        <v>57600</v>
      </c>
      <c r="L20" s="0" t="n">
        <v>3</v>
      </c>
      <c r="M20" s="39" t="n">
        <f aca="false">K20*L20</f>
        <v>172800</v>
      </c>
      <c r="O20" s="0" t="s">
        <v>157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102</v>
      </c>
      <c r="B21" s="53" t="s">
        <v>103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98</v>
      </c>
      <c r="K21" s="39" t="n">
        <v>62400</v>
      </c>
      <c r="L21" s="0" t="n">
        <v>12</v>
      </c>
      <c r="M21" s="39" t="n">
        <f aca="false">K21*L21</f>
        <v>748800</v>
      </c>
      <c r="O21" s="0" t="s">
        <v>98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105</v>
      </c>
      <c r="B22" s="53" t="s">
        <v>106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158</v>
      </c>
      <c r="K22" s="39" t="n">
        <v>74400</v>
      </c>
      <c r="L22" s="0" t="n">
        <v>8</v>
      </c>
      <c r="M22" s="39" t="n">
        <f aca="false">K22*L22</f>
        <v>595200</v>
      </c>
      <c r="O22" s="0" t="s">
        <v>158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108</v>
      </c>
      <c r="B23" s="62" t="s">
        <v>109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159</v>
      </c>
      <c r="K23" s="39" t="n">
        <v>90000</v>
      </c>
      <c r="L23" s="0" t="n">
        <v>10</v>
      </c>
      <c r="M23" s="39" t="n">
        <f aca="false">K23*L23</f>
        <v>900000</v>
      </c>
      <c r="O23" s="0" t="s">
        <v>159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160</v>
      </c>
      <c r="K24" s="39" t="n">
        <v>120000</v>
      </c>
      <c r="L24" s="0" t="n">
        <v>4</v>
      </c>
      <c r="M24" s="39" t="n">
        <f aca="false">K24*L24</f>
        <v>480000</v>
      </c>
      <c r="O24" s="0" t="s">
        <v>160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8</v>
      </c>
      <c r="C25" s="93"/>
      <c r="E25" s="93" t="n">
        <v>99</v>
      </c>
      <c r="F25" s="93" t="n">
        <f aca="false">+Q28</f>
        <v>6</v>
      </c>
      <c r="J25" s="0" t="s">
        <v>161</v>
      </c>
      <c r="K25" s="39" t="n">
        <v>174000</v>
      </c>
      <c r="L25" s="0" t="n">
        <v>1</v>
      </c>
      <c r="M25" s="39" t="n">
        <f aca="false">K25*L25</f>
        <v>174000</v>
      </c>
      <c r="O25" s="0" t="s">
        <v>161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162</v>
      </c>
      <c r="K26" s="39" t="n">
        <v>216000</v>
      </c>
      <c r="L26" s="0" t="n">
        <v>3</v>
      </c>
      <c r="M26" s="39" t="n">
        <f aca="false">K26*L26</f>
        <v>648000</v>
      </c>
      <c r="O26" s="0" t="s">
        <v>162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114</v>
      </c>
      <c r="C27" s="93"/>
      <c r="E27" s="93" t="n">
        <v>4</v>
      </c>
      <c r="F27" s="93" t="n">
        <v>0</v>
      </c>
      <c r="J27" s="0" t="s">
        <v>163</v>
      </c>
      <c r="K27" s="39" t="n">
        <v>312000</v>
      </c>
      <c r="L27" s="0" t="n">
        <v>1</v>
      </c>
      <c r="M27" s="39" t="n">
        <f aca="false">K27*L27</f>
        <v>312000</v>
      </c>
      <c r="O27" s="0" t="s">
        <v>163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116</v>
      </c>
      <c r="C29" s="93"/>
      <c r="E29" s="93" t="n">
        <f aca="false">SUM(E25:E28)</f>
        <v>103</v>
      </c>
      <c r="F29" s="93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164</v>
      </c>
      <c r="L30" s="67"/>
      <c r="M30" s="67" t="n">
        <v>0.2</v>
      </c>
      <c r="O30" s="0" t="s">
        <v>164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132</v>
      </c>
      <c r="B31" s="53" t="s">
        <v>145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134</v>
      </c>
      <c r="B32" s="53" t="s">
        <v>146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135</v>
      </c>
      <c r="B33" s="53" t="s">
        <v>147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136</v>
      </c>
      <c r="B34" s="53" t="s">
        <v>148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117</v>
      </c>
      <c r="N34" s="39"/>
    </row>
    <row r="35" customFormat="false" ht="13.5" hidden="true" customHeight="false" outlineLevel="0" collapsed="false">
      <c r="A35" s="52" t="s">
        <v>137</v>
      </c>
      <c r="B35" s="53" t="s">
        <v>149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89" t="s">
        <v>154</v>
      </c>
      <c r="K35" s="89"/>
      <c r="L35" s="89"/>
      <c r="M35" s="89"/>
      <c r="N35" s="39"/>
    </row>
    <row r="36" customFormat="false" ht="12.75" hidden="true" customHeight="false" outlineLevel="0" collapsed="false">
      <c r="A36" s="52" t="s">
        <v>138</v>
      </c>
      <c r="B36" s="53" t="s">
        <v>150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118</v>
      </c>
      <c r="L36" s="69" t="s">
        <v>119</v>
      </c>
      <c r="M36" s="69" t="s">
        <v>120</v>
      </c>
      <c r="N36" s="69" t="s">
        <v>63</v>
      </c>
      <c r="O36" s="69" t="s">
        <v>121</v>
      </c>
    </row>
    <row r="37" customFormat="false" ht="12.75" hidden="true" customHeight="false" outlineLevel="0" collapsed="false">
      <c r="A37" s="52" t="s">
        <v>139</v>
      </c>
      <c r="B37" s="53" t="s">
        <v>151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5" t="n">
        <f aca="false">E29</f>
        <v>103</v>
      </c>
      <c r="M37" s="69" t="n">
        <f aca="false">+J37/L37</f>
        <v>5823.25631067961</v>
      </c>
      <c r="N37" s="95" t="n">
        <v>46</v>
      </c>
      <c r="O37" s="69" t="n">
        <f aca="false">+M37*N37+500000+571398</f>
        <v>1339267.79029126</v>
      </c>
      <c r="P37" s="0" t="s">
        <v>165</v>
      </c>
    </row>
    <row r="38" customFormat="false" ht="12.75" hidden="true" customHeight="false" outlineLevel="0" collapsed="false">
      <c r="A38" s="52" t="s">
        <v>140</v>
      </c>
      <c r="B38" s="53" t="s">
        <v>152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166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167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168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89" t="s">
        <v>155</v>
      </c>
      <c r="K41" s="89"/>
      <c r="L41" s="89"/>
      <c r="M41" s="89"/>
      <c r="N41" s="39"/>
      <c r="P41" s="0" t="s">
        <v>169</v>
      </c>
    </row>
    <row r="42" customFormat="false" ht="12.75" hidden="false" customHeight="false" outlineLevel="0" collapsed="false">
      <c r="J42" s="68" t="s">
        <v>118</v>
      </c>
      <c r="L42" s="69" t="s">
        <v>119</v>
      </c>
      <c r="M42" s="69" t="s">
        <v>120</v>
      </c>
      <c r="N42" s="69" t="s">
        <v>63</v>
      </c>
      <c r="O42" s="69" t="s">
        <v>121</v>
      </c>
    </row>
    <row r="43" customFormat="false" ht="12.75" hidden="false" customHeight="false" outlineLevel="0" collapsed="false">
      <c r="J43" s="70" t="n">
        <f aca="false">SUM(E12:E21)</f>
        <v>599795.4</v>
      </c>
      <c r="L43" s="95" t="n">
        <v>103</v>
      </c>
      <c r="M43" s="69" t="n">
        <f aca="false">+J43/L43</f>
        <v>5823.25631067961</v>
      </c>
      <c r="N43" s="95" t="n">
        <v>7</v>
      </c>
      <c r="O43" s="69" t="n">
        <f aca="false">+M43*N43+300000</f>
        <v>340762.794174757</v>
      </c>
      <c r="P43" s="0" t="s">
        <v>170</v>
      </c>
    </row>
    <row r="44" customFormat="false" ht="12.75" hidden="false" customHeight="false" outlineLevel="0" collapsed="false">
      <c r="P44" s="0" t="s">
        <v>171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thardy</cp:lastModifiedBy>
  <cp:lastPrinted>2001-12-27T15:09:42Z</cp:lastPrinted>
  <dcterms:modified xsi:type="dcterms:W3CDTF">2001-12-27T16:10:12Z</dcterms:modified>
  <cp:revision>0</cp:revision>
  <dc:subject/>
  <dc:title/>
</cp:coreProperties>
</file>